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348" windowWidth="14808" windowHeight="1140" tabRatio="852" firstSheet="3" activeTab="9"/>
  </bookViews>
  <sheets>
    <sheet name="прил. 1 (поступл.23-25)" sheetId="5" r:id="rId1"/>
    <sheet name="прил.2(пост.безв.23)" sheetId="2" r:id="rId2"/>
    <sheet name="прил.3 (пост.безв.24-25)" sheetId="16" r:id="rId3"/>
    <sheet name="прил 6 (Рз,ПР 23-25)" sheetId="6" r:id="rId4"/>
    <sheet name="прил 7 (ЦС,ВР 23)" sheetId="7" r:id="rId5"/>
    <sheet name="прил 8 (ЦС,ВР 24-25)" sheetId="18" r:id="rId6"/>
    <sheet name="прил9 (ведом 23)" sheetId="3" r:id="rId7"/>
    <sheet name="прил10 (ведом 24-25)" sheetId="19" r:id="rId8"/>
    <sheet name="прил.11 (Источники 23-25)" sheetId="8" r:id="rId9"/>
    <sheet name="прил.12 (безв.всего 23-25)" sheetId="9" r:id="rId10"/>
  </sheets>
  <definedNames>
    <definedName name="_xlnm._FilterDatabase" localSheetId="3" hidden="1">'прил 6 (Рз,ПР 23-25)'!$A$1:$A$64</definedName>
    <definedName name="_xlnm._FilterDatabase" localSheetId="4" hidden="1">'прил 7 (ЦС,ВР 23)'!$A$1:$H$632</definedName>
    <definedName name="_xlnm._FilterDatabase" localSheetId="5" hidden="1">'прил 8 (ЦС,ВР 24-25)'!$A$1:$I$465</definedName>
    <definedName name="_xlnm._FilterDatabase" localSheetId="1" hidden="1">'прил.2(пост.безв.23)'!$B$1:$D$436</definedName>
    <definedName name="_xlnm._FilterDatabase" localSheetId="2" hidden="1">'прил.3 (пост.безв.24-25)'!$A$12:$J$68</definedName>
    <definedName name="_xlnm._FilterDatabase" localSheetId="7" hidden="1">'прил10 (ведом 24-25)'!$A$1:$N$662</definedName>
    <definedName name="_xlnm._FilterDatabase" localSheetId="6" hidden="1">'прил9 (ведом 23)'!$A$1:$M$952</definedName>
    <definedName name="Z_168CADD9_CFDC_4445_BFE6_DAD4B9423C72_.wvu.FilterData" localSheetId="4" hidden="1">'прил 7 (ЦС,ВР 23)'!#REF!</definedName>
    <definedName name="Z_168CADD9_CFDC_4445_BFE6_DAD4B9423C72_.wvu.FilterData" localSheetId="5" hidden="1">'прил 8 (ЦС,ВР 24-25)'!#REF!</definedName>
    <definedName name="Z_1F25B6A1_C9F7_11D8_A2FD_006098EF8B30_.wvu.FilterData" localSheetId="4" hidden="1">'прил 7 (ЦС,ВР 23)'!#REF!</definedName>
    <definedName name="Z_1F25B6A1_C9F7_11D8_A2FD_006098EF8B30_.wvu.FilterData" localSheetId="5" hidden="1">'прил 8 (ЦС,ВР 24-25)'!#REF!</definedName>
    <definedName name="Z_29D950F2_21ED_48E6_BFC6_87DD89E0125A_.wvu.FilterData" localSheetId="4" hidden="1">'прил 7 (ЦС,ВР 23)'!#REF!</definedName>
    <definedName name="Z_29D950F2_21ED_48E6_BFC6_87DD89E0125A_.wvu.FilterData" localSheetId="5" hidden="1">'прил 8 (ЦС,ВР 24-25)'!#REF!</definedName>
    <definedName name="Z_2CA7FCD5_27A5_4474_9D49_7A7E23BD2FF9_.wvu.FilterData" localSheetId="4" hidden="1">'прил 7 (ЦС,ВР 23)'!#REF!</definedName>
    <definedName name="Z_2CA7FCD5_27A5_4474_9D49_7A7E23BD2FF9_.wvu.FilterData" localSheetId="5" hidden="1">'прил 8 (ЦС,ВР 24-25)'!#REF!</definedName>
    <definedName name="Z_48E28AC5_4E0A_4FBA_AE6D_340F9E8D4B3C_.wvu.FilterData" localSheetId="4" hidden="1">'прил 7 (ЦС,ВР 23)'!#REF!</definedName>
    <definedName name="Z_48E28AC5_4E0A_4FBA_AE6D_340F9E8D4B3C_.wvu.FilterData" localSheetId="5" hidden="1">'прил 8 (ЦС,ВР 24-25)'!#REF!</definedName>
    <definedName name="Z_6398E0F2_3205_40F4_BF0A_C9F4D0DA9A75_.wvu.FilterData" localSheetId="4" hidden="1">'прил 7 (ЦС,ВР 23)'!#REF!</definedName>
    <definedName name="Z_6398E0F2_3205_40F4_BF0A_C9F4D0DA9A75_.wvu.FilterData" localSheetId="5" hidden="1">'прил 8 (ЦС,ВР 24-25)'!#REF!</definedName>
    <definedName name="Z_64DF1B77_0EDD_4B56_A91C_5E003BE599EF_.wvu.FilterData" localSheetId="4" hidden="1">'прил 7 (ЦС,ВР 23)'!#REF!</definedName>
    <definedName name="Z_64DF1B77_0EDD_4B56_A91C_5E003BE599EF_.wvu.FilterData" localSheetId="5" hidden="1">'прил 8 (ЦС,ВР 24-25)'!#REF!</definedName>
    <definedName name="Z_6786C020_BCF1_463A_B3E9_7DE69D46EAB3_.wvu.FilterData" localSheetId="4" hidden="1">'прил 7 (ЦС,ВР 23)'!#REF!</definedName>
    <definedName name="Z_6786C020_BCF1_463A_B3E9_7DE69D46EAB3_.wvu.FilterData" localSheetId="5" hidden="1">'прил 8 (ЦС,ВР 24-25)'!#REF!</definedName>
    <definedName name="Z_8E2E7D81_C767_11D8_A2FD_006098EF8B30_.wvu.FilterData" localSheetId="4" hidden="1">'прил 7 (ЦС,ВР 23)'!#REF!</definedName>
    <definedName name="Z_8E2E7D81_C767_11D8_A2FD_006098EF8B30_.wvu.FilterData" localSheetId="5" hidden="1">'прил 8 (ЦС,ВР 24-25)'!#REF!</definedName>
    <definedName name="Z_97D0CDFA_8A34_4B3C_BA32_D4F0E3218B75_.wvu.FilterData" localSheetId="4" hidden="1">'прил 7 (ЦС,ВР 23)'!#REF!</definedName>
    <definedName name="Z_97D0CDFA_8A34_4B3C_BA32_D4F0E3218B75_.wvu.FilterData" localSheetId="5" hidden="1">'прил 8 (ЦС,ВР 24-25)'!#REF!</definedName>
    <definedName name="Z_B246FE0E_E986_4211_B02A_04E4565C0FED_.wvu.Cols" localSheetId="4" hidden="1">'прил 7 (ЦС,ВР 23)'!$A:$A,'прил 7 (ЦС,ВР 23)'!#REF!</definedName>
    <definedName name="Z_B246FE0E_E986_4211_B02A_04E4565C0FED_.wvu.Cols" localSheetId="5" hidden="1">'прил 8 (ЦС,ВР 24-25)'!$A:$A,'прил 8 (ЦС,ВР 24-25)'!#REF!</definedName>
    <definedName name="Z_B246FE0E_E986_4211_B02A_04E4565C0FED_.wvu.FilterData" localSheetId="4" hidden="1">'прил 7 (ЦС,ВР 23)'!#REF!</definedName>
    <definedName name="Z_B246FE0E_E986_4211_B02A_04E4565C0FED_.wvu.FilterData" localSheetId="5" hidden="1">'прил 8 (ЦС,ВР 24-25)'!#REF!</definedName>
    <definedName name="Z_B246FE0E_E986_4211_B02A_04E4565C0FED_.wvu.PrintArea" localSheetId="4" hidden="1">'прил 7 (ЦС,ВР 23)'!#REF!</definedName>
    <definedName name="Z_B246FE0E_E986_4211_B02A_04E4565C0FED_.wvu.PrintArea" localSheetId="5" hidden="1">'прил 8 (ЦС,ВР 24-25)'!#REF!</definedName>
    <definedName name="Z_B246FE0E_E986_4211_B02A_04E4565C0FED_.wvu.PrintTitles" localSheetId="4" hidden="1">'прил 7 (ЦС,ВР 23)'!#REF!</definedName>
    <definedName name="Z_B246FE0E_E986_4211_B02A_04E4565C0FED_.wvu.PrintTitles" localSheetId="5" hidden="1">'прил 8 (ЦС,ВР 24-25)'!#REF!</definedName>
    <definedName name="Z_C54CDF8B_FA5C_4A02_B343_3FEFD9721392_.wvu.FilterData" localSheetId="4" hidden="1">'прил 7 (ЦС,ВР 23)'!#REF!</definedName>
    <definedName name="Z_C54CDF8B_FA5C_4A02_B343_3FEFD9721392_.wvu.FilterData" localSheetId="5" hidden="1">'прил 8 (ЦС,ВР 24-25)'!#REF!</definedName>
    <definedName name="Z_D7174C22_B878_4584_A218_37ED88979064_.wvu.FilterData" localSheetId="4" hidden="1">'прил 7 (ЦС,ВР 23)'!#REF!</definedName>
    <definedName name="Z_D7174C22_B878_4584_A218_37ED88979064_.wvu.FilterData" localSheetId="5" hidden="1">'прил 8 (ЦС,ВР 24-25)'!#REF!</definedName>
    <definedName name="Z_DD7538FB_7299_4DEE_90D5_2739132A1616_.wvu.FilterData" localSheetId="4" hidden="1">'прил 7 (ЦС,ВР 23)'!#REF!</definedName>
    <definedName name="Z_DD7538FB_7299_4DEE_90D5_2739132A1616_.wvu.FilterData" localSheetId="5" hidden="1">'прил 8 (ЦС,ВР 24-25)'!#REF!</definedName>
    <definedName name="Z_E4B436A8_4A5B_422F_8C0E_9267F763D19D_.wvu.FilterData" localSheetId="4" hidden="1">'прил 7 (ЦС,ВР 23)'!#REF!</definedName>
    <definedName name="Z_E4B436A8_4A5B_422F_8C0E_9267F763D19D_.wvu.FilterData" localSheetId="5" hidden="1">'прил 8 (ЦС,ВР 24-25)'!#REF!</definedName>
    <definedName name="Z_E6BB4361_1D58_11D9_A2FD_006098EF8B30_.wvu.FilterData" localSheetId="4" hidden="1">'прил 7 (ЦС,ВР 23)'!#REF!</definedName>
    <definedName name="Z_E6BB4361_1D58_11D9_A2FD_006098EF8B30_.wvu.FilterData" localSheetId="5" hidden="1">'прил 8 (ЦС,ВР 24-25)'!#REF!</definedName>
    <definedName name="Z_EF486DA3_1DF3_11D9_A2FD_006098EF8B30_.wvu.FilterData" localSheetId="4" hidden="1">'прил 7 (ЦС,ВР 23)'!#REF!</definedName>
    <definedName name="Z_EF486DA3_1DF3_11D9_A2FD_006098EF8B30_.wvu.FilterData" localSheetId="5" hidden="1">'прил 8 (ЦС,ВР 24-25)'!#REF!</definedName>
    <definedName name="Z_EF486DA8_1DF3_11D9_A2FD_006098EF8B30_.wvu.FilterData" localSheetId="4" hidden="1">'прил 7 (ЦС,ВР 23)'!#REF!</definedName>
    <definedName name="Z_EF486DA8_1DF3_11D9_A2FD_006098EF8B30_.wvu.FilterData" localSheetId="5" hidden="1">'прил 8 (ЦС,ВР 24-25)'!#REF!</definedName>
    <definedName name="Z_EF486DAA_1DF3_11D9_A2FD_006098EF8B30_.wvu.FilterData" localSheetId="4" hidden="1">'прил 7 (ЦС,ВР 23)'!#REF!</definedName>
    <definedName name="Z_EF486DAA_1DF3_11D9_A2FD_006098EF8B30_.wvu.FilterData" localSheetId="5" hidden="1">'прил 8 (ЦС,ВР 24-25)'!#REF!</definedName>
    <definedName name="Z_EF486DAC_1DF3_11D9_A2FD_006098EF8B30_.wvu.FilterData" localSheetId="4" hidden="1">'прил 7 (ЦС,ВР 23)'!#REF!</definedName>
    <definedName name="Z_EF486DAC_1DF3_11D9_A2FD_006098EF8B30_.wvu.FilterData" localSheetId="5" hidden="1">'прил 8 (ЦС,ВР 24-25)'!#REF!</definedName>
    <definedName name="Z_EF5A4981_C8E4_11D8_A2FC_006098EF8BA8_.wvu.Cols" localSheetId="4" hidden="1">'прил 7 (ЦС,ВР 23)'!$A:$A,'прил 7 (ЦС,ВР 23)'!#REF!,'прил 7 (ЦС,ВР 23)'!#REF!</definedName>
    <definedName name="Z_EF5A4981_C8E4_11D8_A2FC_006098EF8BA8_.wvu.Cols" localSheetId="5" hidden="1">'прил 8 (ЦС,ВР 24-25)'!$A:$A,'прил 8 (ЦС,ВР 24-25)'!#REF!,'прил 8 (ЦС,ВР 24-25)'!#REF!</definedName>
    <definedName name="Z_EF5A4981_C8E4_11D8_A2FC_006098EF8BA8_.wvu.FilterData" localSheetId="4" hidden="1">'прил 7 (ЦС,ВР 23)'!#REF!</definedName>
    <definedName name="Z_EF5A4981_C8E4_11D8_A2FC_006098EF8BA8_.wvu.FilterData" localSheetId="5" hidden="1">'прил 8 (ЦС,ВР 24-25)'!#REF!</definedName>
    <definedName name="Z_EF5A4981_C8E4_11D8_A2FC_006098EF8BA8_.wvu.PrintArea" localSheetId="4" hidden="1">'прил 7 (ЦС,ВР 23)'!#REF!</definedName>
    <definedName name="Z_EF5A4981_C8E4_11D8_A2FC_006098EF8BA8_.wvu.PrintArea" localSheetId="5" hidden="1">'прил 8 (ЦС,ВР 24-25)'!#REF!</definedName>
    <definedName name="Z_EF5A4981_C8E4_11D8_A2FC_006098EF8BA8_.wvu.PrintTitles" localSheetId="4" hidden="1">'прил 7 (ЦС,ВР 23)'!#REF!</definedName>
    <definedName name="Z_EF5A4981_C8E4_11D8_A2FC_006098EF8BA8_.wvu.PrintTitles" localSheetId="5" hidden="1">'прил 8 (ЦС,ВР 24-25)'!#REF!</definedName>
    <definedName name="_xlnm.Print_Titles" localSheetId="3">'прил 6 (Рз,ПР 23-25)'!$14:$14</definedName>
    <definedName name="_xlnm.Print_Titles" localSheetId="4">'прил 7 (ЦС,ВР 23)'!$12:$12</definedName>
    <definedName name="_xlnm.Print_Titles" localSheetId="5">'прил 8 (ЦС,ВР 24-25)'!$13:$13</definedName>
    <definedName name="_xlnm.Print_Titles" localSheetId="0">'прил. 1 (поступл.23-25)'!$14:$14</definedName>
    <definedName name="_xlnm.Print_Titles" localSheetId="8">'прил.11 (Источники 23-25)'!$13:$13</definedName>
    <definedName name="_xlnm.Print_Titles" localSheetId="1">'прил.2(пост.безв.23)'!$13:$13</definedName>
    <definedName name="_xlnm.Print_Titles" localSheetId="2">'прил.3 (пост.безв.24-25)'!$12:$12</definedName>
    <definedName name="_xlnm.Print_Titles" localSheetId="7">'прил10 (ведом 24-25)'!$15:$15</definedName>
    <definedName name="_xlnm.Print_Titles" localSheetId="6">'прил9 (ведом 23)'!$13:$13</definedName>
    <definedName name="_xlnm.Print_Area" localSheetId="3">'прил 6 (Рз,ПР 23-25)'!$A$1:$F$64</definedName>
    <definedName name="_xlnm.Print_Area" localSheetId="4">'прил 7 (ЦС,ВР 23)'!$A$1:$H$621</definedName>
    <definedName name="_xlnm.Print_Area" localSheetId="5">'прил 8 (ЦС,ВР 24-25)'!$A$1:$I$451</definedName>
    <definedName name="_xlnm.Print_Area" localSheetId="0">'прил. 1 (поступл.23-25)'!$A$1:$E$54</definedName>
    <definedName name="_xlnm.Print_Area" localSheetId="8">'прил.11 (Источники 23-25)'!$A$1:$E$34</definedName>
    <definedName name="_xlnm.Print_Area" localSheetId="9">'прил.12 (безв.всего 23-25)'!$A$1:$D$21</definedName>
    <definedName name="_xlnm.Print_Area" localSheetId="1">'прил.2(пост.безв.23)'!$A$1:$C$103</definedName>
    <definedName name="_xlnm.Print_Area" localSheetId="2">'прил.3 (пост.безв.24-25)'!$A$1:$D$73</definedName>
    <definedName name="_xlnm.Print_Area" localSheetId="7">'прил10 (ведом 24-25)'!$A$1:$N$598</definedName>
    <definedName name="_xlnm.Print_Area" localSheetId="6">'прил9 (ведом 23)'!$A$1:$M$840</definedName>
  </definedNames>
  <calcPr calcId="145621"/>
</workbook>
</file>

<file path=xl/calcChain.xml><?xml version="1.0" encoding="utf-8"?>
<calcChain xmlns="http://schemas.openxmlformats.org/spreadsheetml/2006/main">
  <c r="M494" i="3" l="1"/>
  <c r="M492" i="3"/>
  <c r="M75" i="3" l="1"/>
  <c r="M80" i="3"/>
  <c r="M77" i="3" l="1"/>
  <c r="M350" i="3" l="1"/>
  <c r="M349" i="3"/>
  <c r="M87" i="3"/>
  <c r="M84" i="3" l="1"/>
  <c r="M55" i="3"/>
  <c r="M667" i="3" l="1"/>
  <c r="M632" i="3"/>
  <c r="H247" i="7"/>
  <c r="H246" i="7" s="1"/>
  <c r="M753" i="3"/>
  <c r="L754" i="3"/>
  <c r="L753" i="3" s="1"/>
  <c r="M551" i="3"/>
  <c r="M448" i="3"/>
  <c r="M580" i="3"/>
  <c r="M576" i="3"/>
  <c r="M28" i="3" l="1"/>
  <c r="M22" i="3" l="1"/>
  <c r="M66" i="3"/>
  <c r="M220" i="3" l="1"/>
  <c r="M543" i="3" l="1"/>
  <c r="M71" i="3" l="1"/>
  <c r="M485" i="3"/>
  <c r="M648" i="3"/>
  <c r="M661" i="3"/>
  <c r="M626" i="3"/>
  <c r="M325" i="3"/>
  <c r="M56" i="19"/>
  <c r="M792" i="3" l="1"/>
  <c r="N278" i="19"/>
  <c r="M278" i="19"/>
  <c r="N243" i="19"/>
  <c r="M243" i="19"/>
  <c r="M356" i="3"/>
  <c r="M415" i="3"/>
  <c r="H347" i="7" l="1"/>
  <c r="H346" i="7" s="1"/>
  <c r="M294" i="3" l="1"/>
  <c r="M293" i="3" s="1"/>
  <c r="M292" i="3" s="1"/>
  <c r="M291" i="3" s="1"/>
  <c r="M290" i="3" s="1"/>
  <c r="L295" i="3"/>
  <c r="L294" i="3" s="1"/>
  <c r="L293" i="3" s="1"/>
  <c r="L292" i="3" s="1"/>
  <c r="L291" i="3" s="1"/>
  <c r="L290" i="3" s="1"/>
  <c r="M650" i="3" l="1"/>
  <c r="M450" i="3"/>
  <c r="M345" i="3"/>
  <c r="M304" i="3"/>
  <c r="M117" i="3"/>
  <c r="M351" i="3"/>
  <c r="M348" i="3" l="1"/>
  <c r="H604" i="7"/>
  <c r="H603" i="7" s="1"/>
  <c r="H602" i="7" s="1"/>
  <c r="H601" i="7"/>
  <c r="H600" i="7" s="1"/>
  <c r="H599" i="7" s="1"/>
  <c r="M244" i="3"/>
  <c r="M243" i="3" s="1"/>
  <c r="M247" i="3"/>
  <c r="M246" i="3" s="1"/>
  <c r="L248" i="3"/>
  <c r="L247" i="3" s="1"/>
  <c r="L246" i="3" s="1"/>
  <c r="L245" i="3"/>
  <c r="L244" i="3" s="1"/>
  <c r="L243" i="3" s="1"/>
  <c r="M91" i="3"/>
  <c r="K593" i="19"/>
  <c r="K592" i="19" s="1"/>
  <c r="K589" i="19"/>
  <c r="K586" i="19"/>
  <c r="K583" i="19"/>
  <c r="K577" i="19"/>
  <c r="K576" i="19" s="1"/>
  <c r="K573" i="19"/>
  <c r="K570" i="19"/>
  <c r="K567" i="19"/>
  <c r="K564" i="19"/>
  <c r="K553" i="19"/>
  <c r="K552" i="19" s="1"/>
  <c r="K551" i="19" s="1"/>
  <c r="K550" i="19" s="1"/>
  <c r="K549" i="19" s="1"/>
  <c r="K545" i="19"/>
  <c r="K544" i="19" s="1"/>
  <c r="K543" i="19" s="1"/>
  <c r="K542" i="19" s="1"/>
  <c r="K541" i="19" s="1"/>
  <c r="K538" i="19"/>
  <c r="K537" i="19" s="1"/>
  <c r="K535" i="19"/>
  <c r="K534" i="19" s="1"/>
  <c r="K532" i="19"/>
  <c r="K531" i="19" s="1"/>
  <c r="K521" i="19"/>
  <c r="K520" i="19" s="1"/>
  <c r="K519" i="19" s="1"/>
  <c r="K518" i="19" s="1"/>
  <c r="K517" i="19" s="1"/>
  <c r="K516" i="19"/>
  <c r="K515" i="19" s="1"/>
  <c r="K513" i="19"/>
  <c r="K511" i="19"/>
  <c r="K509" i="19"/>
  <c r="K507" i="19"/>
  <c r="K504" i="19"/>
  <c r="K503" i="19" s="1"/>
  <c r="K502" i="19" s="1"/>
  <c r="K501" i="19" s="1"/>
  <c r="K497" i="19"/>
  <c r="K496" i="19" s="1"/>
  <c r="K495" i="19" s="1"/>
  <c r="K493" i="19"/>
  <c r="K492" i="19" s="1"/>
  <c r="K491" i="19" s="1"/>
  <c r="K487" i="19"/>
  <c r="K483" i="19"/>
  <c r="K476" i="19"/>
  <c r="K475" i="19" s="1"/>
  <c r="K474" i="19" s="1"/>
  <c r="K473" i="19" s="1"/>
  <c r="K472" i="19" s="1"/>
  <c r="K471" i="19" s="1"/>
  <c r="K465" i="19"/>
  <c r="K461" i="19"/>
  <c r="K456" i="19"/>
  <c r="K455" i="19" s="1"/>
  <c r="K454" i="19"/>
  <c r="K453" i="19"/>
  <c r="K449" i="19"/>
  <c r="K448" i="19" s="1"/>
  <c r="K447" i="19"/>
  <c r="K446" i="19" s="1"/>
  <c r="K444" i="19"/>
  <c r="K437" i="19"/>
  <c r="K436" i="19" s="1"/>
  <c r="K434" i="19"/>
  <c r="K428" i="19"/>
  <c r="K426" i="19"/>
  <c r="K419" i="19"/>
  <c r="K418" i="19" s="1"/>
  <c r="K417" i="19" s="1"/>
  <c r="K416" i="19" s="1"/>
  <c r="K415" i="19" s="1"/>
  <c r="K414" i="19" s="1"/>
  <c r="K409" i="19"/>
  <c r="K408" i="19" s="1"/>
  <c r="K407" i="19" s="1"/>
  <c r="K406" i="19" s="1"/>
  <c r="K405" i="19" s="1"/>
  <c r="K404" i="19" s="1"/>
  <c r="K402" i="19"/>
  <c r="K401" i="19"/>
  <c r="K400" i="19" s="1"/>
  <c r="K396" i="19"/>
  <c r="K394" i="19"/>
  <c r="K389" i="19"/>
  <c r="K385" i="19"/>
  <c r="K379" i="19"/>
  <c r="K377" i="19"/>
  <c r="K376" i="19"/>
  <c r="K375" i="19"/>
  <c r="K374" i="19"/>
  <c r="K373" i="19"/>
  <c r="K372" i="19"/>
  <c r="K371" i="19"/>
  <c r="K370" i="19"/>
  <c r="K369" i="19" s="1"/>
  <c r="K362" i="19"/>
  <c r="K361" i="19" s="1"/>
  <c r="K360" i="19" s="1"/>
  <c r="K357" i="19"/>
  <c r="K353" i="19"/>
  <c r="K351" i="19"/>
  <c r="K350" i="19"/>
  <c r="K349" i="19"/>
  <c r="K344" i="19"/>
  <c r="K341" i="19"/>
  <c r="K340" i="19"/>
  <c r="K337" i="19" s="1"/>
  <c r="K338" i="19"/>
  <c r="K333" i="19"/>
  <c r="K330" i="19"/>
  <c r="K326" i="19"/>
  <c r="K323" i="19"/>
  <c r="K318" i="19"/>
  <c r="K312" i="19"/>
  <c r="K311" i="19" s="1"/>
  <c r="K310" i="19" s="1"/>
  <c r="K309" i="19" s="1"/>
  <c r="K308" i="19"/>
  <c r="K307" i="19" s="1"/>
  <c r="K305" i="19"/>
  <c r="K303" i="19"/>
  <c r="K301" i="19"/>
  <c r="K294" i="19"/>
  <c r="K293" i="19" s="1"/>
  <c r="K291" i="19"/>
  <c r="K290" i="19" s="1"/>
  <c r="K288" i="19"/>
  <c r="K287" i="19" s="1"/>
  <c r="K279" i="19"/>
  <c r="K277" i="19"/>
  <c r="K270" i="19"/>
  <c r="K269" i="19"/>
  <c r="K268" i="19"/>
  <c r="K262" i="19"/>
  <c r="K261" i="19" s="1"/>
  <c r="K260" i="19" s="1"/>
  <c r="K259" i="19" s="1"/>
  <c r="K258" i="19" s="1"/>
  <c r="K256" i="19"/>
  <c r="K255" i="19"/>
  <c r="K254" i="19" s="1"/>
  <c r="K253" i="19" s="1"/>
  <c r="K252" i="19" s="1"/>
  <c r="K251" i="19" s="1"/>
  <c r="K250" i="19" s="1"/>
  <c r="K247" i="19"/>
  <c r="K246" i="19" s="1"/>
  <c r="K245" i="19" s="1"/>
  <c r="K244" i="19" s="1"/>
  <c r="K242" i="19"/>
  <c r="K241" i="19" s="1"/>
  <c r="K240" i="19" s="1"/>
  <c r="K238" i="19"/>
  <c r="K237" i="19" s="1"/>
  <c r="K236" i="19"/>
  <c r="K235" i="19"/>
  <c r="K234" i="19" s="1"/>
  <c r="K233" i="19"/>
  <c r="K232" i="19" s="1"/>
  <c r="K230" i="19"/>
  <c r="K228" i="19"/>
  <c r="K226" i="19"/>
  <c r="K224" i="19" s="1"/>
  <c r="K221" i="19"/>
  <c r="K220" i="19" s="1"/>
  <c r="K219" i="19" s="1"/>
  <c r="K218" i="19" s="1"/>
  <c r="K209" i="19"/>
  <c r="K208" i="19" s="1"/>
  <c r="K207" i="19" s="1"/>
  <c r="K206" i="19" s="1"/>
  <c r="K205" i="19" s="1"/>
  <c r="K204" i="19" s="1"/>
  <c r="K201" i="19"/>
  <c r="K200" i="19" s="1"/>
  <c r="K199" i="19" s="1"/>
  <c r="K198" i="19" s="1"/>
  <c r="K197" i="19" s="1"/>
  <c r="K196" i="19" s="1"/>
  <c r="K194" i="19"/>
  <c r="K193" i="19" s="1"/>
  <c r="K192" i="19" s="1"/>
  <c r="K191" i="19" s="1"/>
  <c r="K190" i="19" s="1"/>
  <c r="K189" i="19" s="1"/>
  <c r="K187" i="19"/>
  <c r="K186" i="19" s="1"/>
  <c r="K184" i="19"/>
  <c r="K183" i="19" s="1"/>
  <c r="K176" i="19"/>
  <c r="K175" i="19" s="1"/>
  <c r="K174" i="19" s="1"/>
  <c r="K173" i="19" s="1"/>
  <c r="K172" i="19" s="1"/>
  <c r="K167" i="19"/>
  <c r="K166" i="19" s="1"/>
  <c r="K165" i="19" s="1"/>
  <c r="K164" i="19" s="1"/>
  <c r="K163" i="19" s="1"/>
  <c r="K161" i="19"/>
  <c r="K160" i="19" s="1"/>
  <c r="K159" i="19" s="1"/>
  <c r="K158" i="19" s="1"/>
  <c r="K157" i="19" s="1"/>
  <c r="K154" i="19"/>
  <c r="K153" i="19" s="1"/>
  <c r="K152" i="19" s="1"/>
  <c r="K151" i="19" s="1"/>
  <c r="K150" i="19" s="1"/>
  <c r="K149" i="19" s="1"/>
  <c r="K147" i="19"/>
  <c r="K146" i="19" s="1"/>
  <c r="K145" i="19" s="1"/>
  <c r="K144" i="19" s="1"/>
  <c r="K143" i="19" s="1"/>
  <c r="K142" i="19" s="1"/>
  <c r="K141" i="19"/>
  <c r="K140" i="19" s="1"/>
  <c r="K139" i="19" s="1"/>
  <c r="K138" i="19" s="1"/>
  <c r="K137" i="19" s="1"/>
  <c r="K135" i="19"/>
  <c r="K134" i="19" s="1"/>
  <c r="K133" i="19" s="1"/>
  <c r="K132" i="19" s="1"/>
  <c r="K130" i="19"/>
  <c r="K129" i="19" s="1"/>
  <c r="K128" i="19" s="1"/>
  <c r="K126" i="19"/>
  <c r="K125" i="19" s="1"/>
  <c r="K124" i="19" s="1"/>
  <c r="K120" i="19"/>
  <c r="K119" i="19" s="1"/>
  <c r="K118" i="19" s="1"/>
  <c r="K117" i="19" s="1"/>
  <c r="K116" i="19" s="1"/>
  <c r="K114" i="19"/>
  <c r="K113" i="19" s="1"/>
  <c r="K111" i="19"/>
  <c r="K110" i="19" s="1"/>
  <c r="K104" i="19"/>
  <c r="K103" i="19" s="1"/>
  <c r="K102" i="19" s="1"/>
  <c r="K98" i="19"/>
  <c r="K97" i="19" s="1"/>
  <c r="K96" i="19" s="1"/>
  <c r="K94" i="19"/>
  <c r="K93" i="19" s="1"/>
  <c r="K91" i="19"/>
  <c r="K90" i="19" s="1"/>
  <c r="K85" i="19"/>
  <c r="K83" i="19"/>
  <c r="K77" i="19"/>
  <c r="K75" i="19" s="1"/>
  <c r="K74" i="19" s="1"/>
  <c r="K72" i="19"/>
  <c r="K70" i="19"/>
  <c r="K66" i="19"/>
  <c r="K65" i="19" s="1"/>
  <c r="K61" i="19"/>
  <c r="K60" i="19" s="1"/>
  <c r="K59" i="19" s="1"/>
  <c r="K58" i="19" s="1"/>
  <c r="K56" i="19"/>
  <c r="K55" i="19" s="1"/>
  <c r="K54" i="19" s="1"/>
  <c r="K53" i="19" s="1"/>
  <c r="K52" i="19" s="1"/>
  <c r="K50" i="19"/>
  <c r="K49" i="19" s="1"/>
  <c r="K48" i="19" s="1"/>
  <c r="K47" i="19" s="1"/>
  <c r="K46" i="19" s="1"/>
  <c r="K44" i="19"/>
  <c r="K43" i="19" s="1"/>
  <c r="K40" i="19"/>
  <c r="K37" i="19"/>
  <c r="K35" i="19"/>
  <c r="K33" i="19"/>
  <c r="K31" i="19"/>
  <c r="K29" i="19" s="1"/>
  <c r="K23" i="19"/>
  <c r="K22" i="19" s="1"/>
  <c r="K21" i="19" s="1"/>
  <c r="K20" i="19" s="1"/>
  <c r="K19" i="19" s="1"/>
  <c r="K833" i="3"/>
  <c r="K830" i="3"/>
  <c r="K827" i="3"/>
  <c r="K821" i="3"/>
  <c r="K820" i="3" s="1"/>
  <c r="K817" i="3"/>
  <c r="K814" i="3"/>
  <c r="K811" i="3"/>
  <c r="K808" i="3"/>
  <c r="K799" i="3"/>
  <c r="K798" i="3"/>
  <c r="K792" i="3"/>
  <c r="K791" i="3" s="1"/>
  <c r="K790" i="3"/>
  <c r="K789" i="3"/>
  <c r="K788" i="3"/>
  <c r="K780" i="3"/>
  <c r="K779" i="3" s="1"/>
  <c r="K777" i="3"/>
  <c r="K776" i="3" s="1"/>
  <c r="K775" i="3"/>
  <c r="K774" i="3" s="1"/>
  <c r="K773" i="3" s="1"/>
  <c r="K763" i="3"/>
  <c r="K762" i="3" s="1"/>
  <c r="K761" i="3" s="1"/>
  <c r="K760" i="3" s="1"/>
  <c r="K759" i="3" s="1"/>
  <c r="K757" i="3"/>
  <c r="K756" i="3"/>
  <c r="K755" i="3" s="1"/>
  <c r="K751" i="3"/>
  <c r="K750" i="3"/>
  <c r="K749" i="3" s="1"/>
  <c r="K747" i="3"/>
  <c r="K745" i="3" s="1"/>
  <c r="K741" i="3"/>
  <c r="K740" i="3" s="1"/>
  <c r="K739" i="3" s="1"/>
  <c r="K735" i="3"/>
  <c r="K734" i="3" s="1"/>
  <c r="K733" i="3" s="1"/>
  <c r="K732" i="3"/>
  <c r="K731" i="3" s="1"/>
  <c r="K730" i="3" s="1"/>
  <c r="K729" i="3"/>
  <c r="K728" i="3" s="1"/>
  <c r="K727" i="3" s="1"/>
  <c r="K722" i="3"/>
  <c r="K720" i="3"/>
  <c r="K718" i="3" s="1"/>
  <c r="K716" i="3"/>
  <c r="K715" i="3" s="1"/>
  <c r="K714" i="3"/>
  <c r="K713" i="3"/>
  <c r="K712" i="3"/>
  <c r="K708" i="3"/>
  <c r="K707" i="3" s="1"/>
  <c r="K706" i="3" s="1"/>
  <c r="K705" i="3" s="1"/>
  <c r="K701" i="3"/>
  <c r="K700" i="3" s="1"/>
  <c r="K699" i="3" s="1"/>
  <c r="K698" i="3" s="1"/>
  <c r="K697" i="3" s="1"/>
  <c r="K696" i="3" s="1"/>
  <c r="K695" i="3" s="1"/>
  <c r="K691" i="3"/>
  <c r="K690" i="3"/>
  <c r="K687" i="3"/>
  <c r="K686" i="3"/>
  <c r="K682" i="3"/>
  <c r="K681" i="3" s="1"/>
  <c r="K680" i="3" s="1"/>
  <c r="K679" i="3" s="1"/>
  <c r="K676" i="3"/>
  <c r="K675" i="3" s="1"/>
  <c r="K674" i="3"/>
  <c r="K672" i="3" s="1"/>
  <c r="K673" i="3"/>
  <c r="K669" i="3"/>
  <c r="K668" i="3" s="1"/>
  <c r="K666" i="3"/>
  <c r="K665" i="3"/>
  <c r="K664" i="3" s="1"/>
  <c r="K663" i="3"/>
  <c r="K662" i="3"/>
  <c r="K661" i="3"/>
  <c r="K658" i="3"/>
  <c r="K657" i="3" s="1"/>
  <c r="K655" i="3"/>
  <c r="K653" i="3"/>
  <c r="K652" i="3"/>
  <c r="K651" i="3" s="1"/>
  <c r="K649" i="3"/>
  <c r="K648" i="3"/>
  <c r="K647" i="3" s="1"/>
  <c r="K640" i="3"/>
  <c r="K639" i="3" s="1"/>
  <c r="K638" i="3"/>
  <c r="K637" i="3" s="1"/>
  <c r="K636" i="3" s="1"/>
  <c r="K631" i="3"/>
  <c r="K630" i="3"/>
  <c r="K629" i="3" s="1"/>
  <c r="K628" i="3"/>
  <c r="K627" i="3" s="1"/>
  <c r="K626" i="3"/>
  <c r="K625" i="3" s="1"/>
  <c r="K618" i="3"/>
  <c r="K617" i="3" s="1"/>
  <c r="K616" i="3" s="1"/>
  <c r="K614" i="3" s="1"/>
  <c r="K613" i="3" s="1"/>
  <c r="K608" i="3"/>
  <c r="K607" i="3" s="1"/>
  <c r="K606" i="3" s="1"/>
  <c r="K605" i="3" s="1"/>
  <c r="K604" i="3" s="1"/>
  <c r="K603" i="3"/>
  <c r="K602" i="3" s="1"/>
  <c r="K601" i="3" s="1"/>
  <c r="K600" i="3" s="1"/>
  <c r="K599" i="3" s="1"/>
  <c r="K598" i="3" s="1"/>
  <c r="K595" i="3"/>
  <c r="K594" i="3"/>
  <c r="K593" i="3" s="1"/>
  <c r="K591" i="3"/>
  <c r="K589" i="3" s="1"/>
  <c r="K587" i="3"/>
  <c r="K586" i="3"/>
  <c r="K584" i="3" s="1"/>
  <c r="K582" i="3"/>
  <c r="K581" i="3"/>
  <c r="K580" i="3"/>
  <c r="K577" i="3"/>
  <c r="K576" i="3"/>
  <c r="K575" i="3" s="1"/>
  <c r="K572" i="3"/>
  <c r="K571" i="3" s="1"/>
  <c r="K570" i="3" s="1"/>
  <c r="K569" i="3" s="1"/>
  <c r="K566" i="3"/>
  <c r="K565" i="3" s="1"/>
  <c r="K564" i="3" s="1"/>
  <c r="K563" i="3" s="1"/>
  <c r="K562" i="3" s="1"/>
  <c r="K561" i="3"/>
  <c r="K559" i="3" s="1"/>
  <c r="K558" i="3"/>
  <c r="K557" i="3" s="1"/>
  <c r="K555" i="3"/>
  <c r="K554" i="3"/>
  <c r="K553" i="3"/>
  <c r="K552" i="3" s="1"/>
  <c r="K551" i="3"/>
  <c r="K550" i="3" s="1"/>
  <c r="K549" i="3"/>
  <c r="K548" i="3"/>
  <c r="K547" i="3" s="1"/>
  <c r="K546" i="3"/>
  <c r="K545" i="3" s="1"/>
  <c r="K544" i="3"/>
  <c r="K543" i="3"/>
  <c r="K542" i="3"/>
  <c r="K541" i="3"/>
  <c r="K535" i="3"/>
  <c r="K534" i="3" s="1"/>
  <c r="K533" i="3" s="1"/>
  <c r="K532" i="3" s="1"/>
  <c r="K531" i="3"/>
  <c r="K530" i="3" s="1"/>
  <c r="K527" i="3"/>
  <c r="K522" i="3"/>
  <c r="K521" i="3"/>
  <c r="K520" i="3" s="1"/>
  <c r="K519" i="3"/>
  <c r="K518" i="3"/>
  <c r="K517" i="3" s="1"/>
  <c r="K513" i="3"/>
  <c r="K512" i="3"/>
  <c r="K511" i="3" s="1"/>
  <c r="K508" i="3"/>
  <c r="K507" i="3"/>
  <c r="K506" i="3"/>
  <c r="K505" i="3"/>
  <c r="K500" i="3"/>
  <c r="K497" i="3"/>
  <c r="K495" i="3"/>
  <c r="K494" i="3"/>
  <c r="K493" i="3"/>
  <c r="K492" i="3"/>
  <c r="K489" i="3"/>
  <c r="K487" i="3" s="1"/>
  <c r="K488" i="3"/>
  <c r="K486" i="3"/>
  <c r="K485" i="3"/>
  <c r="K483" i="3"/>
  <c r="K482" i="3"/>
  <c r="K481" i="3"/>
  <c r="K473" i="3"/>
  <c r="K472" i="3" s="1"/>
  <c r="K471" i="3" s="1"/>
  <c r="K470" i="3" s="1"/>
  <c r="K468" i="3"/>
  <c r="K467" i="3"/>
  <c r="K466" i="3" s="1"/>
  <c r="K464" i="3"/>
  <c r="K459" i="3"/>
  <c r="K457" i="3"/>
  <c r="K456" i="3"/>
  <c r="K455" i="3" s="1"/>
  <c r="K453" i="3"/>
  <c r="K452" i="3"/>
  <c r="K451" i="3" s="1"/>
  <c r="K450" i="3"/>
  <c r="K449" i="3" s="1"/>
  <c r="K448" i="3"/>
  <c r="K447" i="3" s="1"/>
  <c r="K446" i="3"/>
  <c r="K445" i="3" s="1"/>
  <c r="K439" i="3"/>
  <c r="K438" i="3" s="1"/>
  <c r="K437" i="3" s="1"/>
  <c r="K435" i="3"/>
  <c r="K434" i="3" s="1"/>
  <c r="K433" i="3"/>
  <c r="K432" i="3" s="1"/>
  <c r="K431" i="3" s="1"/>
  <c r="K424" i="3"/>
  <c r="K423" i="3" s="1"/>
  <c r="K422" i="3"/>
  <c r="K421" i="3" s="1"/>
  <c r="K415" i="3"/>
  <c r="K414" i="3" s="1"/>
  <c r="K413" i="3" s="1"/>
  <c r="K412" i="3" s="1"/>
  <c r="K411" i="3" s="1"/>
  <c r="K410" i="3" s="1"/>
  <c r="K409" i="3" s="1"/>
  <c r="K407" i="3"/>
  <c r="K406" i="3" s="1"/>
  <c r="K405" i="3" s="1"/>
  <c r="K404" i="3" s="1"/>
  <c r="K403" i="3" s="1"/>
  <c r="K402" i="3"/>
  <c r="K401" i="3" s="1"/>
  <c r="K400" i="3"/>
  <c r="K399" i="3" s="1"/>
  <c r="K394" i="3"/>
  <c r="K393" i="3" s="1"/>
  <c r="K392" i="3"/>
  <c r="K391" i="3" s="1"/>
  <c r="K385" i="3"/>
  <c r="K384" i="3" s="1"/>
  <c r="K383" i="3" s="1"/>
  <c r="K382" i="3" s="1"/>
  <c r="K381" i="3" s="1"/>
  <c r="K380" i="3" s="1"/>
  <c r="K379" i="3" s="1"/>
  <c r="K377" i="3"/>
  <c r="K376" i="3" s="1"/>
  <c r="K375" i="3" s="1"/>
  <c r="K374" i="3"/>
  <c r="K373" i="3" s="1"/>
  <c r="K372" i="3" s="1"/>
  <c r="K371" i="3" s="1"/>
  <c r="K366" i="3"/>
  <c r="K365" i="3" s="1"/>
  <c r="K364" i="3" s="1"/>
  <c r="K363" i="3" s="1"/>
  <c r="K362" i="3"/>
  <c r="K360" i="3" s="1"/>
  <c r="K359" i="3" s="1"/>
  <c r="K358" i="3" s="1"/>
  <c r="K357" i="3" s="1"/>
  <c r="K355" i="3"/>
  <c r="K354" i="3" s="1"/>
  <c r="K353" i="3" s="1"/>
  <c r="K352" i="3" s="1"/>
  <c r="K351" i="3"/>
  <c r="K349" i="3"/>
  <c r="K348" i="3"/>
  <c r="K347" i="3" s="1"/>
  <c r="K346" i="3" s="1"/>
  <c r="K345" i="3"/>
  <c r="K344" i="3" s="1"/>
  <c r="K343" i="3" s="1"/>
  <c r="K342" i="3"/>
  <c r="K341" i="3"/>
  <c r="K340" i="3" s="1"/>
  <c r="K339" i="3"/>
  <c r="K338" i="3" s="1"/>
  <c r="K337" i="3"/>
  <c r="K336" i="3" s="1"/>
  <c r="K334" i="3"/>
  <c r="K332" i="3" s="1"/>
  <c r="K328" i="3"/>
  <c r="K325" i="3"/>
  <c r="K324" i="3" s="1"/>
  <c r="K323" i="3" s="1"/>
  <c r="K322" i="3"/>
  <c r="K321" i="3" s="1"/>
  <c r="K320" i="3" s="1"/>
  <c r="K312" i="3"/>
  <c r="K311" i="3" s="1"/>
  <c r="K310" i="3" s="1"/>
  <c r="K309" i="3" s="1"/>
  <c r="K308" i="3" s="1"/>
  <c r="K306" i="3"/>
  <c r="K305" i="3"/>
  <c r="K304" i="3"/>
  <c r="K303" i="3"/>
  <c r="K288" i="3"/>
  <c r="K287" i="3" s="1"/>
  <c r="K286" i="3" s="1"/>
  <c r="K285" i="3" s="1"/>
  <c r="K284" i="3" s="1"/>
  <c r="K283" i="3" s="1"/>
  <c r="K281" i="3"/>
  <c r="K280" i="3" s="1"/>
  <c r="K279" i="3" s="1"/>
  <c r="K278" i="3" s="1"/>
  <c r="K277" i="3" s="1"/>
  <c r="K276" i="3" s="1"/>
  <c r="K274" i="3"/>
  <c r="K273" i="3" s="1"/>
  <c r="K271" i="3"/>
  <c r="K270" i="3" s="1"/>
  <c r="K266" i="3"/>
  <c r="K265" i="3" s="1"/>
  <c r="K264" i="3" s="1"/>
  <c r="K261" i="3"/>
  <c r="K260" i="3" s="1"/>
  <c r="K259" i="3" s="1"/>
  <c r="K251" i="3"/>
  <c r="K250" i="3" s="1"/>
  <c r="K249" i="3" s="1"/>
  <c r="K241" i="3"/>
  <c r="K240" i="3" s="1"/>
  <c r="K238" i="3"/>
  <c r="K237" i="3" s="1"/>
  <c r="K235" i="3"/>
  <c r="K234" i="3" s="1"/>
  <c r="K233" i="3"/>
  <c r="K232" i="3" s="1"/>
  <c r="K231" i="3" s="1"/>
  <c r="K229" i="3"/>
  <c r="K228" i="3" s="1"/>
  <c r="K226" i="3"/>
  <c r="K225" i="3" s="1"/>
  <c r="K220" i="3"/>
  <c r="K219" i="3"/>
  <c r="K218" i="3" s="1"/>
  <c r="K217" i="3" s="1"/>
  <c r="K216" i="3" s="1"/>
  <c r="K215" i="3" s="1"/>
  <c r="K213" i="3"/>
  <c r="K212" i="3" s="1"/>
  <c r="K211" i="3" s="1"/>
  <c r="K210" i="3" s="1"/>
  <c r="K209" i="3" s="1"/>
  <c r="K208" i="3"/>
  <c r="K207" i="3" s="1"/>
  <c r="K206" i="3" s="1"/>
  <c r="K205" i="3" s="1"/>
  <c r="K204" i="3" s="1"/>
  <c r="K203" i="3" s="1"/>
  <c r="K201" i="3"/>
  <c r="K200" i="3"/>
  <c r="K199" i="3" s="1"/>
  <c r="K198" i="3" s="1"/>
  <c r="K197" i="3" s="1"/>
  <c r="K196" i="3" s="1"/>
  <c r="K195" i="3" s="1"/>
  <c r="K194" i="3"/>
  <c r="K193" i="3" s="1"/>
  <c r="K192" i="3" s="1"/>
  <c r="K191" i="3" s="1"/>
  <c r="K190" i="3" s="1"/>
  <c r="K189" i="3" s="1"/>
  <c r="K188" i="3"/>
  <c r="K187" i="3" s="1"/>
  <c r="K185" i="3"/>
  <c r="K183" i="3"/>
  <c r="K176" i="3"/>
  <c r="K175" i="3" s="1"/>
  <c r="K174" i="3"/>
  <c r="K173" i="3" s="1"/>
  <c r="K172" i="3"/>
  <c r="K171" i="3" s="1"/>
  <c r="K169" i="3"/>
  <c r="K164" i="3"/>
  <c r="K162" i="3"/>
  <c r="K161" i="3"/>
  <c r="K160" i="3" s="1"/>
  <c r="K155" i="3"/>
  <c r="K154" i="3" s="1"/>
  <c r="K153" i="3" s="1"/>
  <c r="K151" i="3"/>
  <c r="K150" i="3" s="1"/>
  <c r="K149" i="3" s="1"/>
  <c r="K146" i="3"/>
  <c r="K145" i="3" s="1"/>
  <c r="K144" i="3" s="1"/>
  <c r="K143" i="3" s="1"/>
  <c r="K142" i="3" s="1"/>
  <c r="K141" i="3" s="1"/>
  <c r="K139" i="3"/>
  <c r="K138" i="3" s="1"/>
  <c r="K136" i="3"/>
  <c r="K135" i="3" s="1"/>
  <c r="K129" i="3"/>
  <c r="K128" i="3" s="1"/>
  <c r="K127" i="3" s="1"/>
  <c r="K126" i="3"/>
  <c r="K125" i="3" s="1"/>
  <c r="K124" i="3" s="1"/>
  <c r="K122" i="3"/>
  <c r="K120" i="3" s="1"/>
  <c r="K119" i="3" s="1"/>
  <c r="K117" i="3"/>
  <c r="K116" i="3" s="1"/>
  <c r="K115" i="3" s="1"/>
  <c r="K113" i="3"/>
  <c r="K111" i="3"/>
  <c r="K105" i="3"/>
  <c r="K103" i="3"/>
  <c r="K101" i="3"/>
  <c r="K99" i="3"/>
  <c r="K92" i="3"/>
  <c r="K91" i="3"/>
  <c r="K90" i="3" s="1"/>
  <c r="K86" i="3"/>
  <c r="K84" i="3"/>
  <c r="K83" i="3"/>
  <c r="K80" i="3"/>
  <c r="K79" i="3" s="1"/>
  <c r="K78" i="3" s="1"/>
  <c r="K77" i="3"/>
  <c r="K76" i="3"/>
  <c r="K75" i="3"/>
  <c r="K74" i="3" s="1"/>
  <c r="K71" i="3"/>
  <c r="K70" i="3" s="1"/>
  <c r="K69" i="3" s="1"/>
  <c r="K66" i="3"/>
  <c r="K65" i="3" s="1"/>
  <c r="K64" i="3" s="1"/>
  <c r="K63" i="3" s="1"/>
  <c r="K62" i="3" s="1"/>
  <c r="K60" i="3"/>
  <c r="K59" i="3" s="1"/>
  <c r="K58" i="3" s="1"/>
  <c r="K57" i="3" s="1"/>
  <c r="K55" i="3"/>
  <c r="K54" i="3" s="1"/>
  <c r="K53" i="3" s="1"/>
  <c r="K52" i="3" s="1"/>
  <c r="K51" i="3" s="1"/>
  <c r="K49" i="3"/>
  <c r="K48" i="3" s="1"/>
  <c r="K47" i="3" s="1"/>
  <c r="K46" i="3" s="1"/>
  <c r="K45" i="3" s="1"/>
  <c r="K43" i="3"/>
  <c r="K42" i="3" s="1"/>
  <c r="K39" i="3"/>
  <c r="K36" i="3"/>
  <c r="K34" i="3"/>
  <c r="K32" i="3"/>
  <c r="K31" i="3"/>
  <c r="K29" i="3"/>
  <c r="K28" i="3"/>
  <c r="K22" i="3"/>
  <c r="K21" i="3" s="1"/>
  <c r="K20" i="3" s="1"/>
  <c r="K19" i="3" s="1"/>
  <c r="K18" i="3" s="1"/>
  <c r="K17" i="3" s="1"/>
  <c r="K368" i="19" l="1"/>
  <c r="K367" i="19" s="1"/>
  <c r="K366" i="19" s="1"/>
  <c r="K365" i="19" s="1"/>
  <c r="K540" i="3"/>
  <c r="K539" i="3" s="1"/>
  <c r="K538" i="3" s="1"/>
  <c r="K537" i="3" s="1"/>
  <c r="K536" i="3" s="1"/>
  <c r="K685" i="3"/>
  <c r="K82" i="3"/>
  <c r="K484" i="3"/>
  <c r="K797" i="3"/>
  <c r="K796" i="3" s="1"/>
  <c r="K795" i="3" s="1"/>
  <c r="K794" i="3" s="1"/>
  <c r="K793" i="3" s="1"/>
  <c r="K27" i="3"/>
  <c r="K26" i="3" s="1"/>
  <c r="K25" i="3" s="1"/>
  <c r="K24" i="3" s="1"/>
  <c r="K23" i="3" s="1"/>
  <c r="K490" i="3"/>
  <c r="K579" i="3"/>
  <c r="K660" i="3"/>
  <c r="K659" i="3" s="1"/>
  <c r="K82" i="19"/>
  <c r="K81" i="19" s="1"/>
  <c r="K80" i="19" s="1"/>
  <c r="K79" i="19" s="1"/>
  <c r="K452" i="19"/>
  <c r="K451" i="19" s="1"/>
  <c r="K443" i="19"/>
  <c r="K442" i="19" s="1"/>
  <c r="K276" i="19"/>
  <c r="K275" i="19" s="1"/>
  <c r="K274" i="19" s="1"/>
  <c r="K273" i="19" s="1"/>
  <c r="K272" i="19" s="1"/>
  <c r="K563" i="19"/>
  <c r="K562" i="19" s="1"/>
  <c r="K561" i="19" s="1"/>
  <c r="K560" i="19" s="1"/>
  <c r="K69" i="19"/>
  <c r="K64" i="19" s="1"/>
  <c r="K63" i="19" s="1"/>
  <c r="K57" i="19" s="1"/>
  <c r="K267" i="19"/>
  <c r="K266" i="19" s="1"/>
  <c r="K265" i="19" s="1"/>
  <c r="K264" i="19" s="1"/>
  <c r="K257" i="19" s="1"/>
  <c r="K109" i="19"/>
  <c r="K108" i="19" s="1"/>
  <c r="K107" i="19" s="1"/>
  <c r="K433" i="19"/>
  <c r="K432" i="19" s="1"/>
  <c r="K431" i="19" s="1"/>
  <c r="K430" i="19" s="1"/>
  <c r="K460" i="19"/>
  <c r="K459" i="19" s="1"/>
  <c r="K458" i="19" s="1"/>
  <c r="K457" i="19" s="1"/>
  <c r="K482" i="19"/>
  <c r="K481" i="19" s="1"/>
  <c r="K480" i="19" s="1"/>
  <c r="K479" i="19" s="1"/>
  <c r="K384" i="19"/>
  <c r="K425" i="19"/>
  <c r="K424" i="19" s="1"/>
  <c r="K423" i="19" s="1"/>
  <c r="K422" i="19" s="1"/>
  <c r="K490" i="19"/>
  <c r="K489" i="19" s="1"/>
  <c r="K89" i="19"/>
  <c r="K88" i="19" s="1"/>
  <c r="K87" i="19" s="1"/>
  <c r="K28" i="19"/>
  <c r="K27" i="19" s="1"/>
  <c r="K26" i="19" s="1"/>
  <c r="K25" i="19" s="1"/>
  <c r="K582" i="19"/>
  <c r="K581" i="19" s="1"/>
  <c r="K580" i="19" s="1"/>
  <c r="K579" i="19" s="1"/>
  <c r="K559" i="19" s="1"/>
  <c r="K558" i="19" s="1"/>
  <c r="K81" i="3"/>
  <c r="K597" i="3"/>
  <c r="K671" i="3"/>
  <c r="K670" i="3" s="1"/>
  <c r="K159" i="3"/>
  <c r="K158" i="3" s="1"/>
  <c r="K157" i="3" s="1"/>
  <c r="K168" i="3"/>
  <c r="K167" i="3" s="1"/>
  <c r="K166" i="3" s="1"/>
  <c r="K504" i="3"/>
  <c r="K689" i="3"/>
  <c r="K787" i="3"/>
  <c r="K786" i="3" s="1"/>
  <c r="K785" i="3" s="1"/>
  <c r="K784" i="3" s="1"/>
  <c r="K783" i="3" s="1"/>
  <c r="K89" i="3"/>
  <c r="K88" i="3" s="1"/>
  <c r="K398" i="3"/>
  <c r="K397" i="3" s="1"/>
  <c r="K396" i="3" s="1"/>
  <c r="K395" i="3" s="1"/>
  <c r="K444" i="3"/>
  <c r="K443" i="3" s="1"/>
  <c r="K442" i="3" s="1"/>
  <c r="K624" i="3"/>
  <c r="K623" i="3" s="1"/>
  <c r="K622" i="3" s="1"/>
  <c r="K621" i="3" s="1"/>
  <c r="K717" i="3"/>
  <c r="K646" i="3"/>
  <c r="K110" i="3"/>
  <c r="K109" i="3" s="1"/>
  <c r="K390" i="3"/>
  <c r="K389" i="3" s="1"/>
  <c r="K388" i="3" s="1"/>
  <c r="K387" i="3" s="1"/>
  <c r="K327" i="3"/>
  <c r="K326" i="3" s="1"/>
  <c r="K526" i="3"/>
  <c r="K807" i="3"/>
  <c r="K806" i="3" s="1"/>
  <c r="K805" i="3" s="1"/>
  <c r="K804" i="3" s="1"/>
  <c r="K826" i="3"/>
  <c r="K825" i="3" s="1"/>
  <c r="K824" i="3" s="1"/>
  <c r="K823" i="3" s="1"/>
  <c r="K370" i="3"/>
  <c r="K369" i="3" s="1"/>
  <c r="K368" i="3" s="1"/>
  <c r="K574" i="3"/>
  <c r="K98" i="3"/>
  <c r="K97" i="3" s="1"/>
  <c r="K96" i="3" s="1"/>
  <c r="K95" i="3" s="1"/>
  <c r="K319" i="3"/>
  <c r="K744" i="3"/>
  <c r="K743" i="3" s="1"/>
  <c r="K738" i="3" s="1"/>
  <c r="K737" i="3" s="1"/>
  <c r="K148" i="3"/>
  <c r="K134" i="3"/>
  <c r="K133" i="3" s="1"/>
  <c r="K132" i="3" s="1"/>
  <c r="K202" i="3"/>
  <c r="K430" i="3"/>
  <c r="K429" i="3" s="1"/>
  <c r="K428" i="3" s="1"/>
  <c r="K427" i="3" s="1"/>
  <c r="K224" i="3"/>
  <c r="K223" i="3" s="1"/>
  <c r="K222" i="3" s="1"/>
  <c r="K221" i="3" s="1"/>
  <c r="K463" i="3"/>
  <c r="K462" i="3" s="1"/>
  <c r="K461" i="3" s="1"/>
  <c r="K118" i="3"/>
  <c r="K269" i="3"/>
  <c r="K268" i="3" s="1"/>
  <c r="K267" i="3" s="1"/>
  <c r="K506" i="19"/>
  <c r="K505" i="19" s="1"/>
  <c r="K500" i="19" s="1"/>
  <c r="K499" i="19" s="1"/>
  <c r="K123" i="19"/>
  <c r="K122" i="19" s="1"/>
  <c r="K182" i="19"/>
  <c r="K181" i="19" s="1"/>
  <c r="K180" i="19" s="1"/>
  <c r="K171" i="19" s="1"/>
  <c r="K170" i="19" s="1"/>
  <c r="K286" i="19"/>
  <c r="K285" i="19" s="1"/>
  <c r="K284" i="19" s="1"/>
  <c r="K283" i="19" s="1"/>
  <c r="K300" i="19"/>
  <c r="K299" i="19" s="1"/>
  <c r="K298" i="19" s="1"/>
  <c r="K297" i="19" s="1"/>
  <c r="K399" i="19"/>
  <c r="K156" i="19"/>
  <c r="K223" i="19"/>
  <c r="K222" i="19" s="1"/>
  <c r="K217" i="19" s="1"/>
  <c r="K216" i="19" s="1"/>
  <c r="K215" i="19" s="1"/>
  <c r="K348" i="19"/>
  <c r="K317" i="19" s="1"/>
  <c r="K316" i="19" s="1"/>
  <c r="K315" i="19" s="1"/>
  <c r="K314" i="19" s="1"/>
  <c r="K530" i="19"/>
  <c r="K529" i="19" s="1"/>
  <c r="K528" i="19" s="1"/>
  <c r="K527" i="19" s="1"/>
  <c r="K540" i="19"/>
  <c r="K73" i="3"/>
  <c r="K182" i="3"/>
  <c r="K258" i="3"/>
  <c r="K257" i="3" s="1"/>
  <c r="K256" i="3" s="1"/>
  <c r="K635" i="3"/>
  <c r="K634" i="3" s="1"/>
  <c r="K633" i="3" s="1"/>
  <c r="K726" i="3"/>
  <c r="K725" i="3" s="1"/>
  <c r="K724" i="3" s="1"/>
  <c r="K772" i="3"/>
  <c r="K771" i="3" s="1"/>
  <c r="K770" i="3" s="1"/>
  <c r="K769" i="3" s="1"/>
  <c r="K615" i="3"/>
  <c r="K302" i="3"/>
  <c r="K301" i="3" s="1"/>
  <c r="K300" i="3" s="1"/>
  <c r="K299" i="3" s="1"/>
  <c r="K298" i="3" s="1"/>
  <c r="K297" i="3" s="1"/>
  <c r="K420" i="3"/>
  <c r="K419" i="3" s="1"/>
  <c r="K418" i="3" s="1"/>
  <c r="K417" i="3" s="1"/>
  <c r="K416" i="3" s="1"/>
  <c r="K479" i="3"/>
  <c r="K592" i="3"/>
  <c r="K711" i="3"/>
  <c r="K710" i="3" s="1"/>
  <c r="K684" i="3" l="1"/>
  <c r="K683" i="3" s="1"/>
  <c r="K678" i="3" s="1"/>
  <c r="K677" i="3" s="1"/>
  <c r="K782" i="3"/>
  <c r="K421" i="19"/>
  <c r="K78" i="19"/>
  <c r="K441" i="19"/>
  <c r="K440" i="19" s="1"/>
  <c r="K439" i="19" s="1"/>
  <c r="K383" i="19"/>
  <c r="K382" i="19" s="1"/>
  <c r="K381" i="19" s="1"/>
  <c r="K106" i="19"/>
  <c r="K214" i="19"/>
  <c r="K478" i="19"/>
  <c r="K470" i="19" s="1"/>
  <c r="K18" i="19"/>
  <c r="K68" i="3"/>
  <c r="K67" i="3" s="1"/>
  <c r="K56" i="3" s="1"/>
  <c r="K16" i="3" s="1"/>
  <c r="K478" i="3"/>
  <c r="K477" i="3" s="1"/>
  <c r="K476" i="3" s="1"/>
  <c r="K475" i="3" s="1"/>
  <c r="K386" i="3"/>
  <c r="K768" i="3"/>
  <c r="K441" i="3"/>
  <c r="K645" i="3"/>
  <c r="K644" i="3" s="1"/>
  <c r="K643" i="3" s="1"/>
  <c r="K803" i="3"/>
  <c r="K802" i="3" s="1"/>
  <c r="K709" i="3"/>
  <c r="K704" i="3" s="1"/>
  <c r="K703" i="3" s="1"/>
  <c r="K702" i="3" s="1"/>
  <c r="K694" i="3" s="1"/>
  <c r="K147" i="3"/>
  <c r="K131" i="3" s="1"/>
  <c r="K620" i="3"/>
  <c r="K318" i="3"/>
  <c r="K317" i="3" s="1"/>
  <c r="K316" i="3" s="1"/>
  <c r="K573" i="3"/>
  <c r="K568" i="3" s="1"/>
  <c r="K567" i="3" s="1"/>
  <c r="K255" i="3"/>
  <c r="K254" i="3" s="1"/>
  <c r="K108" i="3"/>
  <c r="K107" i="3" s="1"/>
  <c r="K94" i="3" s="1"/>
  <c r="K526" i="19"/>
  <c r="K296" i="19"/>
  <c r="K282" i="19" s="1"/>
  <c r="K181" i="3"/>
  <c r="K180" i="3"/>
  <c r="K179" i="3" s="1"/>
  <c r="K178" i="3" s="1"/>
  <c r="K642" i="3" l="1"/>
  <c r="K612" i="3" s="1"/>
  <c r="K413" i="19"/>
  <c r="K17" i="19"/>
  <c r="K16" i="19" s="1"/>
  <c r="K440" i="3"/>
  <c r="K426" i="3" s="1"/>
  <c r="K315" i="3"/>
  <c r="K15" i="3"/>
  <c r="K14" i="3" l="1"/>
  <c r="H598" i="7"/>
  <c r="H597" i="7" s="1"/>
  <c r="H596" i="7" s="1"/>
  <c r="M241" i="3"/>
  <c r="M240" i="3" s="1"/>
  <c r="L242" i="3"/>
  <c r="L241" i="3" s="1"/>
  <c r="L240" i="3" s="1"/>
  <c r="M233" i="3"/>
  <c r="B16" i="9" s="1"/>
  <c r="M628" i="3" l="1"/>
  <c r="M690" i="3"/>
  <c r="M630" i="3"/>
  <c r="M558" i="3" l="1"/>
  <c r="M557" i="3" s="1"/>
  <c r="M374" i="3" l="1"/>
  <c r="M507" i="3" l="1"/>
  <c r="M505" i="3"/>
  <c r="M377" i="3" l="1"/>
  <c r="M376" i="3" s="1"/>
  <c r="M375" i="3" s="1"/>
  <c r="L378" i="3"/>
  <c r="L377" i="3" s="1"/>
  <c r="L376" i="3" s="1"/>
  <c r="L375" i="3" s="1"/>
  <c r="M789" i="3" l="1"/>
  <c r="M433" i="3"/>
  <c r="M439" i="3"/>
  <c r="M334" i="3" l="1"/>
  <c r="M561" i="3" l="1"/>
  <c r="M798" i="3" l="1"/>
  <c r="M747" i="3"/>
  <c r="M686" i="3"/>
  <c r="M674" i="3"/>
  <c r="M687" i="3"/>
  <c r="M342" i="3"/>
  <c r="M339" i="3"/>
  <c r="M337" i="3"/>
  <c r="H393" i="7"/>
  <c r="M400" i="3"/>
  <c r="M446" i="3"/>
  <c r="M603" i="3" l="1"/>
  <c r="M512" i="3"/>
  <c r="H34" i="7"/>
  <c r="H33" i="7" s="1"/>
  <c r="M457" i="3"/>
  <c r="L458" i="3"/>
  <c r="L457" i="3" s="1"/>
  <c r="M544" i="3" l="1"/>
  <c r="M481" i="3"/>
  <c r="M486" i="3"/>
  <c r="C28" i="8" l="1"/>
  <c r="M122" i="3" l="1"/>
  <c r="M188" i="3"/>
  <c r="M489" i="3"/>
  <c r="I190" i="18" l="1"/>
  <c r="I189" i="18" s="1"/>
  <c r="H190" i="18"/>
  <c r="H189" i="18" s="1"/>
  <c r="N497" i="19"/>
  <c r="N496" i="19" s="1"/>
  <c r="N495" i="19" s="1"/>
  <c r="M497" i="19"/>
  <c r="M496" i="19" s="1"/>
  <c r="M495" i="19" s="1"/>
  <c r="L498" i="19"/>
  <c r="L497" i="19" s="1"/>
  <c r="L496" i="19" s="1"/>
  <c r="L495" i="19" s="1"/>
  <c r="H249" i="7"/>
  <c r="H248" i="7" s="1"/>
  <c r="M735" i="3"/>
  <c r="M734" i="3" s="1"/>
  <c r="M733" i="3" s="1"/>
  <c r="L736" i="3"/>
  <c r="L735" i="3" s="1"/>
  <c r="L734" i="3" s="1"/>
  <c r="L733" i="3" s="1"/>
  <c r="M506" i="3"/>
  <c r="M483" i="3"/>
  <c r="H38" i="7"/>
  <c r="H37" i="7" s="1"/>
  <c r="M459" i="3" l="1"/>
  <c r="L460" i="3"/>
  <c r="L459" i="3" s="1"/>
  <c r="H592" i="7"/>
  <c r="H591" i="7" s="1"/>
  <c r="H590" i="7" s="1"/>
  <c r="M238" i="3"/>
  <c r="M237" i="3" s="1"/>
  <c r="L239" i="3"/>
  <c r="L238" i="3" s="1"/>
  <c r="L237" i="3" s="1"/>
  <c r="H595" i="7"/>
  <c r="H594" i="7" s="1"/>
  <c r="H593" i="7" s="1"/>
  <c r="M366" i="3"/>
  <c r="M365" i="3" s="1"/>
  <c r="M364" i="3" s="1"/>
  <c r="M363" i="3" s="1"/>
  <c r="L367" i="3"/>
  <c r="L366" i="3" s="1"/>
  <c r="L365" i="3" s="1"/>
  <c r="L364" i="3" s="1"/>
  <c r="L363" i="3" s="1"/>
  <c r="M303" i="3"/>
  <c r="H436" i="7" l="1"/>
  <c r="H435" i="7" s="1"/>
  <c r="H434" i="7" s="1"/>
  <c r="M548" i="3" l="1"/>
  <c r="M549" i="3"/>
  <c r="M488" i="3"/>
  <c r="L603" i="3"/>
  <c r="L602" i="3" s="1"/>
  <c r="L601" i="3" s="1"/>
  <c r="L600" i="3" s="1"/>
  <c r="L599" i="3" s="1"/>
  <c r="L598" i="3" s="1"/>
  <c r="M602" i="3"/>
  <c r="M601" i="3" s="1"/>
  <c r="M600" i="3" s="1"/>
  <c r="M599" i="3" s="1"/>
  <c r="M598" i="3" s="1"/>
  <c r="M422" i="3" l="1"/>
  <c r="M586" i="3" l="1"/>
  <c r="M584" i="3" s="1"/>
  <c r="M261" i="3" l="1"/>
  <c r="M260" i="3" s="1"/>
  <c r="M535" i="3" l="1"/>
  <c r="M534" i="3" s="1"/>
  <c r="M790" i="3" l="1"/>
  <c r="M256" i="19"/>
  <c r="H336" i="18" s="1"/>
  <c r="H335" i="18" s="1"/>
  <c r="H334" i="18" s="1"/>
  <c r="H333" i="18" s="1"/>
  <c r="I336" i="18"/>
  <c r="I335" i="18" s="1"/>
  <c r="I334" i="18" s="1"/>
  <c r="I333" i="18" s="1"/>
  <c r="N255" i="19"/>
  <c r="N254" i="19" s="1"/>
  <c r="N253" i="19" s="1"/>
  <c r="N252" i="19" s="1"/>
  <c r="N251" i="19" s="1"/>
  <c r="M236" i="19"/>
  <c r="M230" i="19"/>
  <c r="M226" i="19"/>
  <c r="M233" i="19"/>
  <c r="M221" i="19"/>
  <c r="M266" i="3"/>
  <c r="M665" i="3"/>
  <c r="M682" i="3"/>
  <c r="M720" i="3"/>
  <c r="M673" i="3"/>
  <c r="M452" i="3"/>
  <c r="L256" i="19" l="1"/>
  <c r="L255" i="19" s="1"/>
  <c r="L254" i="19" s="1"/>
  <c r="L253" i="19" s="1"/>
  <c r="L252" i="19" s="1"/>
  <c r="L251" i="19" s="1"/>
  <c r="L250" i="19" s="1"/>
  <c r="M255" i="19"/>
  <c r="M254" i="19" s="1"/>
  <c r="M253" i="19" s="1"/>
  <c r="M252" i="19" s="1"/>
  <c r="M251" i="19" s="1"/>
  <c r="M250" i="19" s="1"/>
  <c r="N620" i="19"/>
  <c r="N250" i="19"/>
  <c r="M620" i="19" l="1"/>
  <c r="M546" i="3"/>
  <c r="M322" i="3"/>
  <c r="M31" i="19"/>
  <c r="M141" i="19"/>
  <c r="M174" i="3"/>
  <c r="H433" i="7"/>
  <c r="H432" i="7" s="1"/>
  <c r="H431" i="7" s="1"/>
  <c r="M213" i="3"/>
  <c r="M212" i="3" s="1"/>
  <c r="M211" i="3" s="1"/>
  <c r="M210" i="3" s="1"/>
  <c r="M209" i="3" s="1"/>
  <c r="M880" i="3" s="1"/>
  <c r="L214" i="3"/>
  <c r="L213" i="3" s="1"/>
  <c r="L212" i="3" s="1"/>
  <c r="L211" i="3" s="1"/>
  <c r="L210" i="3" s="1"/>
  <c r="L209" i="3" s="1"/>
  <c r="M83" i="3"/>
  <c r="I420" i="18" l="1"/>
  <c r="I419" i="18" s="1"/>
  <c r="I418" i="18" s="1"/>
  <c r="H420" i="18"/>
  <c r="H419" i="18" s="1"/>
  <c r="H418" i="18" s="1"/>
  <c r="N140" i="19"/>
  <c r="N139" i="19" s="1"/>
  <c r="N138" i="19" s="1"/>
  <c r="N137" i="19" s="1"/>
  <c r="M140" i="19"/>
  <c r="M139" i="19" s="1"/>
  <c r="M138" i="19" s="1"/>
  <c r="M137" i="19" s="1"/>
  <c r="L141" i="19"/>
  <c r="L140" i="19" s="1"/>
  <c r="L139" i="19" s="1"/>
  <c r="L138" i="19" s="1"/>
  <c r="L137" i="19" s="1"/>
  <c r="H545" i="7"/>
  <c r="H544" i="7" s="1"/>
  <c r="M173" i="3"/>
  <c r="L174" i="3"/>
  <c r="L173" i="3" s="1"/>
  <c r="M509" i="19"/>
  <c r="H589" i="7" l="1"/>
  <c r="H588" i="7" s="1"/>
  <c r="H587" i="7" s="1"/>
  <c r="M235" i="3"/>
  <c r="M234" i="3" s="1"/>
  <c r="L236" i="3"/>
  <c r="L235" i="3" s="1"/>
  <c r="L234" i="3" s="1"/>
  <c r="H609" i="7"/>
  <c r="H608" i="7" s="1"/>
  <c r="M90" i="3"/>
  <c r="L91" i="3"/>
  <c r="L90" i="3" s="1"/>
  <c r="N509" i="19"/>
  <c r="N516" i="19"/>
  <c r="M516" i="19"/>
  <c r="M756" i="3"/>
  <c r="H583" i="7" l="1"/>
  <c r="H586" i="7"/>
  <c r="H585" i="7" s="1"/>
  <c r="H584" i="7" s="1"/>
  <c r="M232" i="3"/>
  <c r="M231" i="3" s="1"/>
  <c r="L233" i="3"/>
  <c r="L232" i="3" s="1"/>
  <c r="L231" i="3" s="1"/>
  <c r="M467" i="3" l="1"/>
  <c r="L467" i="3" s="1"/>
  <c r="L466" i="3" s="1"/>
  <c r="H312" i="7" l="1"/>
  <c r="M466" i="3"/>
  <c r="M594" i="3" l="1"/>
  <c r="M31" i="3" l="1"/>
  <c r="M750" i="3" l="1"/>
  <c r="H611" i="7" l="1"/>
  <c r="H610" i="7" s="1"/>
  <c r="H582" i="7"/>
  <c r="H581" i="7" s="1"/>
  <c r="L252" i="3" l="1"/>
  <c r="L251" i="3" s="1"/>
  <c r="L250" i="3" s="1"/>
  <c r="L249" i="3" s="1"/>
  <c r="M251" i="3"/>
  <c r="M250" i="3" s="1"/>
  <c r="M249" i="3" s="1"/>
  <c r="L230" i="3" l="1"/>
  <c r="L229" i="3" s="1"/>
  <c r="L228" i="3" s="1"/>
  <c r="M229" i="3"/>
  <c r="M228" i="3" s="1"/>
  <c r="M305" i="3"/>
  <c r="I188" i="18" l="1"/>
  <c r="H188" i="18"/>
  <c r="I186" i="18"/>
  <c r="H186" i="18"/>
  <c r="I184" i="18"/>
  <c r="H184" i="18"/>
  <c r="I183" i="18"/>
  <c r="H183" i="18"/>
  <c r="I182" i="18"/>
  <c r="H182" i="18"/>
  <c r="I170" i="18"/>
  <c r="M504" i="19"/>
  <c r="M503" i="19" s="1"/>
  <c r="M502" i="19" s="1"/>
  <c r="M501" i="19" s="1"/>
  <c r="N503" i="19"/>
  <c r="N502" i="19" s="1"/>
  <c r="N501" i="19" s="1"/>
  <c r="N515" i="19"/>
  <c r="H192" i="18"/>
  <c r="L514" i="19"/>
  <c r="L513" i="19" s="1"/>
  <c r="N513" i="19"/>
  <c r="M513" i="19"/>
  <c r="L512" i="19"/>
  <c r="L511" i="19" s="1"/>
  <c r="N511" i="19"/>
  <c r="M511" i="19"/>
  <c r="L510" i="19"/>
  <c r="L509" i="19"/>
  <c r="L508" i="19"/>
  <c r="N507" i="19"/>
  <c r="M507" i="19"/>
  <c r="H253" i="7"/>
  <c r="H251" i="7"/>
  <c r="H245" i="7"/>
  <c r="M751" i="3"/>
  <c r="M757" i="3"/>
  <c r="M755" i="3"/>
  <c r="M749" i="3"/>
  <c r="M745" i="3"/>
  <c r="M716" i="3"/>
  <c r="H243" i="7" s="1"/>
  <c r="M714" i="3"/>
  <c r="H241" i="7" s="1"/>
  <c r="M713" i="3"/>
  <c r="H240" i="7" s="1"/>
  <c r="M712" i="3"/>
  <c r="H239" i="7" s="1"/>
  <c r="M741" i="3"/>
  <c r="M740" i="3" s="1"/>
  <c r="M739" i="3" s="1"/>
  <c r="L758" i="3"/>
  <c r="L757" i="3" s="1"/>
  <c r="L756" i="3"/>
  <c r="L755" i="3" s="1"/>
  <c r="L752" i="3"/>
  <c r="L751" i="3" s="1"/>
  <c r="L748" i="3"/>
  <c r="L747" i="3"/>
  <c r="L742" i="3"/>
  <c r="L741" i="3" s="1"/>
  <c r="L740" i="3" s="1"/>
  <c r="L739" i="3" s="1"/>
  <c r="M708" i="3"/>
  <c r="H224" i="7" s="1"/>
  <c r="N506" i="19" l="1"/>
  <c r="N505" i="19" s="1"/>
  <c r="N500" i="19" s="1"/>
  <c r="N499" i="19" s="1"/>
  <c r="N643" i="19" s="1"/>
  <c r="M744" i="3"/>
  <c r="L507" i="19"/>
  <c r="M515" i="19"/>
  <c r="M506" i="19" s="1"/>
  <c r="L516" i="19"/>
  <c r="L515" i="19" s="1"/>
  <c r="H170" i="18"/>
  <c r="I192" i="18"/>
  <c r="L504" i="19"/>
  <c r="L503" i="19" s="1"/>
  <c r="L502" i="19" s="1"/>
  <c r="L501" i="19" s="1"/>
  <c r="L750" i="3"/>
  <c r="L749" i="3" s="1"/>
  <c r="L746" i="3"/>
  <c r="L745" i="3" s="1"/>
  <c r="H383" i="7"/>
  <c r="H382" i="7" s="1"/>
  <c r="L744" i="3" l="1"/>
  <c r="L506" i="19"/>
  <c r="L505" i="19"/>
  <c r="L500" i="19" s="1"/>
  <c r="L499" i="19" s="1"/>
  <c r="M505" i="19"/>
  <c r="M500" i="19" s="1"/>
  <c r="M499" i="19" s="1"/>
  <c r="M643" i="19" s="1"/>
  <c r="M743" i="3"/>
  <c r="M738" i="3" s="1"/>
  <c r="M737" i="3" s="1"/>
  <c r="M887" i="3" s="1"/>
  <c r="M338" i="3"/>
  <c r="L339" i="3"/>
  <c r="L338" i="3" s="1"/>
  <c r="L743" i="3" l="1"/>
  <c r="L738" i="3" s="1"/>
  <c r="L737" i="3" s="1"/>
  <c r="H572" i="7" l="1"/>
  <c r="H571" i="7" s="1"/>
  <c r="H508" i="7" l="1"/>
  <c r="L30" i="3"/>
  <c r="M29" i="3"/>
  <c r="M126" i="3"/>
  <c r="M27" i="3" l="1"/>
  <c r="M392" i="3" l="1"/>
  <c r="M161" i="3"/>
  <c r="H548" i="7" l="1"/>
  <c r="H547" i="7" s="1"/>
  <c r="M176" i="3"/>
  <c r="M175" i="3" s="1"/>
  <c r="L177" i="3"/>
  <c r="L176" i="3" s="1"/>
  <c r="L175" i="3" s="1"/>
  <c r="M662" i="3" l="1"/>
  <c r="M542" i="3"/>
  <c r="M799" i="3" l="1"/>
  <c r="M775" i="3"/>
  <c r="M701" i="3"/>
  <c r="H103" i="7" l="1"/>
  <c r="H102" i="7" s="1"/>
  <c r="M545" i="3"/>
  <c r="L546" i="3"/>
  <c r="L545" i="3" s="1"/>
  <c r="L349" i="3"/>
  <c r="M362" i="3"/>
  <c r="M146" i="3"/>
  <c r="M208" i="3"/>
  <c r="H135" i="7" l="1"/>
  <c r="L586" i="3"/>
  <c r="M582" i="3"/>
  <c r="H193" i="7" l="1"/>
  <c r="H192" i="7" s="1"/>
  <c r="M666" i="3"/>
  <c r="L667" i="3"/>
  <c r="L666" i="3" s="1"/>
  <c r="H182" i="7"/>
  <c r="H181" i="7" s="1"/>
  <c r="M655" i="3"/>
  <c r="L656" i="3"/>
  <c r="L655" i="3" s="1"/>
  <c r="H168" i="7"/>
  <c r="H167" i="7" s="1"/>
  <c r="M631" i="3"/>
  <c r="L632" i="3"/>
  <c r="L631" i="3" s="1"/>
  <c r="H118" i="7" l="1"/>
  <c r="H117" i="7"/>
  <c r="H73" i="7"/>
  <c r="H72" i="7" s="1"/>
  <c r="I106" i="18"/>
  <c r="H106" i="18"/>
  <c r="M396" i="19"/>
  <c r="N396" i="19"/>
  <c r="L398" i="19"/>
  <c r="N340" i="19"/>
  <c r="M340" i="19"/>
  <c r="N338" i="19"/>
  <c r="M338" i="19"/>
  <c r="N308" i="19"/>
  <c r="M308" i="19"/>
  <c r="M591" i="3"/>
  <c r="M456" i="3"/>
  <c r="M559" i="3"/>
  <c r="L561" i="3"/>
  <c r="L560" i="3"/>
  <c r="M511" i="3"/>
  <c r="L512" i="3"/>
  <c r="L511" i="3" s="1"/>
  <c r="H116" i="7" l="1"/>
  <c r="L559" i="3"/>
  <c r="M663" i="3"/>
  <c r="M226" i="3"/>
  <c r="M225" i="3" s="1"/>
  <c r="M224" i="3" s="1"/>
  <c r="H580" i="7"/>
  <c r="H579" i="7" s="1"/>
  <c r="H578" i="7" s="1"/>
  <c r="H577" i="7" s="1"/>
  <c r="H576" i="7" l="1"/>
  <c r="M223" i="3"/>
  <c r="M222" i="3" s="1"/>
  <c r="M896" i="3" s="1"/>
  <c r="M221" i="3" l="1"/>
  <c r="L227" i="3"/>
  <c r="L226" i="3" s="1"/>
  <c r="L225" i="3" s="1"/>
  <c r="L224" i="3" s="1"/>
  <c r="L223" i="3" l="1"/>
  <c r="L222" i="3" s="1"/>
  <c r="L896" i="3" s="1"/>
  <c r="H613" i="7"/>
  <c r="H612" i="7" s="1"/>
  <c r="M92" i="3"/>
  <c r="L93" i="3"/>
  <c r="L92" i="3" s="1"/>
  <c r="L89" i="3" s="1"/>
  <c r="L88" i="3" l="1"/>
  <c r="M89" i="3"/>
  <c r="M88" i="3" s="1"/>
  <c r="L221" i="3"/>
  <c r="L486" i="19"/>
  <c r="M593" i="19" l="1"/>
  <c r="I67" i="18"/>
  <c r="I66" i="18" s="1"/>
  <c r="H67" i="18"/>
  <c r="H66" i="18" s="1"/>
  <c r="M269" i="19"/>
  <c r="M270" i="19"/>
  <c r="N270" i="19"/>
  <c r="L271" i="19"/>
  <c r="L270" i="19" s="1"/>
  <c r="M493" i="3" l="1"/>
  <c r="H54" i="7" s="1"/>
  <c r="I76" i="18"/>
  <c r="H76" i="18"/>
  <c r="I75" i="18"/>
  <c r="H75" i="18"/>
  <c r="H91" i="7"/>
  <c r="H92" i="7"/>
  <c r="N357" i="19"/>
  <c r="M357" i="19"/>
  <c r="L359" i="19"/>
  <c r="L358" i="19"/>
  <c r="M527" i="3"/>
  <c r="L529" i="3"/>
  <c r="L528" i="3"/>
  <c r="L493" i="3" l="1"/>
  <c r="H74" i="18"/>
  <c r="I74" i="18"/>
  <c r="L357" i="19"/>
  <c r="H90" i="7"/>
  <c r="L527" i="3"/>
  <c r="M676" i="3"/>
  <c r="H46" i="7"/>
  <c r="H309" i="7"/>
  <c r="H308" i="7" s="1"/>
  <c r="M464" i="3"/>
  <c r="L465" i="3"/>
  <c r="L464" i="3" s="1"/>
  <c r="H550" i="7"/>
  <c r="H549" i="7" s="1"/>
  <c r="H546" i="7" s="1"/>
  <c r="M79" i="3"/>
  <c r="M78" i="3" s="1"/>
  <c r="L80" i="3"/>
  <c r="L79" i="3" s="1"/>
  <c r="L78" i="3" s="1"/>
  <c r="L77" i="3"/>
  <c r="M484" i="3" l="1"/>
  <c r="L485" i="3"/>
  <c r="M86" i="3"/>
  <c r="H557" i="7"/>
  <c r="H556" i="7" s="1"/>
  <c r="L87" i="3"/>
  <c r="L86" i="3" s="1"/>
  <c r="M194" i="3"/>
  <c r="M553" i="3" l="1"/>
  <c r="N372" i="19" l="1"/>
  <c r="M372" i="19"/>
  <c r="N376" i="19"/>
  <c r="M376" i="19"/>
  <c r="N375" i="19"/>
  <c r="M375" i="19"/>
  <c r="N373" i="19"/>
  <c r="M373" i="19"/>
  <c r="N371" i="19"/>
  <c r="M371" i="19"/>
  <c r="N370" i="19"/>
  <c r="M370" i="19"/>
  <c r="M566" i="3"/>
  <c r="M554" i="3"/>
  <c r="H316" i="7" l="1"/>
  <c r="H315" i="7" s="1"/>
  <c r="M565" i="3"/>
  <c r="L566" i="3"/>
  <c r="L565" i="3" s="1"/>
  <c r="M541" i="3"/>
  <c r="M581" i="3"/>
  <c r="M577" i="3"/>
  <c r="M424" i="3" l="1"/>
  <c r="L424" i="3" s="1"/>
  <c r="L423" i="3" s="1"/>
  <c r="H269" i="7" l="1"/>
  <c r="H268" i="7" s="1"/>
  <c r="M423" i="3"/>
  <c r="L411" i="19"/>
  <c r="L420" i="19"/>
  <c r="L419" i="19" s="1"/>
  <c r="L418" i="19" s="1"/>
  <c r="L417" i="19" s="1"/>
  <c r="L416" i="19" s="1"/>
  <c r="L415" i="19" s="1"/>
  <c r="L414" i="19" s="1"/>
  <c r="L427" i="19"/>
  <c r="L426" i="19" s="1"/>
  <c r="L429" i="19"/>
  <c r="L428" i="19" s="1"/>
  <c r="L435" i="19"/>
  <c r="L434" i="19" s="1"/>
  <c r="L438" i="19"/>
  <c r="L437" i="19" s="1"/>
  <c r="L436" i="19" s="1"/>
  <c r="L445" i="19"/>
  <c r="L444" i="19" s="1"/>
  <c r="L450" i="19"/>
  <c r="L449" i="19" s="1"/>
  <c r="L448" i="19" s="1"/>
  <c r="L462" i="19"/>
  <c r="L463" i="19"/>
  <c r="L464" i="19"/>
  <c r="L466" i="19"/>
  <c r="L467" i="19"/>
  <c r="L468" i="19"/>
  <c r="L477" i="19"/>
  <c r="L476" i="19" s="1"/>
  <c r="L475" i="19" s="1"/>
  <c r="L474" i="19" s="1"/>
  <c r="L473" i="19" s="1"/>
  <c r="L472" i="19" s="1"/>
  <c r="L471" i="19" s="1"/>
  <c r="L484" i="19"/>
  <c r="L485" i="19"/>
  <c r="L488" i="19"/>
  <c r="L487" i="19" s="1"/>
  <c r="L494" i="19"/>
  <c r="L493" i="19" s="1"/>
  <c r="L492" i="19" s="1"/>
  <c r="L491" i="19" s="1"/>
  <c r="L522" i="19"/>
  <c r="L523" i="19"/>
  <c r="L524" i="19"/>
  <c r="L533" i="19"/>
  <c r="L532" i="19" s="1"/>
  <c r="L531" i="19" s="1"/>
  <c r="L536" i="19"/>
  <c r="L535" i="19" s="1"/>
  <c r="L534" i="19" s="1"/>
  <c r="L539" i="19"/>
  <c r="L538" i="19" s="1"/>
  <c r="L537" i="19" s="1"/>
  <c r="L546" i="19"/>
  <c r="L547" i="19"/>
  <c r="L548" i="19"/>
  <c r="L554" i="19"/>
  <c r="L555" i="19"/>
  <c r="L556" i="19"/>
  <c r="L565" i="19"/>
  <c r="L566" i="19"/>
  <c r="L568" i="19"/>
  <c r="L569" i="19"/>
  <c r="L571" i="19"/>
  <c r="L572" i="19"/>
  <c r="L574" i="19"/>
  <c r="L575" i="19"/>
  <c r="L578" i="19"/>
  <c r="L577" i="19" s="1"/>
  <c r="L576" i="19" s="1"/>
  <c r="L584" i="19"/>
  <c r="L585" i="19"/>
  <c r="L587" i="19"/>
  <c r="L588" i="19"/>
  <c r="L590" i="19"/>
  <c r="L591" i="19"/>
  <c r="L410" i="19"/>
  <c r="L403" i="19"/>
  <c r="L402" i="19" s="1"/>
  <c r="L397" i="19"/>
  <c r="L396" i="19" s="1"/>
  <c r="L395" i="19"/>
  <c r="L394" i="19" s="1"/>
  <c r="L393" i="19"/>
  <c r="L392" i="19"/>
  <c r="L391" i="19"/>
  <c r="L390" i="19"/>
  <c r="L388" i="19"/>
  <c r="L387" i="19"/>
  <c r="L386" i="19"/>
  <c r="L380" i="19"/>
  <c r="L379" i="19" s="1"/>
  <c r="L378" i="19"/>
  <c r="L377" i="19" s="1"/>
  <c r="L376" i="19"/>
  <c r="L375" i="19"/>
  <c r="L373" i="19"/>
  <c r="L372" i="19"/>
  <c r="L371" i="19"/>
  <c r="L370" i="19"/>
  <c r="L364" i="19"/>
  <c r="L363" i="19"/>
  <c r="L356" i="19"/>
  <c r="L355" i="19"/>
  <c r="L354" i="19"/>
  <c r="L352" i="19"/>
  <c r="L351" i="19" s="1"/>
  <c r="L347" i="19"/>
  <c r="L346" i="19"/>
  <c r="L345" i="19"/>
  <c r="L343" i="19"/>
  <c r="L342" i="19"/>
  <c r="L339" i="19"/>
  <c r="L338" i="19"/>
  <c r="L336" i="19"/>
  <c r="L335" i="19"/>
  <c r="L334" i="19"/>
  <c r="L332" i="19"/>
  <c r="L331" i="19"/>
  <c r="L329" i="19"/>
  <c r="L328" i="19"/>
  <c r="L327" i="19"/>
  <c r="L325" i="19"/>
  <c r="L324" i="19"/>
  <c r="L322" i="19"/>
  <c r="L321" i="19"/>
  <c r="L320" i="19"/>
  <c r="L319" i="19"/>
  <c r="L313" i="19"/>
  <c r="L312" i="19" s="1"/>
  <c r="L311" i="19" s="1"/>
  <c r="L310" i="19" s="1"/>
  <c r="L309" i="19" s="1"/>
  <c r="L308" i="19"/>
  <c r="L307" i="19" s="1"/>
  <c r="L306" i="19"/>
  <c r="L305" i="19" s="1"/>
  <c r="L304" i="19"/>
  <c r="L303" i="19" s="1"/>
  <c r="L302" i="19"/>
  <c r="L301" i="19" s="1"/>
  <c r="L295" i="19"/>
  <c r="L294" i="19" s="1"/>
  <c r="L293" i="19" s="1"/>
  <c r="L292" i="19"/>
  <c r="L291" i="19" s="1"/>
  <c r="L290" i="19" s="1"/>
  <c r="L289" i="19"/>
  <c r="L288" i="19" s="1"/>
  <c r="L287" i="19" s="1"/>
  <c r="L280" i="19"/>
  <c r="L279" i="19" s="1"/>
  <c r="L278" i="19"/>
  <c r="L277" i="19" s="1"/>
  <c r="L269" i="19"/>
  <c r="L268" i="19" s="1"/>
  <c r="L263" i="19"/>
  <c r="L262" i="19" s="1"/>
  <c r="L261" i="19" s="1"/>
  <c r="L260" i="19" s="1"/>
  <c r="L259" i="19" s="1"/>
  <c r="L258" i="19" s="1"/>
  <c r="L249" i="19"/>
  <c r="L248" i="19"/>
  <c r="L243" i="19"/>
  <c r="L242" i="19" s="1"/>
  <c r="L241" i="19" s="1"/>
  <c r="L240" i="19" s="1"/>
  <c r="L239" i="19"/>
  <c r="L238" i="19" s="1"/>
  <c r="L237" i="19" s="1"/>
  <c r="L236" i="19"/>
  <c r="L235" i="19" s="1"/>
  <c r="L234" i="19" s="1"/>
  <c r="L233" i="19"/>
  <c r="L232" i="19" s="1"/>
  <c r="L231" i="19"/>
  <c r="L230" i="19"/>
  <c r="L229" i="19"/>
  <c r="L227" i="19"/>
  <c r="L226" i="19"/>
  <c r="L225" i="19"/>
  <c r="L221" i="19"/>
  <c r="L220" i="19" s="1"/>
  <c r="L219" i="19" s="1"/>
  <c r="L218" i="19" s="1"/>
  <c r="L212" i="19"/>
  <c r="L211" i="19"/>
  <c r="L210" i="19"/>
  <c r="L202" i="19"/>
  <c r="L201" i="19" s="1"/>
  <c r="L200" i="19" s="1"/>
  <c r="L199" i="19" s="1"/>
  <c r="L198" i="19" s="1"/>
  <c r="L197" i="19" s="1"/>
  <c r="L196" i="19" s="1"/>
  <c r="L195" i="19"/>
  <c r="L194" i="19" s="1"/>
  <c r="L193" i="19" s="1"/>
  <c r="L192" i="19" s="1"/>
  <c r="L191" i="19" s="1"/>
  <c r="L190" i="19" s="1"/>
  <c r="L189" i="19" s="1"/>
  <c r="L188" i="19"/>
  <c r="L187" i="19" s="1"/>
  <c r="L186" i="19" s="1"/>
  <c r="L185" i="19"/>
  <c r="L184" i="19" s="1"/>
  <c r="L183" i="19" s="1"/>
  <c r="L179" i="19"/>
  <c r="L178" i="19"/>
  <c r="L177" i="19"/>
  <c r="L168" i="19"/>
  <c r="L167" i="19" s="1"/>
  <c r="L166" i="19" s="1"/>
  <c r="L165" i="19" s="1"/>
  <c r="L164" i="19" s="1"/>
  <c r="L163" i="19" s="1"/>
  <c r="L162" i="19"/>
  <c r="L161" i="19" s="1"/>
  <c r="L160" i="19" s="1"/>
  <c r="L159" i="19" s="1"/>
  <c r="L158" i="19" s="1"/>
  <c r="L157" i="19" s="1"/>
  <c r="L155" i="19"/>
  <c r="L154" i="19" s="1"/>
  <c r="L153" i="19" s="1"/>
  <c r="L152" i="19" s="1"/>
  <c r="L151" i="19" s="1"/>
  <c r="L150" i="19" s="1"/>
  <c r="L149" i="19" s="1"/>
  <c r="L148" i="19"/>
  <c r="L147" i="19" s="1"/>
  <c r="L146" i="19" s="1"/>
  <c r="L145" i="19" s="1"/>
  <c r="L144" i="19" s="1"/>
  <c r="L143" i="19" s="1"/>
  <c r="L142" i="19" s="1"/>
  <c r="L136" i="19"/>
  <c r="L135" i="19" s="1"/>
  <c r="L134" i="19" s="1"/>
  <c r="L133" i="19" s="1"/>
  <c r="L132" i="19" s="1"/>
  <c r="L131" i="19"/>
  <c r="L130" i="19" s="1"/>
  <c r="L129" i="19" s="1"/>
  <c r="L128" i="19" s="1"/>
  <c r="L127" i="19"/>
  <c r="L126" i="19" s="1"/>
  <c r="L125" i="19" s="1"/>
  <c r="L124" i="19" s="1"/>
  <c r="L121" i="19"/>
  <c r="L120" i="19" s="1"/>
  <c r="L119" i="19" s="1"/>
  <c r="L118" i="19" s="1"/>
  <c r="L117" i="19" s="1"/>
  <c r="L116" i="19" s="1"/>
  <c r="L115" i="19"/>
  <c r="L114" i="19" s="1"/>
  <c r="L113" i="19" s="1"/>
  <c r="L112" i="19"/>
  <c r="L111" i="19" s="1"/>
  <c r="L110" i="19" s="1"/>
  <c r="L105" i="19"/>
  <c r="L104" i="19" s="1"/>
  <c r="L103" i="19" s="1"/>
  <c r="L102" i="19" s="1"/>
  <c r="L101" i="19"/>
  <c r="L100" i="19"/>
  <c r="L99" i="19"/>
  <c r="L95" i="19"/>
  <c r="L94" i="19" s="1"/>
  <c r="L93" i="19" s="1"/>
  <c r="L92" i="19"/>
  <c r="L91" i="19" s="1"/>
  <c r="L90" i="19" s="1"/>
  <c r="L86" i="19"/>
  <c r="L85" i="19" s="1"/>
  <c r="L84" i="19"/>
  <c r="L83" i="19" s="1"/>
  <c r="L76" i="19"/>
  <c r="L73" i="19"/>
  <c r="L72" i="19" s="1"/>
  <c r="L71" i="19"/>
  <c r="L70" i="19" s="1"/>
  <c r="L68" i="19"/>
  <c r="L67" i="19"/>
  <c r="L62" i="19"/>
  <c r="L61" i="19" s="1"/>
  <c r="L60" i="19" s="1"/>
  <c r="L59" i="19" s="1"/>
  <c r="L58" i="19" s="1"/>
  <c r="L56" i="19"/>
  <c r="L55" i="19" s="1"/>
  <c r="L54" i="19" s="1"/>
  <c r="L53" i="19" s="1"/>
  <c r="L52" i="19" s="1"/>
  <c r="L51" i="19"/>
  <c r="L50" i="19" s="1"/>
  <c r="L49" i="19" s="1"/>
  <c r="L48" i="19" s="1"/>
  <c r="L47" i="19" s="1"/>
  <c r="L46" i="19" s="1"/>
  <c r="L45" i="19"/>
  <c r="L44" i="19" s="1"/>
  <c r="L43" i="19" s="1"/>
  <c r="L42" i="19"/>
  <c r="L41" i="19"/>
  <c r="L39" i="19"/>
  <c r="L38" i="19"/>
  <c r="L36" i="19"/>
  <c r="L35" i="19" s="1"/>
  <c r="L34" i="19"/>
  <c r="L33" i="19" s="1"/>
  <c r="L32" i="19"/>
  <c r="L31" i="19"/>
  <c r="L30" i="19"/>
  <c r="L24" i="19"/>
  <c r="L23" i="19" s="1"/>
  <c r="L22" i="19" s="1"/>
  <c r="L21" i="19" s="1"/>
  <c r="L20" i="19" s="1"/>
  <c r="L19" i="19" s="1"/>
  <c r="L835" i="3"/>
  <c r="L834" i="3"/>
  <c r="L832" i="3"/>
  <c r="L831" i="3"/>
  <c r="L829" i="3"/>
  <c r="L828" i="3"/>
  <c r="L822" i="3"/>
  <c r="L821" i="3" s="1"/>
  <c r="L820" i="3" s="1"/>
  <c r="L819" i="3"/>
  <c r="L818" i="3"/>
  <c r="L816" i="3"/>
  <c r="L815" i="3"/>
  <c r="L813" i="3"/>
  <c r="L812" i="3"/>
  <c r="L810" i="3"/>
  <c r="L809" i="3"/>
  <c r="L800" i="3"/>
  <c r="L799" i="3"/>
  <c r="L798" i="3"/>
  <c r="L790" i="3"/>
  <c r="L789" i="3"/>
  <c r="L781" i="3"/>
  <c r="L780" i="3" s="1"/>
  <c r="L779" i="3" s="1"/>
  <c r="L778" i="3"/>
  <c r="L777" i="3" s="1"/>
  <c r="L776" i="3" s="1"/>
  <c r="L775" i="3"/>
  <c r="L774" i="3" s="1"/>
  <c r="L773" i="3" s="1"/>
  <c r="L766" i="3"/>
  <c r="L765" i="3"/>
  <c r="L764" i="3"/>
  <c r="L723" i="3"/>
  <c r="L722" i="3" s="1"/>
  <c r="L721" i="3"/>
  <c r="L720" i="3"/>
  <c r="L719" i="3"/>
  <c r="L701" i="3"/>
  <c r="L700" i="3" s="1"/>
  <c r="L699" i="3" s="1"/>
  <c r="L698" i="3" s="1"/>
  <c r="L697" i="3" s="1"/>
  <c r="L696" i="3" s="1"/>
  <c r="L695" i="3" s="1"/>
  <c r="L692" i="3"/>
  <c r="L690" i="3"/>
  <c r="L688" i="3"/>
  <c r="L687" i="3"/>
  <c r="L686" i="3"/>
  <c r="L674" i="3"/>
  <c r="L665" i="3"/>
  <c r="L664" i="3" s="1"/>
  <c r="L663" i="3"/>
  <c r="L662" i="3"/>
  <c r="L654" i="3"/>
  <c r="L653" i="3" s="1"/>
  <c r="L650" i="3"/>
  <c r="L649" i="3" s="1"/>
  <c r="L641" i="3"/>
  <c r="L640" i="3" s="1"/>
  <c r="L639" i="3" s="1"/>
  <c r="L619" i="3"/>
  <c r="L618" i="3" s="1"/>
  <c r="L617" i="3" s="1"/>
  <c r="L616" i="3" s="1"/>
  <c r="L610" i="3"/>
  <c r="L609" i="3"/>
  <c r="L596" i="3"/>
  <c r="L595" i="3" s="1"/>
  <c r="L594" i="3"/>
  <c r="L593" i="3" s="1"/>
  <c r="L591" i="3"/>
  <c r="L590" i="3"/>
  <c r="L588" i="3"/>
  <c r="L587" i="3" s="1"/>
  <c r="L585" i="3"/>
  <c r="L584" i="3" s="1"/>
  <c r="L583" i="3"/>
  <c r="L582" i="3"/>
  <c r="L581" i="3"/>
  <c r="L578" i="3"/>
  <c r="L577" i="3"/>
  <c r="L576" i="3"/>
  <c r="L558" i="3"/>
  <c r="L557" i="3" s="1"/>
  <c r="L556" i="3"/>
  <c r="L555" i="3" s="1"/>
  <c r="L554" i="3"/>
  <c r="L553" i="3"/>
  <c r="L551" i="3"/>
  <c r="L550" i="3" s="1"/>
  <c r="L544" i="3"/>
  <c r="L542" i="3"/>
  <c r="L535" i="3"/>
  <c r="L534" i="3" s="1"/>
  <c r="L525" i="3"/>
  <c r="L524" i="3"/>
  <c r="L523" i="3"/>
  <c r="L516" i="3"/>
  <c r="L515" i="3"/>
  <c r="L514" i="3"/>
  <c r="L510" i="3"/>
  <c r="L509" i="3"/>
  <c r="L507" i="3"/>
  <c r="L506" i="3"/>
  <c r="L505" i="3"/>
  <c r="L503" i="3"/>
  <c r="L502" i="3"/>
  <c r="L501" i="3"/>
  <c r="L499" i="3"/>
  <c r="L498" i="3"/>
  <c r="L496" i="3"/>
  <c r="L495" i="3" s="1"/>
  <c r="L491" i="3"/>
  <c r="L486" i="3"/>
  <c r="L484" i="3" s="1"/>
  <c r="L483" i="3"/>
  <c r="L480" i="3"/>
  <c r="L474" i="3"/>
  <c r="L473" i="3" s="1"/>
  <c r="L472" i="3" s="1"/>
  <c r="L471" i="3" s="1"/>
  <c r="L470" i="3" s="1"/>
  <c r="L469" i="3"/>
  <c r="L468" i="3" s="1"/>
  <c r="L463" i="3" s="1"/>
  <c r="L456" i="3"/>
  <c r="L455" i="3" s="1"/>
  <c r="L454" i="3"/>
  <c r="L453" i="3" s="1"/>
  <c r="L452" i="3"/>
  <c r="L451" i="3" s="1"/>
  <c r="L448" i="3"/>
  <c r="L447" i="3" s="1"/>
  <c r="L439" i="3"/>
  <c r="L438" i="3" s="1"/>
  <c r="L437" i="3" s="1"/>
  <c r="L436" i="3"/>
  <c r="L435" i="3" s="1"/>
  <c r="L434" i="3" s="1"/>
  <c r="L433" i="3"/>
  <c r="L432" i="3" s="1"/>
  <c r="L431" i="3" s="1"/>
  <c r="L415" i="3"/>
  <c r="L414" i="3" s="1"/>
  <c r="L413" i="3" s="1"/>
  <c r="L412" i="3" s="1"/>
  <c r="L411" i="3" s="1"/>
  <c r="L410" i="3" s="1"/>
  <c r="L409" i="3" s="1"/>
  <c r="L408" i="3"/>
  <c r="L407" i="3" s="1"/>
  <c r="L406" i="3" s="1"/>
  <c r="L405" i="3" s="1"/>
  <c r="L404" i="3" s="1"/>
  <c r="L403" i="3" s="1"/>
  <c r="L392" i="3"/>
  <c r="L391" i="3" s="1"/>
  <c r="L374" i="3"/>
  <c r="L373" i="3" s="1"/>
  <c r="L372" i="3" s="1"/>
  <c r="L371" i="3" s="1"/>
  <c r="L362" i="3"/>
  <c r="L361" i="3"/>
  <c r="L356" i="3"/>
  <c r="L355" i="3" s="1"/>
  <c r="L354" i="3" s="1"/>
  <c r="L353" i="3" s="1"/>
  <c r="L352" i="3" s="1"/>
  <c r="L351" i="3"/>
  <c r="L350" i="3"/>
  <c r="L345" i="3"/>
  <c r="L344" i="3" s="1"/>
  <c r="L343" i="3" s="1"/>
  <c r="L342" i="3"/>
  <c r="L341" i="3" s="1"/>
  <c r="L340" i="3" s="1"/>
  <c r="L337" i="3"/>
  <c r="L336" i="3" s="1"/>
  <c r="L335" i="3"/>
  <c r="L334" i="3"/>
  <c r="L333" i="3"/>
  <c r="L331" i="3"/>
  <c r="L330" i="3"/>
  <c r="L329" i="3"/>
  <c r="L322" i="3"/>
  <c r="L321" i="3" s="1"/>
  <c r="L320" i="3" s="1"/>
  <c r="L313" i="3"/>
  <c r="L312" i="3" s="1"/>
  <c r="L311" i="3" s="1"/>
  <c r="L310" i="3" s="1"/>
  <c r="L309" i="3" s="1"/>
  <c r="L308" i="3" s="1"/>
  <c r="L307" i="3"/>
  <c r="L306" i="3" s="1"/>
  <c r="L305" i="3"/>
  <c r="L303" i="3"/>
  <c r="L289" i="3"/>
  <c r="L288" i="3" s="1"/>
  <c r="L282" i="3"/>
  <c r="L281" i="3" s="1"/>
  <c r="L280" i="3" s="1"/>
  <c r="L279" i="3" s="1"/>
  <c r="L278" i="3" s="1"/>
  <c r="L277" i="3" s="1"/>
  <c r="L276" i="3" s="1"/>
  <c r="L275" i="3"/>
  <c r="L274" i="3" s="1"/>
  <c r="L273" i="3" s="1"/>
  <c r="L272" i="3"/>
  <c r="L271" i="3" s="1"/>
  <c r="L270" i="3" s="1"/>
  <c r="L266" i="3"/>
  <c r="L265" i="3" s="1"/>
  <c r="L264" i="3" s="1"/>
  <c r="L263" i="3"/>
  <c r="L262" i="3"/>
  <c r="L194" i="3"/>
  <c r="L193" i="3" s="1"/>
  <c r="L192" i="3" s="1"/>
  <c r="L191" i="3" s="1"/>
  <c r="L190" i="3" s="1"/>
  <c r="L189" i="3" s="1"/>
  <c r="L188" i="3"/>
  <c r="L187" i="3" s="1"/>
  <c r="L186" i="3"/>
  <c r="L185" i="3" s="1"/>
  <c r="L184" i="3"/>
  <c r="L183" i="3" s="1"/>
  <c r="L170" i="3"/>
  <c r="L169" i="3" s="1"/>
  <c r="L165" i="3"/>
  <c r="L164" i="3" s="1"/>
  <c r="L163" i="3"/>
  <c r="L162" i="3" s="1"/>
  <c r="L161" i="3"/>
  <c r="L160" i="3" s="1"/>
  <c r="L156" i="3"/>
  <c r="L155" i="3" s="1"/>
  <c r="L154" i="3" s="1"/>
  <c r="L153" i="3" s="1"/>
  <c r="L152" i="3"/>
  <c r="L151" i="3" s="1"/>
  <c r="L150" i="3" s="1"/>
  <c r="L149" i="3" s="1"/>
  <c r="L146" i="3"/>
  <c r="L145" i="3" s="1"/>
  <c r="L144" i="3" s="1"/>
  <c r="L143" i="3" s="1"/>
  <c r="L142" i="3" s="1"/>
  <c r="L141" i="3" s="1"/>
  <c r="L140" i="3"/>
  <c r="L139" i="3" s="1"/>
  <c r="L138" i="3" s="1"/>
  <c r="L137" i="3"/>
  <c r="L136" i="3" s="1"/>
  <c r="L135" i="3" s="1"/>
  <c r="L130" i="3"/>
  <c r="L129" i="3" s="1"/>
  <c r="L128" i="3" s="1"/>
  <c r="L127" i="3" s="1"/>
  <c r="L126" i="3"/>
  <c r="L125" i="3" s="1"/>
  <c r="L124" i="3" s="1"/>
  <c r="L123" i="3"/>
  <c r="L122" i="3"/>
  <c r="L121" i="3"/>
  <c r="L114" i="3"/>
  <c r="L113" i="3" s="1"/>
  <c r="L112" i="3"/>
  <c r="L111" i="3" s="1"/>
  <c r="L106" i="3"/>
  <c r="L105" i="3" s="1"/>
  <c r="L104" i="3"/>
  <c r="L103" i="3" s="1"/>
  <c r="L102" i="3"/>
  <c r="L101" i="3" s="1"/>
  <c r="L100" i="3"/>
  <c r="L99" i="3" s="1"/>
  <c r="L85" i="3"/>
  <c r="L83" i="3"/>
  <c r="L72" i="3"/>
  <c r="L66" i="3"/>
  <c r="L65" i="3" s="1"/>
  <c r="L64" i="3" s="1"/>
  <c r="L63" i="3" s="1"/>
  <c r="L62" i="3" s="1"/>
  <c r="L61" i="3"/>
  <c r="L60" i="3" s="1"/>
  <c r="L59" i="3" s="1"/>
  <c r="L58" i="3" s="1"/>
  <c r="L57" i="3" s="1"/>
  <c r="L50" i="3"/>
  <c r="L49" i="3" s="1"/>
  <c r="L48" i="3" s="1"/>
  <c r="L47" i="3" s="1"/>
  <c r="L46" i="3" s="1"/>
  <c r="L45" i="3" s="1"/>
  <c r="L44" i="3"/>
  <c r="L43" i="3" s="1"/>
  <c r="L42" i="3" s="1"/>
  <c r="L41" i="3"/>
  <c r="L40" i="3"/>
  <c r="L38" i="3"/>
  <c r="L37" i="3"/>
  <c r="L35" i="3"/>
  <c r="L34" i="3" s="1"/>
  <c r="L33" i="3"/>
  <c r="L32" i="3" s="1"/>
  <c r="L31" i="3"/>
  <c r="L29" i="3"/>
  <c r="L22" i="3"/>
  <c r="L21" i="3" s="1"/>
  <c r="L20" i="3" s="1"/>
  <c r="L19" i="3" s="1"/>
  <c r="L18" i="3" s="1"/>
  <c r="L17" i="3" s="1"/>
  <c r="L287" i="3" l="1"/>
  <c r="L286" i="3" s="1"/>
  <c r="L285" i="3" s="1"/>
  <c r="L284" i="3" s="1"/>
  <c r="L283" i="3" s="1"/>
  <c r="L348" i="3"/>
  <c r="L347" i="3" s="1"/>
  <c r="L346" i="3" s="1"/>
  <c r="L370" i="3"/>
  <c r="L369" i="3" s="1"/>
  <c r="L368" i="3" s="1"/>
  <c r="L490" i="19"/>
  <c r="L489" i="19" s="1"/>
  <c r="L589" i="19"/>
  <c r="L589" i="3"/>
  <c r="L583" i="19"/>
  <c r="L247" i="19"/>
  <c r="L246" i="19" s="1"/>
  <c r="L245" i="19" s="1"/>
  <c r="L244" i="19" s="1"/>
  <c r="L267" i="19"/>
  <c r="L266" i="19" s="1"/>
  <c r="L265" i="19" s="1"/>
  <c r="L264" i="19" s="1"/>
  <c r="L257" i="19" s="1"/>
  <c r="L483" i="19"/>
  <c r="L482" i="19" s="1"/>
  <c r="L481" i="19" s="1"/>
  <c r="L480" i="19" s="1"/>
  <c r="L830" i="3"/>
  <c r="L328" i="3"/>
  <c r="L811" i="3"/>
  <c r="L462" i="3"/>
  <c r="L461" i="3" s="1"/>
  <c r="L341" i="19"/>
  <c r="L586" i="19"/>
  <c r="L333" i="19"/>
  <c r="L176" i="19"/>
  <c r="L175" i="19" s="1"/>
  <c r="L174" i="19" s="1"/>
  <c r="L173" i="19" s="1"/>
  <c r="L172" i="19" s="1"/>
  <c r="L353" i="19"/>
  <c r="L567" i="19"/>
  <c r="L409" i="19"/>
  <c r="L408" i="19" s="1"/>
  <c r="L407" i="19" s="1"/>
  <c r="L406" i="19" s="1"/>
  <c r="L405" i="19" s="1"/>
  <c r="L404" i="19" s="1"/>
  <c r="L422" i="3"/>
  <c r="L421" i="3" s="1"/>
  <c r="L330" i="19"/>
  <c r="L29" i="19"/>
  <c r="L385" i="19"/>
  <c r="L570" i="19"/>
  <c r="L521" i="19"/>
  <c r="L520" i="19" s="1"/>
  <c r="L519" i="19" s="1"/>
  <c r="L518" i="19" s="1"/>
  <c r="L517" i="19" s="1"/>
  <c r="L545" i="19"/>
  <c r="L544" i="19" s="1"/>
  <c r="L543" i="19" s="1"/>
  <c r="L542" i="19" s="1"/>
  <c r="L541" i="19" s="1"/>
  <c r="L573" i="19"/>
  <c r="L39" i="3"/>
  <c r="L332" i="3"/>
  <c r="L360" i="3"/>
  <c r="L359" i="3" s="1"/>
  <c r="L358" i="3" s="1"/>
  <c r="L357" i="3" s="1"/>
  <c r="L513" i="3"/>
  <c r="L533" i="3"/>
  <c r="L532" i="3" s="1"/>
  <c r="L797" i="3"/>
  <c r="L796" i="3" s="1"/>
  <c r="L795" i="3" s="1"/>
  <c r="L794" i="3" s="1"/>
  <c r="L793" i="3" s="1"/>
  <c r="L827" i="3"/>
  <c r="L608" i="3"/>
  <c r="L607" i="3" s="1"/>
  <c r="L606" i="3" s="1"/>
  <c r="L605" i="3" s="1"/>
  <c r="L604" i="3" s="1"/>
  <c r="L597" i="3" s="1"/>
  <c r="L817" i="3"/>
  <c r="L552" i="3"/>
  <c r="L808" i="3"/>
  <c r="L814" i="3"/>
  <c r="L37" i="19"/>
  <c r="L66" i="19"/>
  <c r="L65" i="19" s="1"/>
  <c r="L318" i="19"/>
  <c r="L323" i="19"/>
  <c r="L564" i="19"/>
  <c r="L553" i="19"/>
  <c r="L552" i="19" s="1"/>
  <c r="L551" i="19" s="1"/>
  <c r="L550" i="19" s="1"/>
  <c r="L549" i="19" s="1"/>
  <c r="L40" i="19"/>
  <c r="L209" i="19"/>
  <c r="L208" i="19" s="1"/>
  <c r="L207" i="19" s="1"/>
  <c r="L206" i="19" s="1"/>
  <c r="L205" i="19" s="1"/>
  <c r="L204" i="19" s="1"/>
  <c r="L224" i="19"/>
  <c r="L344" i="19"/>
  <c r="L465" i="19"/>
  <c r="L461" i="19"/>
  <c r="L389" i="19"/>
  <c r="L374" i="19"/>
  <c r="L369" i="19"/>
  <c r="L362" i="19"/>
  <c r="L361" i="19" s="1"/>
  <c r="L360" i="19" s="1"/>
  <c r="L326" i="19"/>
  <c r="L228" i="19"/>
  <c r="L98" i="19"/>
  <c r="L97" i="19" s="1"/>
  <c r="L96" i="19" s="1"/>
  <c r="L69" i="19"/>
  <c r="L425" i="19"/>
  <c r="L424" i="19" s="1"/>
  <c r="L423" i="19" s="1"/>
  <c r="L422" i="19" s="1"/>
  <c r="L276" i="19"/>
  <c r="L275" i="19" s="1"/>
  <c r="L274" i="19" s="1"/>
  <c r="L273" i="19" s="1"/>
  <c r="L272" i="19" s="1"/>
  <c r="L182" i="19"/>
  <c r="L181" i="19" s="1"/>
  <c r="L180" i="19" s="1"/>
  <c r="L82" i="19"/>
  <c r="L81" i="19" s="1"/>
  <c r="L80" i="19" s="1"/>
  <c r="L79" i="19" s="1"/>
  <c r="L89" i="19"/>
  <c r="L123" i="19"/>
  <c r="L122" i="19" s="1"/>
  <c r="L286" i="19"/>
  <c r="L285" i="19" s="1"/>
  <c r="L284" i="19" s="1"/>
  <c r="L283" i="19" s="1"/>
  <c r="L530" i="19"/>
  <c r="L529" i="19" s="1"/>
  <c r="L528" i="19" s="1"/>
  <c r="L527" i="19" s="1"/>
  <c r="L156" i="19"/>
  <c r="L300" i="19"/>
  <c r="L299" i="19" s="1"/>
  <c r="L298" i="19" s="1"/>
  <c r="L297" i="19" s="1"/>
  <c r="L109" i="19"/>
  <c r="L108" i="19" s="1"/>
  <c r="L107" i="19" s="1"/>
  <c r="L433" i="19"/>
  <c r="L432" i="19" s="1"/>
  <c r="L431" i="19" s="1"/>
  <c r="L430" i="19" s="1"/>
  <c r="L522" i="3"/>
  <c r="L120" i="3"/>
  <c r="L119" i="3" s="1"/>
  <c r="L118" i="3" s="1"/>
  <c r="L36" i="3"/>
  <c r="L500" i="3"/>
  <c r="L497" i="3"/>
  <c r="L504" i="3"/>
  <c r="L508" i="3"/>
  <c r="L685" i="3"/>
  <c r="L833" i="3"/>
  <c r="L763" i="3"/>
  <c r="L762" i="3" s="1"/>
  <c r="L761" i="3" s="1"/>
  <c r="L760" i="3" s="1"/>
  <c r="L759" i="3" s="1"/>
  <c r="L718" i="3"/>
  <c r="L717" i="3" s="1"/>
  <c r="L575" i="3"/>
  <c r="L592" i="3"/>
  <c r="L182" i="3"/>
  <c r="L181" i="3" s="1"/>
  <c r="L110" i="3"/>
  <c r="L148" i="3"/>
  <c r="L98" i="3"/>
  <c r="L97" i="3" s="1"/>
  <c r="L96" i="3" s="1"/>
  <c r="L95" i="3" s="1"/>
  <c r="L159" i="3"/>
  <c r="L158" i="3" s="1"/>
  <c r="L157" i="3" s="1"/>
  <c r="L134" i="3"/>
  <c r="L133" i="3" s="1"/>
  <c r="L132" i="3" s="1"/>
  <c r="L269" i="3"/>
  <c r="L268" i="3" s="1"/>
  <c r="L267" i="3" s="1"/>
  <c r="L772" i="3"/>
  <c r="L771" i="3" s="1"/>
  <c r="L770" i="3" s="1"/>
  <c r="L769" i="3" s="1"/>
  <c r="L430" i="3"/>
  <c r="L429" i="3" s="1"/>
  <c r="L428" i="3" s="1"/>
  <c r="L427" i="3" s="1"/>
  <c r="L615" i="3"/>
  <c r="L614" i="3"/>
  <c r="L613" i="3" s="1"/>
  <c r="L325" i="3"/>
  <c r="L324" i="3" s="1"/>
  <c r="L323" i="3" s="1"/>
  <c r="L319" i="3" s="1"/>
  <c r="L55" i="3"/>
  <c r="L54" i="3" s="1"/>
  <c r="L53" i="3" s="1"/>
  <c r="L52" i="3" s="1"/>
  <c r="L51" i="3" s="1"/>
  <c r="L327" i="3" l="1"/>
  <c r="L326" i="3" s="1"/>
  <c r="L318" i="3" s="1"/>
  <c r="L582" i="19"/>
  <c r="L581" i="19" s="1"/>
  <c r="L580" i="19" s="1"/>
  <c r="L579" i="19" s="1"/>
  <c r="L171" i="19"/>
  <c r="L170" i="19" s="1"/>
  <c r="L540" i="19"/>
  <c r="L526" i="19" s="1"/>
  <c r="L420" i="3"/>
  <c r="L419" i="3" s="1"/>
  <c r="L418" i="3" s="1"/>
  <c r="L417" i="3" s="1"/>
  <c r="L416" i="3" s="1"/>
  <c r="L460" i="19"/>
  <c r="L459" i="19" s="1"/>
  <c r="L458" i="19" s="1"/>
  <c r="L457" i="19" s="1"/>
  <c r="L223" i="19"/>
  <c r="L222" i="19" s="1"/>
  <c r="L217" i="19" s="1"/>
  <c r="L216" i="19" s="1"/>
  <c r="L215" i="19" s="1"/>
  <c r="L214" i="19" s="1"/>
  <c r="L384" i="19"/>
  <c r="L368" i="19"/>
  <c r="L367" i="19" s="1"/>
  <c r="L366" i="19" s="1"/>
  <c r="L365" i="19" s="1"/>
  <c r="L563" i="19"/>
  <c r="L562" i="19" s="1"/>
  <c r="L561" i="19" s="1"/>
  <c r="L560" i="19" s="1"/>
  <c r="L28" i="19"/>
  <c r="L27" i="19" s="1"/>
  <c r="L26" i="19" s="1"/>
  <c r="L25" i="19" s="1"/>
  <c r="L826" i="3"/>
  <c r="L825" i="3" s="1"/>
  <c r="L824" i="3" s="1"/>
  <c r="L823" i="3" s="1"/>
  <c r="L807" i="3"/>
  <c r="L806" i="3" s="1"/>
  <c r="L805" i="3" s="1"/>
  <c r="L804" i="3" s="1"/>
  <c r="L88" i="19"/>
  <c r="L87" i="19" s="1"/>
  <c r="L78" i="19" s="1"/>
  <c r="L421" i="19"/>
  <c r="L106" i="19"/>
  <c r="L180" i="3"/>
  <c r="L179" i="3" s="1"/>
  <c r="L178" i="3" s="1"/>
  <c r="L446" i="3"/>
  <c r="L445" i="3" s="1"/>
  <c r="L317" i="3" l="1"/>
  <c r="L316" i="3" s="1"/>
  <c r="L559" i="19"/>
  <c r="L558" i="19" s="1"/>
  <c r="L803" i="3"/>
  <c r="L802" i="3" s="1"/>
  <c r="L400" i="3" l="1"/>
  <c r="L399" i="3" s="1"/>
  <c r="N593" i="19"/>
  <c r="M454" i="19" l="1"/>
  <c r="L454" i="19" s="1"/>
  <c r="L453" i="19" s="1"/>
  <c r="M593" i="3"/>
  <c r="L716" i="3" l="1"/>
  <c r="L715" i="3" s="1"/>
  <c r="L714" i="3"/>
  <c r="L713" i="3"/>
  <c r="L712" i="3"/>
  <c r="L628" i="3"/>
  <c r="L627" i="3" s="1"/>
  <c r="L661" i="3"/>
  <c r="L660" i="3" s="1"/>
  <c r="L648" i="3"/>
  <c r="L647" i="3" s="1"/>
  <c r="L626" i="3"/>
  <c r="L625" i="3" s="1"/>
  <c r="H140" i="7"/>
  <c r="L340" i="19"/>
  <c r="L337" i="19" s="1"/>
  <c r="L492" i="3"/>
  <c r="L494" i="3"/>
  <c r="L711" i="3" l="1"/>
  <c r="L710" i="3" s="1"/>
  <c r="L490" i="3"/>
  <c r="M589" i="3"/>
  <c r="N350" i="19"/>
  <c r="N349" i="19"/>
  <c r="M349" i="19"/>
  <c r="L349" i="19" s="1"/>
  <c r="M350" i="19"/>
  <c r="L350" i="19" s="1"/>
  <c r="M519" i="3"/>
  <c r="L519" i="3" s="1"/>
  <c r="M518" i="3"/>
  <c r="L518" i="3" s="1"/>
  <c r="L348" i="19" l="1"/>
  <c r="L317" i="19" s="1"/>
  <c r="L517" i="3"/>
  <c r="H353" i="7"/>
  <c r="H352" i="7" s="1"/>
  <c r="H351" i="7" s="1"/>
  <c r="L261" i="3"/>
  <c r="L260" i="3" s="1"/>
  <c r="L259" i="3" s="1"/>
  <c r="L258" i="3" s="1"/>
  <c r="L257" i="3" s="1"/>
  <c r="L256" i="3" s="1"/>
  <c r="L255" i="3" s="1"/>
  <c r="L254" i="3" s="1"/>
  <c r="L316" i="19" l="1"/>
  <c r="L315" i="19" s="1"/>
  <c r="L314" i="19" s="1"/>
  <c r="M265" i="3"/>
  <c r="M264" i="3" s="1"/>
  <c r="L792" i="3" l="1"/>
  <c r="L791" i="3" s="1"/>
  <c r="L220" i="3"/>
  <c r="L219" i="3" s="1"/>
  <c r="L218" i="3" s="1"/>
  <c r="L217" i="3" s="1"/>
  <c r="L216" i="3" s="1"/>
  <c r="L215" i="3" s="1"/>
  <c r="L84" i="3" l="1"/>
  <c r="L82" i="3" s="1"/>
  <c r="L81" i="3" s="1"/>
  <c r="L71" i="3"/>
  <c r="L70" i="3" s="1"/>
  <c r="L69" i="3" s="1"/>
  <c r="L76" i="3"/>
  <c r="L75" i="3"/>
  <c r="L74" i="3" s="1"/>
  <c r="L73" i="3" l="1"/>
  <c r="M729" i="3"/>
  <c r="M572" i="3"/>
  <c r="L572" i="3" s="1"/>
  <c r="L571" i="3" s="1"/>
  <c r="L570" i="3" s="1"/>
  <c r="L569" i="3" s="1"/>
  <c r="L673" i="3"/>
  <c r="L672" i="3" s="1"/>
  <c r="L593" i="19"/>
  <c r="L592" i="19" s="1"/>
  <c r="L708" i="3"/>
  <c r="L707" i="3" s="1"/>
  <c r="L706" i="3" s="1"/>
  <c r="L705" i="3" s="1"/>
  <c r="L548" i="3"/>
  <c r="L549" i="3"/>
  <c r="L488" i="3"/>
  <c r="L489" i="3"/>
  <c r="L450" i="3"/>
  <c r="L449" i="3" s="1"/>
  <c r="L444" i="3" s="1"/>
  <c r="L481" i="3"/>
  <c r="M482" i="3"/>
  <c r="L482" i="3" s="1"/>
  <c r="L543" i="3"/>
  <c r="L541" i="3"/>
  <c r="L682" i="3"/>
  <c r="L681" i="3" s="1"/>
  <c r="L680" i="3" s="1"/>
  <c r="L679" i="3" s="1"/>
  <c r="M652" i="3"/>
  <c r="L652" i="3" s="1"/>
  <c r="L651" i="3" s="1"/>
  <c r="L443" i="3" l="1"/>
  <c r="L442" i="3" s="1"/>
  <c r="L441" i="3" s="1"/>
  <c r="L729" i="3"/>
  <c r="L728" i="3" s="1"/>
  <c r="L727" i="3" s="1"/>
  <c r="H227" i="7"/>
  <c r="L68" i="3"/>
  <c r="L67" i="3" s="1"/>
  <c r="L56" i="3" s="1"/>
  <c r="L487" i="3"/>
  <c r="L547" i="3"/>
  <c r="L540" i="3"/>
  <c r="L479" i="3"/>
  <c r="M788" i="3"/>
  <c r="L788" i="3" s="1"/>
  <c r="L787" i="3" s="1"/>
  <c r="L786" i="3" s="1"/>
  <c r="L785" i="3" s="1"/>
  <c r="L784" i="3" s="1"/>
  <c r="L783" i="3" s="1"/>
  <c r="L782" i="3" s="1"/>
  <c r="L768" i="3" s="1"/>
  <c r="M638" i="3"/>
  <c r="L638" i="3" s="1"/>
  <c r="L637" i="3" s="1"/>
  <c r="L636" i="3" s="1"/>
  <c r="L635" i="3" s="1"/>
  <c r="L634" i="3" s="1"/>
  <c r="L633" i="3" s="1"/>
  <c r="L630" i="3"/>
  <c r="L629" i="3" s="1"/>
  <c r="H191" i="7"/>
  <c r="H190" i="7" s="1"/>
  <c r="M664" i="3"/>
  <c r="L539" i="3" l="1"/>
  <c r="L538" i="3" s="1"/>
  <c r="L537" i="3" s="1"/>
  <c r="L624" i="3"/>
  <c r="L623" i="3" s="1"/>
  <c r="L622" i="3" s="1"/>
  <c r="L621" i="3" s="1"/>
  <c r="L620" i="3" s="1"/>
  <c r="M691" i="3"/>
  <c r="L691" i="3" s="1"/>
  <c r="L689" i="3" s="1"/>
  <c r="L684" i="3" s="1"/>
  <c r="L683" i="3" s="1"/>
  <c r="L678" i="3" s="1"/>
  <c r="L677" i="3" s="1"/>
  <c r="M531" i="3" l="1"/>
  <c r="L531" i="3" s="1"/>
  <c r="L530" i="3" s="1"/>
  <c r="L526" i="3" s="1"/>
  <c r="H94" i="7" l="1"/>
  <c r="H93" i="7" s="1"/>
  <c r="H89" i="7" s="1"/>
  <c r="M530" i="3"/>
  <c r="M526" i="3" s="1"/>
  <c r="I340" i="18"/>
  <c r="I339" i="18" s="1"/>
  <c r="I338" i="18" s="1"/>
  <c r="I337" i="18" s="1"/>
  <c r="I332" i="18" s="1"/>
  <c r="H340" i="18"/>
  <c r="H339" i="18" s="1"/>
  <c r="H338" i="18" s="1"/>
  <c r="H337" i="18" s="1"/>
  <c r="H332" i="18" s="1"/>
  <c r="M521" i="3"/>
  <c r="L304" i="3"/>
  <c r="L302" i="3" s="1"/>
  <c r="L301" i="3" s="1"/>
  <c r="L300" i="3" s="1"/>
  <c r="L299" i="3" s="1"/>
  <c r="L298" i="3" s="1"/>
  <c r="L297" i="3" s="1"/>
  <c r="M520" i="3" l="1"/>
  <c r="L521" i="3"/>
  <c r="L520" i="3" s="1"/>
  <c r="H82" i="7"/>
  <c r="H81" i="7" s="1"/>
  <c r="L478" i="3" l="1"/>
  <c r="L477" i="3" s="1"/>
  <c r="L476" i="3" s="1"/>
  <c r="L475" i="3" s="1"/>
  <c r="E27" i="8"/>
  <c r="E26" i="8" s="1"/>
  <c r="E25" i="8" s="1"/>
  <c r="E24" i="8" s="1"/>
  <c r="D27" i="8"/>
  <c r="D26" i="8" s="1"/>
  <c r="D25" i="8" s="1"/>
  <c r="D24" i="8" s="1"/>
  <c r="C27" i="8"/>
  <c r="C26" i="8" s="1"/>
  <c r="C25" i="8" s="1"/>
  <c r="C24" i="8" s="1"/>
  <c r="M402" i="3" l="1"/>
  <c r="M394" i="3"/>
  <c r="L394" i="3" s="1"/>
  <c r="L393" i="3" s="1"/>
  <c r="L390" i="3" s="1"/>
  <c r="L389" i="3" s="1"/>
  <c r="L388" i="3" s="1"/>
  <c r="L387" i="3" s="1"/>
  <c r="H394" i="7"/>
  <c r="H84" i="7" l="1"/>
  <c r="H83" i="7" s="1"/>
  <c r="L402" i="3"/>
  <c r="L401" i="3" s="1"/>
  <c r="L398" i="3" s="1"/>
  <c r="L397" i="3" s="1"/>
  <c r="L396" i="3" s="1"/>
  <c r="L395" i="3" s="1"/>
  <c r="L386" i="3" s="1"/>
  <c r="M401" i="3"/>
  <c r="N147" i="19" l="1"/>
  <c r="N146" i="19" s="1"/>
  <c r="N145" i="19" s="1"/>
  <c r="N144" i="19" s="1"/>
  <c r="N143" i="19" s="1"/>
  <c r="N142" i="19" s="1"/>
  <c r="M147" i="19"/>
  <c r="M146" i="19" s="1"/>
  <c r="M145" i="19" s="1"/>
  <c r="M144" i="19" s="1"/>
  <c r="M143" i="19" s="1"/>
  <c r="M142" i="19" s="1"/>
  <c r="N621" i="19" l="1"/>
  <c r="M621" i="19"/>
  <c r="H445" i="7"/>
  <c r="H444" i="7" s="1"/>
  <c r="H443" i="7" s="1"/>
  <c r="H442" i="7" s="1"/>
  <c r="M193" i="3"/>
  <c r="M192" i="3" s="1"/>
  <c r="M191" i="3" s="1"/>
  <c r="M190" i="3" s="1"/>
  <c r="M189" i="3" s="1"/>
  <c r="M864" i="3" s="1"/>
  <c r="L117" i="3"/>
  <c r="L116" i="3" s="1"/>
  <c r="L115" i="3" s="1"/>
  <c r="L109" i="3" s="1"/>
  <c r="L108" i="3" s="1"/>
  <c r="L107" i="3" s="1"/>
  <c r="L94" i="3" s="1"/>
  <c r="H449" i="7" l="1"/>
  <c r="H448" i="7" s="1"/>
  <c r="H447" i="7" s="1"/>
  <c r="M60" i="3"/>
  <c r="M59" i="3" s="1"/>
  <c r="M58" i="3" s="1"/>
  <c r="M57" i="3" s="1"/>
  <c r="M77" i="19" l="1"/>
  <c r="L77" i="19" s="1"/>
  <c r="L75" i="19" s="1"/>
  <c r="L74" i="19" s="1"/>
  <c r="L64" i="19" s="1"/>
  <c r="L63" i="19" s="1"/>
  <c r="L57" i="19" s="1"/>
  <c r="L18" i="19" s="1"/>
  <c r="L17" i="19" s="1"/>
  <c r="M447" i="19" l="1"/>
  <c r="L447" i="19" s="1"/>
  <c r="L446" i="19" s="1"/>
  <c r="L443" i="19" s="1"/>
  <c r="L442" i="19" s="1"/>
  <c r="M658" i="3"/>
  <c r="L658" i="3" s="1"/>
  <c r="L657" i="3" s="1"/>
  <c r="L646" i="3" s="1"/>
  <c r="N447" i="19"/>
  <c r="M660" i="3"/>
  <c r="M669" i="3" l="1"/>
  <c r="H195" i="7" l="1"/>
  <c r="H194" i="7" s="1"/>
  <c r="L669" i="3"/>
  <c r="L668" i="3" s="1"/>
  <c r="M668" i="3"/>
  <c r="M659" i="3" s="1"/>
  <c r="L28" i="3"/>
  <c r="L27" i="3" s="1"/>
  <c r="L26" i="3" l="1"/>
  <c r="L25" i="3" s="1"/>
  <c r="L24" i="3" s="1"/>
  <c r="L23" i="3" s="1"/>
  <c r="L16" i="3" s="1"/>
  <c r="L659" i="3"/>
  <c r="L645" i="3" s="1"/>
  <c r="L208" i="3"/>
  <c r="L207" i="3" s="1"/>
  <c r="L206" i="3" s="1"/>
  <c r="L205" i="3" s="1"/>
  <c r="L204" i="3" s="1"/>
  <c r="L203" i="3" s="1"/>
  <c r="L202" i="3" s="1"/>
  <c r="M201" i="3"/>
  <c r="L201" i="3" s="1"/>
  <c r="L200" i="3" s="1"/>
  <c r="L199" i="3" s="1"/>
  <c r="L198" i="3" s="1"/>
  <c r="L197" i="3" s="1"/>
  <c r="L196" i="3" s="1"/>
  <c r="L195" i="3" s="1"/>
  <c r="H456" i="7"/>
  <c r="H454" i="7"/>
  <c r="H453" i="7" s="1"/>
  <c r="H452" i="7"/>
  <c r="H451" i="7" s="1"/>
  <c r="M183" i="3"/>
  <c r="M185" i="3"/>
  <c r="M385" i="3" l="1"/>
  <c r="L385" i="3" s="1"/>
  <c r="L384" i="3" s="1"/>
  <c r="L383" i="3" s="1"/>
  <c r="L382" i="3" s="1"/>
  <c r="L381" i="3" s="1"/>
  <c r="L380" i="3" s="1"/>
  <c r="L379" i="3" s="1"/>
  <c r="L315" i="3" s="1"/>
  <c r="L580" i="3" l="1"/>
  <c r="L579" i="3" s="1"/>
  <c r="L574" i="3" s="1"/>
  <c r="L573" i="3" s="1"/>
  <c r="L568" i="3" s="1"/>
  <c r="L567" i="3" s="1"/>
  <c r="N449" i="19" l="1"/>
  <c r="M449" i="19"/>
  <c r="M172" i="3" l="1"/>
  <c r="L172" i="3" s="1"/>
  <c r="L171" i="3" s="1"/>
  <c r="L168" i="3" s="1"/>
  <c r="L167" i="3" l="1"/>
  <c r="L166" i="3" s="1"/>
  <c r="L147" i="3" s="1"/>
  <c r="L131" i="3" s="1"/>
  <c r="L15" i="3" s="1"/>
  <c r="H145" i="7"/>
  <c r="H147" i="7"/>
  <c r="M389" i="19"/>
  <c r="I114" i="18"/>
  <c r="H114" i="18"/>
  <c r="N402" i="19"/>
  <c r="M402" i="19"/>
  <c r="N401" i="19"/>
  <c r="N400" i="19" s="1"/>
  <c r="M401" i="19"/>
  <c r="I108" i="18"/>
  <c r="H108" i="18"/>
  <c r="N362" i="19"/>
  <c r="M362" i="19"/>
  <c r="I61" i="18"/>
  <c r="H61" i="18"/>
  <c r="N344" i="19"/>
  <c r="M344" i="19"/>
  <c r="I41" i="18"/>
  <c r="H41" i="18"/>
  <c r="N326" i="19"/>
  <c r="M326" i="19"/>
  <c r="M540" i="3"/>
  <c r="M400" i="19" l="1"/>
  <c r="M399" i="19" s="1"/>
  <c r="L401" i="19"/>
  <c r="L400" i="19" s="1"/>
  <c r="L399" i="19" s="1"/>
  <c r="L383" i="19" s="1"/>
  <c r="L382" i="19" s="1"/>
  <c r="L381" i="19" s="1"/>
  <c r="L296" i="19" s="1"/>
  <c r="L282" i="19" s="1"/>
  <c r="H112" i="18"/>
  <c r="I112" i="18"/>
  <c r="N399" i="19"/>
  <c r="M595" i="3"/>
  <c r="M592" i="3" s="1"/>
  <c r="M552" i="3"/>
  <c r="M513" i="3"/>
  <c r="H76" i="7"/>
  <c r="H55" i="7"/>
  <c r="H53" i="7"/>
  <c r="H52" i="7"/>
  <c r="M490" i="3"/>
  <c r="H51" i="7" l="1"/>
  <c r="M564" i="3"/>
  <c r="M563" i="3" s="1"/>
  <c r="M562" i="3" s="1"/>
  <c r="L564" i="3" l="1"/>
  <c r="L563" i="3" s="1"/>
  <c r="L562" i="3" s="1"/>
  <c r="L536" i="3" s="1"/>
  <c r="L440" i="3" s="1"/>
  <c r="L426" i="3" s="1"/>
  <c r="M312" i="3"/>
  <c r="M311" i="3" s="1"/>
  <c r="M310" i="3" s="1"/>
  <c r="M309" i="3" s="1"/>
  <c r="M308" i="3" s="1"/>
  <c r="I405" i="18" l="1"/>
  <c r="I404" i="18" s="1"/>
  <c r="H405" i="18"/>
  <c r="H404" i="18" s="1"/>
  <c r="N154" i="19"/>
  <c r="N153" i="19" s="1"/>
  <c r="N152" i="19" s="1"/>
  <c r="N151" i="19" s="1"/>
  <c r="N150" i="19" s="1"/>
  <c r="N149" i="19" s="1"/>
  <c r="M154" i="19"/>
  <c r="M153" i="19" s="1"/>
  <c r="M152" i="19" s="1"/>
  <c r="M151" i="19" s="1"/>
  <c r="M150" i="19" s="1"/>
  <c r="I424" i="18"/>
  <c r="H424" i="18"/>
  <c r="I423" i="18"/>
  <c r="H423" i="18"/>
  <c r="N75" i="19"/>
  <c r="N74" i="19" s="1"/>
  <c r="M75" i="19"/>
  <c r="M74" i="19" s="1"/>
  <c r="M149" i="19" l="1"/>
  <c r="H422" i="18"/>
  <c r="H421" i="18" s="1"/>
  <c r="I422" i="18"/>
  <c r="I421" i="18" s="1"/>
  <c r="H332" i="7" l="1"/>
  <c r="H331" i="7" s="1"/>
  <c r="H330" i="7" s="1"/>
  <c r="H329" i="7" s="1"/>
  <c r="H555" i="7" l="1"/>
  <c r="H554" i="7"/>
  <c r="H553" i="7"/>
  <c r="H552" i="7" l="1"/>
  <c r="H551" i="7" s="1"/>
  <c r="M82" i="3"/>
  <c r="M81" i="3" s="1"/>
  <c r="H267" i="7" l="1"/>
  <c r="I145" i="18"/>
  <c r="I144" i="18" s="1"/>
  <c r="I143" i="18" s="1"/>
  <c r="H145" i="18"/>
  <c r="H144" i="18" s="1"/>
  <c r="H143" i="18" s="1"/>
  <c r="N437" i="19"/>
  <c r="N436" i="19" s="1"/>
  <c r="M437" i="19"/>
  <c r="M436" i="19" s="1"/>
  <c r="H198" i="7"/>
  <c r="M640" i="3"/>
  <c r="M639" i="3" s="1"/>
  <c r="I185" i="18" l="1"/>
  <c r="H185" i="18"/>
  <c r="M728" i="3" l="1"/>
  <c r="N493" i="19"/>
  <c r="M493" i="19"/>
  <c r="I200" i="18"/>
  <c r="H200" i="18"/>
  <c r="I199" i="18"/>
  <c r="H199" i="18"/>
  <c r="I198" i="18"/>
  <c r="H198" i="18"/>
  <c r="H202" i="18"/>
  <c r="H201" i="18" s="1"/>
  <c r="I202" i="18"/>
  <c r="I201" i="18" s="1"/>
  <c r="N487" i="19"/>
  <c r="M487" i="19"/>
  <c r="L479" i="19"/>
  <c r="L478" i="19" s="1"/>
  <c r="L470" i="19" s="1"/>
  <c r="M483" i="19"/>
  <c r="N483" i="19"/>
  <c r="N482" i="19" l="1"/>
  <c r="N481" i="19" s="1"/>
  <c r="N480" i="19" s="1"/>
  <c r="M482" i="19"/>
  <c r="M481" i="19" s="1"/>
  <c r="M480" i="19" s="1"/>
  <c r="H197" i="18"/>
  <c r="H196" i="18" s="1"/>
  <c r="I197" i="18"/>
  <c r="I196" i="18" s="1"/>
  <c r="M732" i="3"/>
  <c r="L709" i="3" l="1"/>
  <c r="L704" i="3" s="1"/>
  <c r="L703" i="3" s="1"/>
  <c r="H230" i="7"/>
  <c r="H229" i="7" s="1"/>
  <c r="H228" i="7" s="1"/>
  <c r="L732" i="3"/>
  <c r="L731" i="3" s="1"/>
  <c r="L730" i="3" s="1"/>
  <c r="L726" i="3" s="1"/>
  <c r="M731" i="3"/>
  <c r="M730" i="3" s="1"/>
  <c r="L725" i="3" l="1"/>
  <c r="L724" i="3" s="1"/>
  <c r="L702" i="3" s="1"/>
  <c r="L694" i="3" s="1"/>
  <c r="N453" i="19"/>
  <c r="M453" i="19"/>
  <c r="N456" i="19"/>
  <c r="M456" i="19"/>
  <c r="L456" i="19" s="1"/>
  <c r="L455" i="19" s="1"/>
  <c r="L452" i="19" s="1"/>
  <c r="L451" i="19" s="1"/>
  <c r="L441" i="19" s="1"/>
  <c r="L440" i="19" s="1"/>
  <c r="L439" i="19" s="1"/>
  <c r="L413" i="19" s="1"/>
  <c r="L16" i="19" s="1"/>
  <c r="I139" i="18"/>
  <c r="I138" i="18" s="1"/>
  <c r="N446" i="19"/>
  <c r="M446" i="19"/>
  <c r="L676" i="3"/>
  <c r="L675" i="3" s="1"/>
  <c r="L671" i="3" s="1"/>
  <c r="L670" i="3" s="1"/>
  <c r="L644" i="3" s="1"/>
  <c r="L643" i="3" s="1"/>
  <c r="L642" i="3" s="1"/>
  <c r="L612" i="3" s="1"/>
  <c r="H176" i="7"/>
  <c r="H175" i="7" s="1"/>
  <c r="M649" i="3"/>
  <c r="L14" i="3" l="1"/>
  <c r="H139" i="18"/>
  <c r="H138" i="18" s="1"/>
  <c r="N268" i="19"/>
  <c r="I314" i="18"/>
  <c r="H314" i="18"/>
  <c r="N242" i="19"/>
  <c r="N241" i="19" s="1"/>
  <c r="N240" i="19" s="1"/>
  <c r="M242" i="19"/>
  <c r="M241" i="19" s="1"/>
  <c r="M240" i="19" s="1"/>
  <c r="N267" i="19" l="1"/>
  <c r="N266" i="19" s="1"/>
  <c r="N265" i="19" s="1"/>
  <c r="N264" i="19" s="1"/>
  <c r="I312" i="18"/>
  <c r="I311" i="18" s="1"/>
  <c r="H312" i="18"/>
  <c r="H311" i="18" s="1"/>
  <c r="N577" i="19"/>
  <c r="N576" i="19" s="1"/>
  <c r="M577" i="19"/>
  <c r="M576" i="19" s="1"/>
  <c r="H414" i="7"/>
  <c r="H413" i="7" s="1"/>
  <c r="M821" i="3"/>
  <c r="M820" i="3" s="1"/>
  <c r="I260" i="18" l="1"/>
  <c r="I259" i="18" s="1"/>
  <c r="H260" i="18"/>
  <c r="H259" i="18" s="1"/>
  <c r="N194" i="19"/>
  <c r="N193" i="19" s="1"/>
  <c r="N192" i="19" s="1"/>
  <c r="N191" i="19" s="1"/>
  <c r="N190" i="19" s="1"/>
  <c r="N627" i="19" s="1"/>
  <c r="M194" i="19"/>
  <c r="M193" i="19" s="1"/>
  <c r="M192" i="19" s="1"/>
  <c r="M191" i="19" s="1"/>
  <c r="M190" i="19" s="1"/>
  <c r="M627" i="19" s="1"/>
  <c r="N189" i="19" l="1"/>
  <c r="M189" i="19"/>
  <c r="H19" i="18" l="1"/>
  <c r="I19" i="18"/>
  <c r="I23" i="18"/>
  <c r="H25" i="18"/>
  <c r="I25" i="18"/>
  <c r="H26" i="18"/>
  <c r="I26" i="18"/>
  <c r="H28" i="18"/>
  <c r="I28" i="18"/>
  <c r="H30" i="18"/>
  <c r="I30" i="18"/>
  <c r="H33" i="18"/>
  <c r="I33" i="18"/>
  <c r="H34" i="18"/>
  <c r="I34" i="18"/>
  <c r="H35" i="18"/>
  <c r="I35" i="18"/>
  <c r="H36" i="18"/>
  <c r="I36" i="18"/>
  <c r="H42" i="18"/>
  <c r="I42" i="18"/>
  <c r="I43" i="18"/>
  <c r="H44" i="18"/>
  <c r="I44" i="18"/>
  <c r="H46" i="18"/>
  <c r="I46" i="18"/>
  <c r="H47" i="18"/>
  <c r="I47" i="18"/>
  <c r="H49" i="18"/>
  <c r="I49" i="18"/>
  <c r="H50" i="18"/>
  <c r="I50" i="18"/>
  <c r="H51" i="18"/>
  <c r="I51" i="18"/>
  <c r="H53" i="18"/>
  <c r="I53" i="18"/>
  <c r="H54" i="18"/>
  <c r="I54" i="18"/>
  <c r="H55" i="18"/>
  <c r="I55" i="18"/>
  <c r="H57" i="18"/>
  <c r="I57" i="18"/>
  <c r="H58" i="18"/>
  <c r="I58" i="18"/>
  <c r="H60" i="18"/>
  <c r="I60" i="18"/>
  <c r="H62" i="18"/>
  <c r="I62" i="18"/>
  <c r="H64" i="18"/>
  <c r="I64" i="18"/>
  <c r="H65" i="18"/>
  <c r="I65" i="18"/>
  <c r="H69" i="18"/>
  <c r="H68" i="18" s="1"/>
  <c r="I69" i="18"/>
  <c r="H71" i="18"/>
  <c r="I71" i="18"/>
  <c r="H72" i="18"/>
  <c r="I72" i="18"/>
  <c r="H73" i="18"/>
  <c r="I73" i="18"/>
  <c r="H80" i="18"/>
  <c r="I80" i="18"/>
  <c r="H81" i="18"/>
  <c r="I81" i="18"/>
  <c r="H82" i="18"/>
  <c r="I82" i="18"/>
  <c r="H83" i="18"/>
  <c r="I83" i="18"/>
  <c r="H88" i="18"/>
  <c r="I88" i="18"/>
  <c r="H90" i="18"/>
  <c r="I90" i="18"/>
  <c r="I94" i="18"/>
  <c r="H95" i="18"/>
  <c r="I95" i="18"/>
  <c r="H96" i="18"/>
  <c r="I96" i="18"/>
  <c r="I98" i="18"/>
  <c r="H99" i="18"/>
  <c r="I99" i="18"/>
  <c r="I100" i="18"/>
  <c r="H101" i="18"/>
  <c r="I101" i="18"/>
  <c r="H103" i="18"/>
  <c r="I103" i="18"/>
  <c r="H105" i="18"/>
  <c r="H104" i="18" s="1"/>
  <c r="I105" i="18"/>
  <c r="I104" i="18" s="1"/>
  <c r="H109" i="18"/>
  <c r="H107" i="18" s="1"/>
  <c r="I109" i="18"/>
  <c r="I107" i="18" s="1"/>
  <c r="H117" i="18"/>
  <c r="I117" i="18"/>
  <c r="H120" i="18"/>
  <c r="I120" i="18"/>
  <c r="H123" i="18"/>
  <c r="I123" i="18"/>
  <c r="H129" i="18"/>
  <c r="I129" i="18"/>
  <c r="H131" i="18"/>
  <c r="I131" i="18"/>
  <c r="H134" i="18"/>
  <c r="I134" i="18"/>
  <c r="H137" i="18"/>
  <c r="I137" i="18"/>
  <c r="I142" i="18"/>
  <c r="H149" i="18"/>
  <c r="H148" i="18" s="1"/>
  <c r="I149" i="18"/>
  <c r="I148" i="18" s="1"/>
  <c r="H151" i="18"/>
  <c r="H155" i="18"/>
  <c r="I155" i="18"/>
  <c r="H156" i="18"/>
  <c r="I156" i="18"/>
  <c r="H157" i="18"/>
  <c r="I157" i="18"/>
  <c r="H159" i="18"/>
  <c r="I159" i="18"/>
  <c r="H160" i="18"/>
  <c r="I160" i="18"/>
  <c r="H161" i="18"/>
  <c r="I161" i="18"/>
  <c r="H164" i="18"/>
  <c r="I164" i="18"/>
  <c r="H169" i="18"/>
  <c r="H168" i="18" s="1"/>
  <c r="I173" i="18"/>
  <c r="I172" i="18" s="1"/>
  <c r="H177" i="18"/>
  <c r="I177" i="18"/>
  <c r="H179" i="18"/>
  <c r="I179" i="18"/>
  <c r="H195" i="18"/>
  <c r="I195" i="18"/>
  <c r="H208" i="18"/>
  <c r="I208" i="18"/>
  <c r="H209" i="18"/>
  <c r="I209" i="18"/>
  <c r="H210" i="18"/>
  <c r="I210" i="18"/>
  <c r="H214" i="18"/>
  <c r="I214" i="18"/>
  <c r="H215" i="18"/>
  <c r="I215" i="18"/>
  <c r="H216" i="18"/>
  <c r="I216" i="18"/>
  <c r="H219" i="18"/>
  <c r="I219" i="18"/>
  <c r="H222" i="18"/>
  <c r="I222" i="18"/>
  <c r="H225" i="18"/>
  <c r="I225" i="18"/>
  <c r="H231" i="18"/>
  <c r="I231" i="18"/>
  <c r="H233" i="18"/>
  <c r="I233" i="18"/>
  <c r="H237" i="18"/>
  <c r="I237" i="18"/>
  <c r="H240" i="18"/>
  <c r="I240" i="18"/>
  <c r="H245" i="18"/>
  <c r="I245" i="18"/>
  <c r="H246" i="18"/>
  <c r="I246" i="18"/>
  <c r="H250" i="18"/>
  <c r="I250" i="18"/>
  <c r="H256" i="18"/>
  <c r="I256" i="18"/>
  <c r="H257" i="18"/>
  <c r="I257" i="18"/>
  <c r="H258" i="18"/>
  <c r="I258" i="18"/>
  <c r="H263" i="18"/>
  <c r="I263" i="18"/>
  <c r="H266" i="18"/>
  <c r="I266" i="18"/>
  <c r="H269" i="18"/>
  <c r="I269" i="18"/>
  <c r="H275" i="18"/>
  <c r="I275" i="18"/>
  <c r="I279" i="18"/>
  <c r="H280" i="18"/>
  <c r="I280" i="18"/>
  <c r="H281" i="18"/>
  <c r="I281" i="18"/>
  <c r="H285" i="18"/>
  <c r="I285" i="18"/>
  <c r="H287" i="18"/>
  <c r="I287" i="18"/>
  <c r="H290" i="18"/>
  <c r="I290" i="18"/>
  <c r="H293" i="18"/>
  <c r="I293" i="18"/>
  <c r="H299" i="18"/>
  <c r="I299" i="18"/>
  <c r="H300" i="18"/>
  <c r="I300" i="18"/>
  <c r="H302" i="18"/>
  <c r="I302" i="18"/>
  <c r="H303" i="18"/>
  <c r="I303" i="18"/>
  <c r="H305" i="18"/>
  <c r="I305" i="18"/>
  <c r="H306" i="18"/>
  <c r="I306" i="18"/>
  <c r="H308" i="18"/>
  <c r="I308" i="18"/>
  <c r="H309" i="18"/>
  <c r="I309" i="18"/>
  <c r="H317" i="18"/>
  <c r="I317" i="18"/>
  <c r="H321" i="18"/>
  <c r="I321" i="18"/>
  <c r="H324" i="18"/>
  <c r="I324" i="18"/>
  <c r="H327" i="18"/>
  <c r="I327" i="18"/>
  <c r="H330" i="18"/>
  <c r="I330" i="18"/>
  <c r="H346" i="18"/>
  <c r="I346" i="18"/>
  <c r="H349" i="18"/>
  <c r="I349" i="18"/>
  <c r="H355" i="18"/>
  <c r="I355" i="18"/>
  <c r="H361" i="18"/>
  <c r="I361" i="18"/>
  <c r="H365" i="18"/>
  <c r="I365" i="18"/>
  <c r="H377" i="18"/>
  <c r="I377" i="18"/>
  <c r="H383" i="18"/>
  <c r="I383" i="18"/>
  <c r="H388" i="18"/>
  <c r="I388" i="18"/>
  <c r="H392" i="18"/>
  <c r="I392" i="18"/>
  <c r="H397" i="18"/>
  <c r="I397" i="18"/>
  <c r="H403" i="18"/>
  <c r="H407" i="18"/>
  <c r="I407" i="18"/>
  <c r="H408" i="18"/>
  <c r="I408" i="18"/>
  <c r="H411" i="18"/>
  <c r="I411" i="18"/>
  <c r="H413" i="18"/>
  <c r="I413" i="18"/>
  <c r="H416" i="18"/>
  <c r="I416" i="18"/>
  <c r="H417" i="18"/>
  <c r="I417" i="18"/>
  <c r="H430" i="18"/>
  <c r="I430" i="18"/>
  <c r="H435" i="18"/>
  <c r="I435" i="18"/>
  <c r="H436" i="18"/>
  <c r="I436" i="18"/>
  <c r="H437" i="18"/>
  <c r="I437" i="18"/>
  <c r="H442" i="18"/>
  <c r="I442" i="18"/>
  <c r="I59" i="18" l="1"/>
  <c r="H59" i="18"/>
  <c r="I40" i="18"/>
  <c r="H279" i="18"/>
  <c r="H43" i="18"/>
  <c r="H40" i="18" s="1"/>
  <c r="H386" i="18" l="1"/>
  <c r="H371" i="18"/>
  <c r="H491" i="7" l="1"/>
  <c r="H490" i="7" s="1"/>
  <c r="M164" i="3"/>
  <c r="H173" i="18" l="1"/>
  <c r="H172" i="18" s="1"/>
  <c r="H23" i="18" l="1"/>
  <c r="H395" i="7" l="1"/>
  <c r="H392" i="7" s="1"/>
  <c r="M332" i="3"/>
  <c r="H416" i="7" l="1"/>
  <c r="M355" i="3"/>
  <c r="M354" i="3" s="1"/>
  <c r="M353" i="3" s="1"/>
  <c r="M352" i="3" s="1"/>
  <c r="M504" i="3" l="1"/>
  <c r="H98" i="18" l="1"/>
  <c r="M421" i="3" l="1"/>
  <c r="M420" i="3" l="1"/>
  <c r="M419" i="3" s="1"/>
  <c r="M418" i="3" s="1"/>
  <c r="M417" i="3" s="1"/>
  <c r="M416" i="3" s="1"/>
  <c r="H311" i="7"/>
  <c r="H310" i="7" s="1"/>
  <c r="I102" i="18" l="1"/>
  <c r="H102" i="18"/>
  <c r="N394" i="19" l="1"/>
  <c r="M394" i="19"/>
  <c r="H137" i="7"/>
  <c r="H136" i="7" s="1"/>
  <c r="M587" i="3"/>
  <c r="I396" i="18" l="1"/>
  <c r="H396" i="18"/>
  <c r="I394" i="18"/>
  <c r="H394" i="18"/>
  <c r="I399" i="18"/>
  <c r="H399" i="18"/>
  <c r="I400" i="18"/>
  <c r="H400" i="18"/>
  <c r="I326" i="18" l="1"/>
  <c r="H326" i="18"/>
  <c r="I323" i="18"/>
  <c r="H323" i="18"/>
  <c r="I320" i="18"/>
  <c r="H320" i="18"/>
  <c r="H252" i="7" l="1"/>
  <c r="I371" i="18" l="1"/>
  <c r="H328" i="7"/>
  <c r="H327" i="7" s="1"/>
  <c r="H326" i="7" s="1"/>
  <c r="M125" i="3"/>
  <c r="M124" i="3" s="1"/>
  <c r="H142" i="18" l="1"/>
  <c r="H141" i="18" s="1"/>
  <c r="H184" i="7" l="1"/>
  <c r="H183" i="7" s="1"/>
  <c r="M657" i="3" l="1"/>
  <c r="H284" i="18" l="1"/>
  <c r="H38" i="18" l="1"/>
  <c r="H100" i="18"/>
  <c r="H94" i="18"/>
  <c r="M722" i="3" l="1"/>
  <c r="H541" i="7" l="1"/>
  <c r="H540" i="7" s="1"/>
  <c r="M169" i="3"/>
  <c r="M718" i="3" l="1"/>
  <c r="M717" i="3" s="1"/>
  <c r="H263" i="7" l="1"/>
  <c r="H262" i="7" s="1"/>
  <c r="H261" i="7"/>
  <c r="H260" i="7"/>
  <c r="H259" i="7"/>
  <c r="H258" i="7" l="1"/>
  <c r="H257" i="7" s="1"/>
  <c r="M347" i="3" l="1"/>
  <c r="M346" i="3" s="1"/>
  <c r="H391" i="7" l="1"/>
  <c r="H390" i="7" s="1"/>
  <c r="M689" i="3"/>
  <c r="I316" i="18" l="1"/>
  <c r="H316" i="18"/>
  <c r="I315" i="18"/>
  <c r="I313" i="18" s="1"/>
  <c r="H315" i="18"/>
  <c r="H313" i="18" s="1"/>
  <c r="N279" i="19"/>
  <c r="M279" i="19"/>
  <c r="I68" i="18" l="1"/>
  <c r="N351" i="19"/>
  <c r="I403" i="18" l="1"/>
  <c r="H111" i="7" l="1"/>
  <c r="H110" i="7" l="1"/>
  <c r="H109" i="7" s="1"/>
  <c r="N455" i="19" l="1"/>
  <c r="I151" i="18"/>
  <c r="N40" i="19"/>
  <c r="M40" i="19"/>
  <c r="H521" i="7"/>
  <c r="H520" i="7"/>
  <c r="M39" i="3"/>
  <c r="H77" i="7"/>
  <c r="H75" i="7"/>
  <c r="H88" i="7"/>
  <c r="H87" i="7"/>
  <c r="H86" i="7"/>
  <c r="H74" i="7" l="1"/>
  <c r="H398" i="18"/>
  <c r="I398" i="18"/>
  <c r="H519" i="7"/>
  <c r="H70" i="18"/>
  <c r="I70" i="18"/>
  <c r="H85" i="7"/>
  <c r="H39" i="18"/>
  <c r="I39" i="18"/>
  <c r="M351" i="19"/>
  <c r="N353" i="19"/>
  <c r="M353" i="19"/>
  <c r="M522" i="3"/>
  <c r="M517" i="3" l="1"/>
  <c r="N583" i="19"/>
  <c r="M583" i="19"/>
  <c r="N589" i="19"/>
  <c r="M589" i="19"/>
  <c r="N567" i="19"/>
  <c r="M567" i="19"/>
  <c r="N570" i="19"/>
  <c r="M570" i="19"/>
  <c r="H426" i="7"/>
  <c r="H427" i="7"/>
  <c r="M827" i="3"/>
  <c r="M833" i="3"/>
  <c r="M811" i="3"/>
  <c r="M814" i="3"/>
  <c r="H379" i="7" l="1"/>
  <c r="H378" i="7" s="1"/>
  <c r="H342" i="7"/>
  <c r="H341" i="7" s="1"/>
  <c r="H526" i="7"/>
  <c r="H525" i="7" s="1"/>
  <c r="M407" i="3" l="1"/>
  <c r="M406" i="3" s="1"/>
  <c r="M405" i="3" s="1"/>
  <c r="M404" i="3" s="1"/>
  <c r="M403" i="3" s="1"/>
  <c r="M281" i="3"/>
  <c r="M280" i="3" s="1"/>
  <c r="M279" i="3" s="1"/>
  <c r="M278" i="3" s="1"/>
  <c r="M277" i="3" s="1"/>
  <c r="M276" i="3" s="1"/>
  <c r="M200" i="3"/>
  <c r="M199" i="3" s="1"/>
  <c r="M198" i="3" s="1"/>
  <c r="M197" i="3" s="1"/>
  <c r="M196" i="3" s="1"/>
  <c r="M870" i="3" l="1"/>
  <c r="M195" i="3"/>
  <c r="I390" i="18"/>
  <c r="H390" i="18"/>
  <c r="I386" i="18" l="1"/>
  <c r="I22" i="18" l="1"/>
  <c r="N247" i="19"/>
  <c r="M247" i="19"/>
  <c r="H22" i="18"/>
  <c r="M324" i="3"/>
  <c r="M360" i="3"/>
  <c r="M830" i="3" l="1"/>
  <c r="M826" i="3" s="1"/>
  <c r="H57" i="7" l="1"/>
  <c r="N262" i="19" l="1"/>
  <c r="N261" i="19" s="1"/>
  <c r="M262" i="19"/>
  <c r="M261" i="19" s="1"/>
  <c r="M550" i="3" l="1"/>
  <c r="I429" i="18" l="1"/>
  <c r="I428" i="18" s="1"/>
  <c r="I427" i="18" s="1"/>
  <c r="I426" i="18" s="1"/>
  <c r="H429" i="18"/>
  <c r="H428" i="18" s="1"/>
  <c r="H427" i="18" s="1"/>
  <c r="H426" i="18" s="1"/>
  <c r="I86" i="18"/>
  <c r="H86" i="18"/>
  <c r="I85" i="18"/>
  <c r="H85" i="18"/>
  <c r="I38" i="18"/>
  <c r="N312" i="19"/>
  <c r="N311" i="19" s="1"/>
  <c r="N310" i="19" s="1"/>
  <c r="N309" i="19" s="1"/>
  <c r="M312" i="19"/>
  <c r="M311" i="19" s="1"/>
  <c r="M310" i="19" s="1"/>
  <c r="M309" i="19" s="1"/>
  <c r="H21" i="18"/>
  <c r="H56" i="7"/>
  <c r="H24" i="7"/>
  <c r="M495" i="3"/>
  <c r="M468" i="3"/>
  <c r="M463" i="3" s="1"/>
  <c r="I111" i="18" l="1"/>
  <c r="N303" i="19"/>
  <c r="I21" i="18"/>
  <c r="I20" i="18" s="1"/>
  <c r="M462" i="3"/>
  <c r="M461" i="3" s="1"/>
  <c r="M303" i="19"/>
  <c r="H111" i="18"/>
  <c r="M374" i="19"/>
  <c r="I37" i="18"/>
  <c r="H20" i="18"/>
  <c r="I171" i="18"/>
  <c r="H171" i="18"/>
  <c r="H167" i="18" s="1"/>
  <c r="I84" i="18"/>
  <c r="H37" i="18"/>
  <c r="N323" i="19"/>
  <c r="N374" i="19"/>
  <c r="M323" i="19"/>
  <c r="H84" i="18" l="1"/>
  <c r="M451" i="3"/>
  <c r="N492" i="19" l="1"/>
  <c r="N491" i="19" s="1"/>
  <c r="N490" i="19" s="1"/>
  <c r="M492" i="19"/>
  <c r="M491" i="19" s="1"/>
  <c r="M490" i="19" s="1"/>
  <c r="I178" i="18"/>
  <c r="H178" i="18"/>
  <c r="H176" i="18" s="1"/>
  <c r="I249" i="18" l="1"/>
  <c r="I248" i="18" s="1"/>
  <c r="I247" i="18" s="1"/>
  <c r="H249" i="18"/>
  <c r="H248" i="18" s="1"/>
  <c r="H247" i="18" s="1"/>
  <c r="H455" i="7" l="1"/>
  <c r="H450" i="7" s="1"/>
  <c r="H446" i="7" s="1"/>
  <c r="H497" i="7"/>
  <c r="N104" i="19"/>
  <c r="N103" i="19" s="1"/>
  <c r="N102" i="19" s="1"/>
  <c r="M104" i="19"/>
  <c r="M103" i="19" s="1"/>
  <c r="M102" i="19" s="1"/>
  <c r="I244" i="18"/>
  <c r="H244" i="18"/>
  <c r="I387" i="18" l="1"/>
  <c r="H387" i="18"/>
  <c r="M187" i="3"/>
  <c r="M182" i="3" s="1"/>
  <c r="M180" i="3" l="1"/>
  <c r="M179" i="3" s="1"/>
  <c r="M178" i="3" s="1"/>
  <c r="M181" i="3"/>
  <c r="M861" i="3" l="1"/>
  <c r="H367" i="7"/>
  <c r="I284" i="18" l="1"/>
  <c r="I283" i="18"/>
  <c r="H283" i="18"/>
  <c r="I133" i="18" l="1"/>
  <c r="I132" i="18" s="1"/>
  <c r="H133" i="18"/>
  <c r="H132" i="18" s="1"/>
  <c r="N452" i="19"/>
  <c r="N451" i="19" s="1"/>
  <c r="N434" i="19"/>
  <c r="M434" i="19"/>
  <c r="N433" i="19" l="1"/>
  <c r="N432" i="19" s="1"/>
  <c r="N431" i="19" s="1"/>
  <c r="N430" i="19" s="1"/>
  <c r="M433" i="19"/>
  <c r="M432" i="19" s="1"/>
  <c r="M431" i="19" s="1"/>
  <c r="M430" i="19" s="1"/>
  <c r="D15" i="9"/>
  <c r="C15" i="9"/>
  <c r="C14" i="9" l="1"/>
  <c r="D14" i="9" l="1"/>
  <c r="M672" i="3" l="1"/>
  <c r="M622" i="19" l="1"/>
  <c r="H202" i="7" l="1"/>
  <c r="H25" i="7" l="1"/>
  <c r="M268" i="19"/>
  <c r="M267" i="19" l="1"/>
  <c r="M266" i="19" s="1"/>
  <c r="M265" i="19" s="1"/>
  <c r="M264" i="19" s="1"/>
  <c r="H36" i="7"/>
  <c r="H35" i="7" s="1"/>
  <c r="N260" i="19" l="1"/>
  <c r="N259" i="19" s="1"/>
  <c r="N258" i="19" s="1"/>
  <c r="N257" i="19" s="1"/>
  <c r="M260" i="19"/>
  <c r="M259" i="19" s="1"/>
  <c r="M258" i="19" s="1"/>
  <c r="M257" i="19" s="1"/>
  <c r="M393" i="3"/>
  <c r="M808" i="3" l="1"/>
  <c r="N377" i="19" l="1"/>
  <c r="M377" i="19"/>
  <c r="M555" i="3" l="1"/>
  <c r="H23" i="7" l="1"/>
  <c r="M438" i="3"/>
  <c r="M328" i="3"/>
  <c r="M302" i="3"/>
  <c r="M70" i="3"/>
  <c r="M49" i="3"/>
  <c r="M43" i="3"/>
  <c r="M21" i="3"/>
  <c r="M54" i="3" l="1"/>
  <c r="M53" i="3" s="1"/>
  <c r="M65" i="3" l="1"/>
  <c r="M120" i="3" l="1"/>
  <c r="I87" i="18" l="1"/>
  <c r="H87" i="18"/>
  <c r="H113" i="7" l="1"/>
  <c r="H112" i="7" s="1"/>
  <c r="H144" i="7"/>
  <c r="H543" i="7" l="1"/>
  <c r="H542" i="7" s="1"/>
  <c r="H539" i="7" s="1"/>
  <c r="M171" i="3"/>
  <c r="M168" i="3" s="1"/>
  <c r="M129" i="3"/>
  <c r="M128" i="3" s="1"/>
  <c r="M127" i="3" s="1"/>
  <c r="M167" i="3" l="1"/>
  <c r="M432" i="3"/>
  <c r="H59" i="7" l="1"/>
  <c r="H60" i="7"/>
  <c r="N489" i="19" l="1"/>
  <c r="N642" i="19" s="1"/>
  <c r="H45" i="18"/>
  <c r="I45" i="18"/>
  <c r="H58" i="7"/>
  <c r="M489" i="19" l="1"/>
  <c r="M642" i="19" s="1"/>
  <c r="N330" i="19"/>
  <c r="M330" i="19"/>
  <c r="M497" i="3"/>
  <c r="I116" i="18" l="1"/>
  <c r="I115" i="18" s="1"/>
  <c r="H116" i="18"/>
  <c r="H115" i="18" s="1"/>
  <c r="I119" i="18"/>
  <c r="I118" i="18" s="1"/>
  <c r="H119" i="18"/>
  <c r="H118" i="18" s="1"/>
  <c r="I122" i="18"/>
  <c r="I121" i="18" s="1"/>
  <c r="H122" i="18"/>
  <c r="H121" i="18" s="1"/>
  <c r="N348" i="19"/>
  <c r="M348" i="19"/>
  <c r="N288" i="19"/>
  <c r="N287" i="19" s="1"/>
  <c r="M288" i="19"/>
  <c r="M287" i="19" s="1"/>
  <c r="N291" i="19"/>
  <c r="N290" i="19" s="1"/>
  <c r="M291" i="19"/>
  <c r="M290" i="19" s="1"/>
  <c r="N294" i="19"/>
  <c r="N293" i="19" s="1"/>
  <c r="M294" i="19"/>
  <c r="M293" i="19" s="1"/>
  <c r="H63" i="18" l="1"/>
  <c r="I63" i="18"/>
  <c r="N286" i="19"/>
  <c r="N285" i="19" s="1"/>
  <c r="N284" i="19" s="1"/>
  <c r="N283" i="19" s="1"/>
  <c r="M286" i="19"/>
  <c r="M285" i="19" s="1"/>
  <c r="M284" i="19" s="1"/>
  <c r="M283" i="19" s="1"/>
  <c r="H150" i="7" l="1"/>
  <c r="H149" i="7" s="1"/>
  <c r="H148" i="7" s="1"/>
  <c r="H153" i="7"/>
  <c r="H152" i="7" s="1"/>
  <c r="H151" i="7" s="1"/>
  <c r="H156" i="7"/>
  <c r="H155" i="7" s="1"/>
  <c r="H154" i="7" s="1"/>
  <c r="M431" i="3"/>
  <c r="M435" i="3"/>
  <c r="M434" i="3" s="1"/>
  <c r="M437" i="3"/>
  <c r="H134" i="7"/>
  <c r="H133" i="7" s="1"/>
  <c r="H146" i="7"/>
  <c r="H143" i="7" l="1"/>
  <c r="M430" i="3"/>
  <c r="M429" i="3" s="1"/>
  <c r="M428" i="3" s="1"/>
  <c r="M427" i="3" s="1"/>
  <c r="I194" i="18" l="1"/>
  <c r="I193" i="18" s="1"/>
  <c r="H194" i="18"/>
  <c r="H193" i="18" s="1"/>
  <c r="I191" i="18"/>
  <c r="H191" i="18"/>
  <c r="N476" i="19"/>
  <c r="N475" i="19" s="1"/>
  <c r="N474" i="19" s="1"/>
  <c r="N473" i="19" s="1"/>
  <c r="N472" i="19" s="1"/>
  <c r="N471" i="19" s="1"/>
  <c r="M476" i="19"/>
  <c r="M475" i="19" s="1"/>
  <c r="M474" i="19" s="1"/>
  <c r="M473" i="19" s="1"/>
  <c r="M472" i="19" s="1"/>
  <c r="M471" i="19" s="1"/>
  <c r="H266" i="7"/>
  <c r="H256" i="7"/>
  <c r="H255" i="7" s="1"/>
  <c r="H254" i="7" s="1"/>
  <c r="H265" i="7" l="1"/>
  <c r="H264" i="7" s="1"/>
  <c r="N428" i="19"/>
  <c r="I130" i="18" s="1"/>
  <c r="M428" i="19"/>
  <c r="H130" i="18" s="1"/>
  <c r="I163" i="18"/>
  <c r="I162" i="18" s="1"/>
  <c r="H163" i="18"/>
  <c r="H162" i="18" s="1"/>
  <c r="N419" i="19"/>
  <c r="N418" i="19" s="1"/>
  <c r="N417" i="19" s="1"/>
  <c r="M419" i="19"/>
  <c r="M418" i="19" s="1"/>
  <c r="M417" i="19" s="1"/>
  <c r="I376" i="18"/>
  <c r="I375" i="18" s="1"/>
  <c r="I374" i="18" s="1"/>
  <c r="I373" i="18" s="1"/>
  <c r="H376" i="18"/>
  <c r="H375" i="18" s="1"/>
  <c r="H374" i="18" s="1"/>
  <c r="H373" i="18" s="1"/>
  <c r="N167" i="19"/>
  <c r="N166" i="19" s="1"/>
  <c r="N165" i="19" s="1"/>
  <c r="N164" i="19" s="1"/>
  <c r="N163" i="19" s="1"/>
  <c r="M167" i="19"/>
  <c r="M166" i="19" s="1"/>
  <c r="M165" i="19" s="1"/>
  <c r="M164" i="19" s="1"/>
  <c r="M163" i="19" s="1"/>
  <c r="I370" i="18"/>
  <c r="I369" i="18" s="1"/>
  <c r="H370" i="18"/>
  <c r="H369" i="18" s="1"/>
  <c r="N135" i="19"/>
  <c r="N134" i="19" s="1"/>
  <c r="M135" i="19"/>
  <c r="M134" i="19" s="1"/>
  <c r="I360" i="18"/>
  <c r="I359" i="18" s="1"/>
  <c r="I358" i="18" s="1"/>
  <c r="H360" i="18"/>
  <c r="H359" i="18" s="1"/>
  <c r="H358" i="18" s="1"/>
  <c r="N126" i="19"/>
  <c r="N125" i="19" s="1"/>
  <c r="N124" i="19" s="1"/>
  <c r="M126" i="19"/>
  <c r="M125" i="19" s="1"/>
  <c r="M124" i="19" s="1"/>
  <c r="I239" i="18"/>
  <c r="I238" i="18" s="1"/>
  <c r="H239" i="18"/>
  <c r="H238" i="18" s="1"/>
  <c r="I236" i="18"/>
  <c r="I235" i="18" s="1"/>
  <c r="H236" i="18"/>
  <c r="H235" i="18" s="1"/>
  <c r="N94" i="19"/>
  <c r="N93" i="19" s="1"/>
  <c r="M94" i="19"/>
  <c r="M93" i="19" s="1"/>
  <c r="N91" i="19"/>
  <c r="N90" i="19" s="1"/>
  <c r="M91" i="19"/>
  <c r="M90" i="19" s="1"/>
  <c r="I410" i="18"/>
  <c r="H410" i="18"/>
  <c r="N72" i="19"/>
  <c r="I412" i="18" s="1"/>
  <c r="M72" i="19"/>
  <c r="H412" i="18" s="1"/>
  <c r="M70" i="19"/>
  <c r="N70" i="19"/>
  <c r="N66" i="19"/>
  <c r="N65" i="19" s="1"/>
  <c r="M66" i="19"/>
  <c r="M65" i="19" s="1"/>
  <c r="N61" i="19"/>
  <c r="N60" i="19" s="1"/>
  <c r="N59" i="19" s="1"/>
  <c r="N58" i="19" s="1"/>
  <c r="M61" i="19"/>
  <c r="M60" i="19" s="1"/>
  <c r="M59" i="19" s="1"/>
  <c r="M58" i="19" s="1"/>
  <c r="N37" i="19"/>
  <c r="M37" i="19"/>
  <c r="M416" i="19" l="1"/>
  <c r="M415" i="19" s="1"/>
  <c r="M414" i="19" s="1"/>
  <c r="N416" i="19"/>
  <c r="N415" i="19" s="1"/>
  <c r="N414" i="19" s="1"/>
  <c r="N89" i="19"/>
  <c r="M89" i="19"/>
  <c r="N69" i="19"/>
  <c r="N64" i="19" s="1"/>
  <c r="M69" i="19"/>
  <c r="M64" i="19" s="1"/>
  <c r="I409" i="18"/>
  <c r="H409" i="18"/>
  <c r="H406" i="18"/>
  <c r="I406" i="18"/>
  <c r="M711" i="3"/>
  <c r="M700" i="3"/>
  <c r="M699" i="3" s="1"/>
  <c r="M698" i="3" s="1"/>
  <c r="M697" i="3" s="1"/>
  <c r="M696" i="3" s="1"/>
  <c r="M695" i="3" s="1"/>
  <c r="M63" i="19" l="1"/>
  <c r="M57" i="19" s="1"/>
  <c r="N63" i="19"/>
  <c r="N57" i="19" s="1"/>
  <c r="H529" i="7"/>
  <c r="I286" i="18" l="1"/>
  <c r="H286" i="18"/>
  <c r="I289" i="18"/>
  <c r="I288" i="18" s="1"/>
  <c r="H289" i="18"/>
  <c r="H288" i="18" s="1"/>
  <c r="I292" i="18"/>
  <c r="I291" i="18" s="1"/>
  <c r="H292" i="18"/>
  <c r="H291" i="18" s="1"/>
  <c r="N238" i="19"/>
  <c r="N237" i="19" s="1"/>
  <c r="M238" i="19"/>
  <c r="M237" i="19" s="1"/>
  <c r="N235" i="19"/>
  <c r="N234" i="19" s="1"/>
  <c r="M235" i="19"/>
  <c r="M234" i="19" s="1"/>
  <c r="N232" i="19"/>
  <c r="M232" i="19"/>
  <c r="M344" i="3"/>
  <c r="H164" i="7" l="1"/>
  <c r="H163" i="7" s="1"/>
  <c r="M627" i="3"/>
  <c r="H197" i="7" l="1"/>
  <c r="H196" i="7" s="1"/>
  <c r="H218" i="7"/>
  <c r="H217" i="7" s="1"/>
  <c r="H216" i="7" s="1"/>
  <c r="I218" i="18"/>
  <c r="I217" i="18" s="1"/>
  <c r="H218" i="18"/>
  <c r="H217" i="18" s="1"/>
  <c r="I221" i="18"/>
  <c r="I220" i="18" s="1"/>
  <c r="H221" i="18"/>
  <c r="H220" i="18" s="1"/>
  <c r="I224" i="18"/>
  <c r="I223" i="18" s="1"/>
  <c r="H224" i="18"/>
  <c r="H223" i="18" s="1"/>
  <c r="H287" i="7"/>
  <c r="H286" i="7" s="1"/>
  <c r="H285" i="7" s="1"/>
  <c r="H290" i="7"/>
  <c r="H289" i="7" s="1"/>
  <c r="H288" i="7" s="1"/>
  <c r="H293" i="7"/>
  <c r="H292" i="7" s="1"/>
  <c r="H291" i="7" s="1"/>
  <c r="N545" i="19" l="1"/>
  <c r="M545" i="19"/>
  <c r="N538" i="19"/>
  <c r="N537" i="19" s="1"/>
  <c r="M538" i="19"/>
  <c r="M537" i="19" s="1"/>
  <c r="N535" i="19"/>
  <c r="N534" i="19" s="1"/>
  <c r="M535" i="19"/>
  <c r="M534" i="19" s="1"/>
  <c r="N532" i="19"/>
  <c r="N531" i="19" s="1"/>
  <c r="M532" i="19"/>
  <c r="M531" i="19" s="1"/>
  <c r="M780" i="3"/>
  <c r="M779" i="3" s="1"/>
  <c r="M777" i="3"/>
  <c r="M776" i="3" s="1"/>
  <c r="M774" i="3"/>
  <c r="M773" i="3" s="1"/>
  <c r="N530" i="19" l="1"/>
  <c r="N529" i="19" s="1"/>
  <c r="N528" i="19" s="1"/>
  <c r="N527" i="19" s="1"/>
  <c r="M530" i="19"/>
  <c r="M529" i="19" s="1"/>
  <c r="M528" i="19" s="1"/>
  <c r="M527" i="19" s="1"/>
  <c r="M772" i="3"/>
  <c r="M771" i="3" s="1"/>
  <c r="M770" i="3" s="1"/>
  <c r="M769" i="3" s="1"/>
  <c r="N209" i="19"/>
  <c r="N208" i="19" s="1"/>
  <c r="M209" i="19"/>
  <c r="M208" i="19" s="1"/>
  <c r="M618" i="3" l="1"/>
  <c r="M617" i="3" s="1"/>
  <c r="M616" i="3" s="1"/>
  <c r="M614" i="3" l="1"/>
  <c r="M613" i="3" s="1"/>
  <c r="M615" i="3"/>
  <c r="I268" i="18" l="1"/>
  <c r="I267" i="18" s="1"/>
  <c r="H268" i="18"/>
  <c r="H267" i="18" s="1"/>
  <c r="I265" i="18"/>
  <c r="I264" i="18" s="1"/>
  <c r="H265" i="18"/>
  <c r="H264" i="18" s="1"/>
  <c r="N187" i="19"/>
  <c r="N186" i="19" s="1"/>
  <c r="M187" i="19"/>
  <c r="M186" i="19" s="1"/>
  <c r="H356" i="7"/>
  <c r="H355" i="7" s="1"/>
  <c r="H354" i="7" s="1"/>
  <c r="M274" i="3"/>
  <c r="M273" i="3" s="1"/>
  <c r="N184" i="19" l="1"/>
  <c r="N183" i="19" s="1"/>
  <c r="N182" i="19" s="1"/>
  <c r="N181" i="19" s="1"/>
  <c r="N180" i="19" s="1"/>
  <c r="M184" i="19"/>
  <c r="M183" i="19" s="1"/>
  <c r="M182" i="19" s="1"/>
  <c r="M181" i="19" l="1"/>
  <c r="M180" i="19" s="1"/>
  <c r="M637" i="3" l="1"/>
  <c r="M636" i="3" s="1"/>
  <c r="M635" i="3" l="1"/>
  <c r="M634" i="3" s="1"/>
  <c r="M633" i="3" s="1"/>
  <c r="M586" i="19"/>
  <c r="M20" i="3" l="1"/>
  <c r="M19" i="3" s="1"/>
  <c r="M18" i="3" s="1"/>
  <c r="M17" i="3" s="1"/>
  <c r="M32" i="3"/>
  <c r="M34" i="3"/>
  <c r="M42" i="3"/>
  <c r="M48" i="3"/>
  <c r="M47" i="3" s="1"/>
  <c r="M46" i="3" s="1"/>
  <c r="M45" i="3" s="1"/>
  <c r="M846" i="3" s="1"/>
  <c r="M52" i="3"/>
  <c r="M51" i="3" s="1"/>
  <c r="M64" i="3"/>
  <c r="M63" i="3" s="1"/>
  <c r="M62" i="3" s="1"/>
  <c r="M69" i="3"/>
  <c r="M74" i="3"/>
  <c r="M76" i="3"/>
  <c r="M99" i="3"/>
  <c r="M101" i="3"/>
  <c r="M103" i="3"/>
  <c r="M105" i="3"/>
  <c r="M111" i="3"/>
  <c r="M113" i="3"/>
  <c r="M116" i="3"/>
  <c r="M115" i="3" s="1"/>
  <c r="M136" i="3"/>
  <c r="M135" i="3" s="1"/>
  <c r="M139" i="3"/>
  <c r="M138" i="3" s="1"/>
  <c r="M145" i="3"/>
  <c r="M144" i="3" s="1"/>
  <c r="M151" i="3"/>
  <c r="M150" i="3" s="1"/>
  <c r="M149" i="3" s="1"/>
  <c r="M155" i="3"/>
  <c r="M154" i="3" s="1"/>
  <c r="M153" i="3" s="1"/>
  <c r="M160" i="3"/>
  <c r="M162" i="3"/>
  <c r="M207" i="3"/>
  <c r="M206" i="3" s="1"/>
  <c r="M205" i="3" s="1"/>
  <c r="M204" i="3" s="1"/>
  <c r="M203" i="3" s="1"/>
  <c r="M219" i="3"/>
  <c r="M218" i="3" s="1"/>
  <c r="M217" i="3" s="1"/>
  <c r="M216" i="3" s="1"/>
  <c r="M215" i="3" s="1"/>
  <c r="M259" i="3"/>
  <c r="M258" i="3" s="1"/>
  <c r="M271" i="3"/>
  <c r="M270" i="3" s="1"/>
  <c r="M269" i="3" s="1"/>
  <c r="M288" i="3"/>
  <c r="M306" i="3"/>
  <c r="M301" i="3" s="1"/>
  <c r="M321" i="3"/>
  <c r="M320" i="3" s="1"/>
  <c r="M336" i="3"/>
  <c r="M327" i="3" s="1"/>
  <c r="M341" i="3"/>
  <c r="M340" i="3" s="1"/>
  <c r="M359" i="3"/>
  <c r="M358" i="3" s="1"/>
  <c r="M357" i="3" s="1"/>
  <c r="M373" i="3"/>
  <c r="M372" i="3" s="1"/>
  <c r="M371" i="3" s="1"/>
  <c r="M384" i="3"/>
  <c r="M383" i="3" s="1"/>
  <c r="M391" i="3"/>
  <c r="M399" i="3"/>
  <c r="M414" i="3"/>
  <c r="M445" i="3"/>
  <c r="M447" i="3"/>
  <c r="M449" i="3"/>
  <c r="M453" i="3"/>
  <c r="M455" i="3"/>
  <c r="M473" i="3"/>
  <c r="M472" i="3" s="1"/>
  <c r="M500" i="3"/>
  <c r="M547" i="3"/>
  <c r="M625" i="3"/>
  <c r="M629" i="3"/>
  <c r="M647" i="3"/>
  <c r="M651" i="3"/>
  <c r="M653" i="3"/>
  <c r="M715" i="3"/>
  <c r="M710" i="3" s="1"/>
  <c r="M727" i="3"/>
  <c r="M763" i="3"/>
  <c r="M762" i="3" s="1"/>
  <c r="M761" i="3" s="1"/>
  <c r="M760" i="3" s="1"/>
  <c r="M759" i="3" s="1"/>
  <c r="M888" i="3" s="1"/>
  <c r="M797" i="3"/>
  <c r="M796" i="3" s="1"/>
  <c r="M795" i="3" s="1"/>
  <c r="M794" i="3" s="1"/>
  <c r="M793" i="3" s="1"/>
  <c r="M817" i="3"/>
  <c r="M807" i="3" s="1"/>
  <c r="M806" i="3" s="1"/>
  <c r="M23" i="19"/>
  <c r="M22" i="19" s="1"/>
  <c r="M21" i="19" s="1"/>
  <c r="M20" i="19" s="1"/>
  <c r="M19" i="19" s="1"/>
  <c r="M29" i="19"/>
  <c r="M33" i="19"/>
  <c r="M35" i="19"/>
  <c r="M44" i="19"/>
  <c r="M43" i="19" s="1"/>
  <c r="M50" i="19"/>
  <c r="M49" i="19" s="1"/>
  <c r="M48" i="19" s="1"/>
  <c r="M47" i="19" s="1"/>
  <c r="M46" i="19" s="1"/>
  <c r="M604" i="19" s="1"/>
  <c r="M83" i="19"/>
  <c r="M85" i="19"/>
  <c r="M111" i="19"/>
  <c r="M110" i="19" s="1"/>
  <c r="M114" i="19"/>
  <c r="M113" i="19" s="1"/>
  <c r="M120" i="19"/>
  <c r="M119" i="19" s="1"/>
  <c r="M118" i="19" s="1"/>
  <c r="M117" i="19" s="1"/>
  <c r="M116" i="19" s="1"/>
  <c r="M615" i="19" s="1"/>
  <c r="M130" i="19"/>
  <c r="M129" i="19" s="1"/>
  <c r="M128" i="19" s="1"/>
  <c r="M123" i="19" s="1"/>
  <c r="M161" i="19"/>
  <c r="M160" i="19" s="1"/>
  <c r="M159" i="19" s="1"/>
  <c r="M158" i="19" s="1"/>
  <c r="M157" i="19" s="1"/>
  <c r="M156" i="19" s="1"/>
  <c r="M176" i="19"/>
  <c r="M175" i="19" s="1"/>
  <c r="M174" i="19" s="1"/>
  <c r="M173" i="19" s="1"/>
  <c r="M172" i="19" s="1"/>
  <c r="M201" i="19"/>
  <c r="M200" i="19" s="1"/>
  <c r="M199" i="19" s="1"/>
  <c r="M198" i="19" s="1"/>
  <c r="M197" i="19" s="1"/>
  <c r="M220" i="19"/>
  <c r="M219" i="19" s="1"/>
  <c r="M224" i="19"/>
  <c r="M228" i="19"/>
  <c r="M246" i="19"/>
  <c r="M245" i="19" s="1"/>
  <c r="M244" i="19" s="1"/>
  <c r="M277" i="19"/>
  <c r="M276" i="19" s="1"/>
  <c r="M301" i="19"/>
  <c r="M305" i="19"/>
  <c r="M307" i="19"/>
  <c r="M318" i="19"/>
  <c r="M333" i="19"/>
  <c r="M337" i="19"/>
  <c r="M341" i="19"/>
  <c r="M361" i="19"/>
  <c r="M360" i="19" s="1"/>
  <c r="M379" i="19"/>
  <c r="M385" i="19"/>
  <c r="M409" i="19"/>
  <c r="M408" i="19" s="1"/>
  <c r="M407" i="19" s="1"/>
  <c r="M406" i="19" s="1"/>
  <c r="M405" i="19" s="1"/>
  <c r="M404" i="19" s="1"/>
  <c r="M426" i="19"/>
  <c r="M444" i="19"/>
  <c r="M443" i="19" s="1"/>
  <c r="M448" i="19"/>
  <c r="M455" i="19"/>
  <c r="M461" i="19"/>
  <c r="M465" i="19"/>
  <c r="M521" i="19"/>
  <c r="M520" i="19" s="1"/>
  <c r="M519" i="19" s="1"/>
  <c r="M518" i="19" s="1"/>
  <c r="M517" i="19" s="1"/>
  <c r="M644" i="19" s="1"/>
  <c r="M544" i="19"/>
  <c r="M543" i="19" s="1"/>
  <c r="M542" i="19" s="1"/>
  <c r="M541" i="19" s="1"/>
  <c r="M628" i="19" s="1"/>
  <c r="M553" i="19"/>
  <c r="M552" i="19" s="1"/>
  <c r="M551" i="19" s="1"/>
  <c r="M550" i="19" s="1"/>
  <c r="M549" i="19" s="1"/>
  <c r="M564" i="19"/>
  <c r="M573" i="19"/>
  <c r="M592" i="19"/>
  <c r="M653" i="19" s="1"/>
  <c r="M287" i="3" l="1"/>
  <c r="M286" i="3" s="1"/>
  <c r="M285" i="3" s="1"/>
  <c r="M284" i="3" s="1"/>
  <c r="M283" i="3" s="1"/>
  <c r="M370" i="3"/>
  <c r="M369" i="3" s="1"/>
  <c r="M368" i="3" s="1"/>
  <c r="M444" i="3"/>
  <c r="M202" i="3"/>
  <c r="M539" i="3"/>
  <c r="M646" i="3"/>
  <c r="M624" i="3"/>
  <c r="M413" i="3"/>
  <c r="M412" i="3" s="1"/>
  <c r="M411" i="3" s="1"/>
  <c r="M410" i="3" s="1"/>
  <c r="M409" i="3" s="1"/>
  <c r="M398" i="3"/>
  <c r="M397" i="3" s="1"/>
  <c r="M396" i="3" s="1"/>
  <c r="M395" i="3" s="1"/>
  <c r="M171" i="19"/>
  <c r="M28" i="19"/>
  <c r="M27" i="19" s="1"/>
  <c r="M26" i="19" s="1"/>
  <c r="M25" i="19" s="1"/>
  <c r="M603" i="19" s="1"/>
  <c r="M479" i="19"/>
  <c r="M726" i="3"/>
  <c r="M709" i="3"/>
  <c r="M159" i="3"/>
  <c r="M158" i="3" s="1"/>
  <c r="M157" i="3" s="1"/>
  <c r="M143" i="3"/>
  <c r="M142" i="3" s="1"/>
  <c r="M141" i="3" s="1"/>
  <c r="M857" i="3" s="1"/>
  <c r="M317" i="19"/>
  <c r="M316" i="19" s="1"/>
  <c r="M844" i="3"/>
  <c r="M82" i="19"/>
  <c r="M81" i="19" s="1"/>
  <c r="M80" i="19" s="1"/>
  <c r="M79" i="19" s="1"/>
  <c r="M300" i="19"/>
  <c r="M299" i="19" s="1"/>
  <c r="M390" i="3"/>
  <c r="M389" i="3" s="1"/>
  <c r="M388" i="3" s="1"/>
  <c r="M387" i="3" s="1"/>
  <c r="M471" i="3"/>
  <c r="M470" i="3" s="1"/>
  <c r="M166" i="3"/>
  <c r="M452" i="19"/>
  <c r="M451" i="19" s="1"/>
  <c r="M425" i="19"/>
  <c r="M424" i="19" s="1"/>
  <c r="M423" i="19" s="1"/>
  <c r="M133" i="19"/>
  <c r="M132" i="19" s="1"/>
  <c r="M223" i="19"/>
  <c r="M222" i="19" s="1"/>
  <c r="M879" i="3"/>
  <c r="M848" i="3"/>
  <c r="M268" i="3"/>
  <c r="M267" i="3" s="1"/>
  <c r="M442" i="19"/>
  <c r="M98" i="3"/>
  <c r="M97" i="3" s="1"/>
  <c r="M96" i="3" s="1"/>
  <c r="M95" i="3" s="1"/>
  <c r="M582" i="19"/>
  <c r="M581" i="19" s="1"/>
  <c r="M580" i="19" s="1"/>
  <c r="M579" i="19" s="1"/>
  <c r="M638" i="19" s="1"/>
  <c r="M563" i="19"/>
  <c r="M275" i="19"/>
  <c r="M274" i="19" s="1"/>
  <c r="M273" i="19" s="1"/>
  <c r="M218" i="19"/>
  <c r="M207" i="19"/>
  <c r="M206" i="19" s="1"/>
  <c r="M205" i="19" s="1"/>
  <c r="M204" i="19" s="1"/>
  <c r="M343" i="3"/>
  <c r="M825" i="3"/>
  <c r="M824" i="3" s="1"/>
  <c r="M823" i="3" s="1"/>
  <c r="M882" i="3" s="1"/>
  <c r="M608" i="3"/>
  <c r="M607" i="3" s="1"/>
  <c r="M606" i="3" s="1"/>
  <c r="M605" i="3" s="1"/>
  <c r="M604" i="3" s="1"/>
  <c r="M597" i="3" s="1"/>
  <c r="M300" i="3"/>
  <c r="M299" i="3" s="1"/>
  <c r="M298" i="3" s="1"/>
  <c r="M297" i="3" s="1"/>
  <c r="M134" i="3"/>
  <c r="M133" i="3" s="1"/>
  <c r="M132" i="3" s="1"/>
  <c r="M856" i="3" s="1"/>
  <c r="M110" i="3"/>
  <c r="M109" i="3" s="1"/>
  <c r="M791" i="3"/>
  <c r="M787" i="3"/>
  <c r="M323" i="3"/>
  <c r="M319" i="3" s="1"/>
  <c r="M707" i="3"/>
  <c r="M706" i="3" s="1"/>
  <c r="M705" i="3" s="1"/>
  <c r="M685" i="3"/>
  <c r="M684" i="3" s="1"/>
  <c r="M681" i="3"/>
  <c r="M680" i="3" s="1"/>
  <c r="M679" i="3" s="1"/>
  <c r="M675" i="3"/>
  <c r="M579" i="3"/>
  <c r="M575" i="3"/>
  <c r="M571" i="3"/>
  <c r="M570" i="3" s="1"/>
  <c r="M569" i="3" s="1"/>
  <c r="M533" i="3"/>
  <c r="M532" i="3" s="1"/>
  <c r="M508" i="3"/>
  <c r="M487" i="3"/>
  <c r="M479" i="3"/>
  <c r="M382" i="3"/>
  <c r="M257" i="3"/>
  <c r="M256" i="3" s="1"/>
  <c r="M148" i="3"/>
  <c r="M119" i="3"/>
  <c r="M118" i="3" s="1"/>
  <c r="M73" i="3"/>
  <c r="M68" i="3" s="1"/>
  <c r="M36" i="3"/>
  <c r="M26" i="3" s="1"/>
  <c r="M196" i="19"/>
  <c r="M650" i="19"/>
  <c r="M636" i="19"/>
  <c r="M540" i="19"/>
  <c r="M526" i="19" s="1"/>
  <c r="M602" i="19"/>
  <c r="M460" i="19"/>
  <c r="M459" i="19" s="1"/>
  <c r="M458" i="19" s="1"/>
  <c r="M457" i="19" s="1"/>
  <c r="M633" i="19" s="1"/>
  <c r="M369" i="19"/>
  <c r="M368" i="19" s="1"/>
  <c r="M55" i="19"/>
  <c r="M54" i="19" s="1"/>
  <c r="M53" i="19" s="1"/>
  <c r="M52" i="19" s="1"/>
  <c r="M606" i="19" s="1"/>
  <c r="M109" i="19"/>
  <c r="M108" i="19" s="1"/>
  <c r="M107" i="19" s="1"/>
  <c r="M98" i="19"/>
  <c r="M97" i="19" s="1"/>
  <c r="M96" i="19" s="1"/>
  <c r="M88" i="19" s="1"/>
  <c r="M894" i="3" l="1"/>
  <c r="M897" i="3" s="1"/>
  <c r="M725" i="3"/>
  <c r="M724" i="3" s="1"/>
  <c r="M886" i="3" s="1"/>
  <c r="M122" i="19"/>
  <c r="M616" i="19" s="1"/>
  <c r="M478" i="19"/>
  <c r="M470" i="19" s="1"/>
  <c r="M478" i="3"/>
  <c r="M477" i="3" s="1"/>
  <c r="M476" i="3" s="1"/>
  <c r="M475" i="3" s="1"/>
  <c r="M386" i="3"/>
  <c r="M605" i="19"/>
  <c r="M704" i="3"/>
  <c r="M703" i="3" s="1"/>
  <c r="M574" i="3"/>
  <c r="M573" i="3" s="1"/>
  <c r="M568" i="3" s="1"/>
  <c r="M567" i="3" s="1"/>
  <c r="M872" i="3" s="1"/>
  <c r="M147" i="3"/>
  <c r="M858" i="3" s="1"/>
  <c r="M170" i="19"/>
  <c r="M641" i="19"/>
  <c r="M645" i="19" s="1"/>
  <c r="M272" i="19"/>
  <c r="M108" i="3"/>
  <c r="M562" i="19"/>
  <c r="M561" i="19" s="1"/>
  <c r="M560" i="19" s="1"/>
  <c r="M637" i="19" s="1"/>
  <c r="M384" i="19"/>
  <c r="M441" i="19"/>
  <c r="M440" i="19" s="1"/>
  <c r="M381" i="3"/>
  <c r="M380" i="3" s="1"/>
  <c r="M443" i="3"/>
  <c r="M442" i="3" s="1"/>
  <c r="M441" i="3" s="1"/>
  <c r="M867" i="3" s="1"/>
  <c r="M610" i="19"/>
  <c r="M648" i="19"/>
  <c r="M651" i="19"/>
  <c r="M315" i="19"/>
  <c r="M805" i="3"/>
  <c r="M804" i="3" s="1"/>
  <c r="M367" i="19"/>
  <c r="M366" i="19" s="1"/>
  <c r="M365" i="19" s="1"/>
  <c r="M298" i="19"/>
  <c r="M297" i="19" s="1"/>
  <c r="M624" i="19" s="1"/>
  <c r="M422" i="19"/>
  <c r="M421" i="19" s="1"/>
  <c r="M87" i="19"/>
  <c r="M78" i="19" s="1"/>
  <c r="M18" i="19"/>
  <c r="M623" i="3"/>
  <c r="M622" i="3" s="1"/>
  <c r="M621" i="3" s="1"/>
  <c r="M620" i="3" s="1"/>
  <c r="M645" i="3"/>
  <c r="M683" i="3"/>
  <c r="M678" i="3" s="1"/>
  <c r="M677" i="3" s="1"/>
  <c r="M876" i="3" s="1"/>
  <c r="M217" i="19"/>
  <c r="M852" i="3"/>
  <c r="M67" i="3"/>
  <c r="M56" i="3" s="1"/>
  <c r="M326" i="3"/>
  <c r="M786" i="3"/>
  <c r="M785" i="3" s="1"/>
  <c r="M784" i="3" s="1"/>
  <c r="M783" i="3" s="1"/>
  <c r="M871" i="3" s="1"/>
  <c r="M892" i="3"/>
  <c r="M255" i="3"/>
  <c r="M254" i="3" s="1"/>
  <c r="M847" i="3"/>
  <c r="M671" i="3"/>
  <c r="M670" i="3" s="1"/>
  <c r="M25" i="3"/>
  <c r="M24" i="3" s="1"/>
  <c r="M23" i="3" s="1"/>
  <c r="M614" i="19"/>
  <c r="M702" i="3" l="1"/>
  <c r="M694" i="3" s="1"/>
  <c r="M626" i="19"/>
  <c r="M885" i="3"/>
  <c r="M889" i="3" s="1"/>
  <c r="M383" i="19"/>
  <c r="M382" i="19" s="1"/>
  <c r="M381" i="19" s="1"/>
  <c r="M559" i="19"/>
  <c r="M558" i="19" s="1"/>
  <c r="M216" i="19"/>
  <c r="M607" i="19" s="1"/>
  <c r="M632" i="19"/>
  <c r="M439" i="19"/>
  <c r="M413" i="19" s="1"/>
  <c r="M16" i="3"/>
  <c r="M862" i="3"/>
  <c r="M865" i="3" s="1"/>
  <c r="M379" i="3"/>
  <c r="M318" i="3"/>
  <c r="M314" i="19"/>
  <c r="M625" i="19" s="1"/>
  <c r="M881" i="3"/>
  <c r="M883" i="3" s="1"/>
  <c r="M803" i="3"/>
  <c r="M802" i="3" s="1"/>
  <c r="M868" i="3"/>
  <c r="M106" i="19"/>
  <c r="M17" i="19" s="1"/>
  <c r="M611" i="19"/>
  <c r="M107" i="3"/>
  <c r="M853" i="3" s="1"/>
  <c r="M782" i="3"/>
  <c r="M768" i="3" s="1"/>
  <c r="M644" i="3"/>
  <c r="M643" i="3" s="1"/>
  <c r="M875" i="3" s="1"/>
  <c r="M877" i="3" s="1"/>
  <c r="M131" i="3"/>
  <c r="M845" i="3"/>
  <c r="M317" i="3" l="1"/>
  <c r="M849" i="3" s="1"/>
  <c r="M854" i="3"/>
  <c r="M629" i="19"/>
  <c r="M296" i="19"/>
  <c r="M282" i="19" s="1"/>
  <c r="M215" i="19"/>
  <c r="M214" i="19" s="1"/>
  <c r="M639" i="19"/>
  <c r="M608" i="19"/>
  <c r="M617" i="19"/>
  <c r="M859" i="3"/>
  <c r="M634" i="19"/>
  <c r="M612" i="19"/>
  <c r="M94" i="3"/>
  <c r="M15" i="3" s="1"/>
  <c r="M642" i="3"/>
  <c r="M612" i="3" s="1"/>
  <c r="M316" i="3" l="1"/>
  <c r="M315" i="3" s="1"/>
  <c r="M630" i="19"/>
  <c r="M16" i="19"/>
  <c r="M850" i="3"/>
  <c r="H108" i="7"/>
  <c r="H107" i="7" s="1"/>
  <c r="D23" i="8" l="1"/>
  <c r="D22" i="8" s="1"/>
  <c r="D21" i="8" s="1"/>
  <c r="D20" i="8" s="1"/>
  <c r="I274" i="18"/>
  <c r="I273" i="18" s="1"/>
  <c r="I272" i="18" s="1"/>
  <c r="H274" i="18"/>
  <c r="H273" i="18" s="1"/>
  <c r="H272" i="18" s="1"/>
  <c r="N220" i="19"/>
  <c r="N219" i="19" s="1"/>
  <c r="H79" i="7" l="1"/>
  <c r="H80" i="7"/>
  <c r="H78" i="7" l="1"/>
  <c r="H244" i="7" l="1"/>
  <c r="H242" i="7" l="1"/>
  <c r="H518" i="7" l="1"/>
  <c r="H276" i="7" l="1"/>
  <c r="H113" i="18" l="1"/>
  <c r="H110" i="18" s="1"/>
  <c r="I113" i="18"/>
  <c r="I110" i="18" s="1"/>
  <c r="H20" i="7" l="1"/>
  <c r="H19" i="7" s="1"/>
  <c r="H47" i="7"/>
  <c r="H45" i="7" s="1"/>
  <c r="H166" i="7" l="1"/>
  <c r="H165" i="7" s="1"/>
  <c r="H462" i="7" l="1"/>
  <c r="H461" i="7" s="1"/>
  <c r="I27" i="18" l="1"/>
  <c r="I29" i="18"/>
  <c r="I89" i="18"/>
  <c r="I136" i="18"/>
  <c r="I135" i="18" s="1"/>
  <c r="I150" i="18"/>
  <c r="I147" i="18" s="1"/>
  <c r="I169" i="18"/>
  <c r="I168" i="18" s="1"/>
  <c r="I167" i="18" s="1"/>
  <c r="I187" i="18"/>
  <c r="I230" i="18"/>
  <c r="I232" i="18"/>
  <c r="I262" i="18"/>
  <c r="I261" i="18" s="1"/>
  <c r="I310" i="18"/>
  <c r="I329" i="18"/>
  <c r="I328" i="18" s="1"/>
  <c r="I345" i="18"/>
  <c r="I344" i="18" s="1"/>
  <c r="I348" i="18"/>
  <c r="I347" i="18" s="1"/>
  <c r="I354" i="18"/>
  <c r="I353" i="18" s="1"/>
  <c r="I352" i="18" s="1"/>
  <c r="I351" i="18" s="1"/>
  <c r="I364" i="18"/>
  <c r="I363" i="18" s="1"/>
  <c r="I362" i="18" s="1"/>
  <c r="I357" i="18" s="1"/>
  <c r="I382" i="18"/>
  <c r="I381" i="18" s="1"/>
  <c r="I389" i="18"/>
  <c r="I391" i="18"/>
  <c r="I393" i="18"/>
  <c r="I395" i="18"/>
  <c r="I402" i="18"/>
  <c r="I401" i="18" s="1"/>
  <c r="I441" i="18"/>
  <c r="H89" i="18"/>
  <c r="N409" i="19"/>
  <c r="N408" i="19" s="1"/>
  <c r="N407" i="19" s="1"/>
  <c r="N406" i="19" s="1"/>
  <c r="N405" i="19" s="1"/>
  <c r="N404" i="19" s="1"/>
  <c r="N385" i="19"/>
  <c r="N379" i="19"/>
  <c r="N361" i="19"/>
  <c r="N360" i="19" s="1"/>
  <c r="N341" i="19"/>
  <c r="N333" i="19"/>
  <c r="N307" i="19"/>
  <c r="N305" i="19"/>
  <c r="I18" i="18"/>
  <c r="I229" i="18" l="1"/>
  <c r="I228" i="18" s="1"/>
  <c r="I415" i="18"/>
  <c r="I414" i="18" s="1"/>
  <c r="I146" i="18"/>
  <c r="I368" i="18"/>
  <c r="I367" i="18" s="1"/>
  <c r="I207" i="18"/>
  <c r="I206" i="18" s="1"/>
  <c r="I205" i="18" s="1"/>
  <c r="I434" i="18"/>
  <c r="I433" i="18" s="1"/>
  <c r="I440" i="18"/>
  <c r="I439" i="18" s="1"/>
  <c r="H97" i="18"/>
  <c r="N301" i="19"/>
  <c r="N300" i="19" s="1"/>
  <c r="N318" i="19"/>
  <c r="I298" i="18"/>
  <c r="I322" i="18"/>
  <c r="I301" i="18"/>
  <c r="I93" i="18"/>
  <c r="I243" i="18"/>
  <c r="I242" i="18" s="1"/>
  <c r="I241" i="18" s="1"/>
  <c r="I278" i="18"/>
  <c r="I176" i="18"/>
  <c r="I175" i="18" s="1"/>
  <c r="I255" i="18"/>
  <c r="I254" i="18" s="1"/>
  <c r="I213" i="18"/>
  <c r="I212" i="18" s="1"/>
  <c r="I211" i="18" s="1"/>
  <c r="I141" i="18"/>
  <c r="I140" i="18" s="1"/>
  <c r="I48" i="18"/>
  <c r="I32" i="18"/>
  <c r="I24" i="18"/>
  <c r="I17" i="18" s="1"/>
  <c r="I325" i="18"/>
  <c r="I319" i="18"/>
  <c r="I56" i="18"/>
  <c r="I385" i="18"/>
  <c r="I384" i="18" s="1"/>
  <c r="I380" i="18" s="1"/>
  <c r="I282" i="18"/>
  <c r="I181" i="18"/>
  <c r="I180" i="18" s="1"/>
  <c r="I52" i="18"/>
  <c r="I304" i="18"/>
  <c r="I307" i="18"/>
  <c r="I154" i="18"/>
  <c r="I79" i="18"/>
  <c r="I78" i="18" s="1"/>
  <c r="I343" i="18"/>
  <c r="I342" i="18" s="1"/>
  <c r="N337" i="19"/>
  <c r="N369" i="19"/>
  <c r="N368" i="19" s="1"/>
  <c r="I97" i="18"/>
  <c r="I31" i="18" l="1"/>
  <c r="I16" i="18" s="1"/>
  <c r="I174" i="18"/>
  <c r="I166" i="18" s="1"/>
  <c r="I92" i="18"/>
  <c r="I91" i="18" s="1"/>
  <c r="N317" i="19"/>
  <c r="N316" i="19" s="1"/>
  <c r="I297" i="18"/>
  <c r="I77" i="18"/>
  <c r="H234" i="18"/>
  <c r="N299" i="19"/>
  <c r="N298" i="19" s="1"/>
  <c r="N297" i="19" s="1"/>
  <c r="I234" i="18"/>
  <c r="I227" i="18" s="1"/>
  <c r="I277" i="18"/>
  <c r="I276" i="18" s="1"/>
  <c r="I271" i="18" s="1"/>
  <c r="I253" i="18"/>
  <c r="I252" i="18" s="1"/>
  <c r="I318" i="18"/>
  <c r="I204" i="18"/>
  <c r="N389" i="19"/>
  <c r="N384" i="19" l="1"/>
  <c r="N624" i="19"/>
  <c r="I379" i="18"/>
  <c r="N367" i="19"/>
  <c r="N366" i="19" s="1"/>
  <c r="N365" i="19" s="1"/>
  <c r="N315" i="19"/>
  <c r="I296" i="18"/>
  <c r="I295" i="18" s="1"/>
  <c r="I15" i="18"/>
  <c r="H563" i="7"/>
  <c r="H142" i="7"/>
  <c r="H141" i="7" s="1"/>
  <c r="H139" i="7"/>
  <c r="H138" i="7" s="1"/>
  <c r="H131" i="7"/>
  <c r="H121" i="7"/>
  <c r="H115" i="7"/>
  <c r="H114" i="7" s="1"/>
  <c r="H106" i="7"/>
  <c r="H105" i="7"/>
  <c r="H71" i="7"/>
  <c r="H70" i="7"/>
  <c r="H68" i="7"/>
  <c r="H67" i="7"/>
  <c r="H66" i="7"/>
  <c r="H64" i="7"/>
  <c r="H63" i="7"/>
  <c r="H62" i="7"/>
  <c r="H41" i="7"/>
  <c r="H32" i="7"/>
  <c r="H30" i="7"/>
  <c r="H28" i="7"/>
  <c r="H27" i="7"/>
  <c r="H127" i="7"/>
  <c r="H100" i="7"/>
  <c r="H99" i="7"/>
  <c r="H50" i="7"/>
  <c r="H49" i="7"/>
  <c r="H43" i="7"/>
  <c r="H42" i="7"/>
  <c r="N383" i="19" l="1"/>
  <c r="N382" i="19" s="1"/>
  <c r="N381" i="19" s="1"/>
  <c r="H104" i="7"/>
  <c r="N314" i="19"/>
  <c r="N625" i="19" s="1"/>
  <c r="H101" i="7"/>
  <c r="H126" i="7"/>
  <c r="H132" i="7"/>
  <c r="H44" i="7"/>
  <c r="H40" i="7" s="1"/>
  <c r="H130" i="7"/>
  <c r="H18" i="7"/>
  <c r="H22" i="7"/>
  <c r="H129" i="7"/>
  <c r="H125" i="7"/>
  <c r="N296" i="19" l="1"/>
  <c r="N282" i="19" s="1"/>
  <c r="H402" i="18"/>
  <c r="H401" i="18" s="1"/>
  <c r="H395" i="18"/>
  <c r="H364" i="18"/>
  <c r="H363" i="18" s="1"/>
  <c r="H362" i="18" s="1"/>
  <c r="H357" i="18" s="1"/>
  <c r="H329" i="18"/>
  <c r="H328" i="18" s="1"/>
  <c r="H415" i="18" l="1"/>
  <c r="H368" i="18"/>
  <c r="H367" i="18" s="1"/>
  <c r="H434" i="18"/>
  <c r="H433" i="18" s="1"/>
  <c r="H385" i="18"/>
  <c r="H278" i="18"/>
  <c r="H232" i="18"/>
  <c r="H230" i="18"/>
  <c r="H187" i="18"/>
  <c r="H150" i="18"/>
  <c r="H147" i="18" s="1"/>
  <c r="H140" i="18" l="1"/>
  <c r="H229" i="18"/>
  <c r="H146" i="18"/>
  <c r="H207" i="18"/>
  <c r="H243" i="18"/>
  <c r="H158" i="18"/>
  <c r="H154" i="18"/>
  <c r="H615" i="7" l="1"/>
  <c r="H574" i="7"/>
  <c r="H573" i="7" s="1"/>
  <c r="H570" i="7"/>
  <c r="H569" i="7"/>
  <c r="H568" i="7"/>
  <c r="H538" i="7"/>
  <c r="H537" i="7"/>
  <c r="H534" i="7"/>
  <c r="H532" i="7"/>
  <c r="H528" i="7"/>
  <c r="H527" i="7" s="1"/>
  <c r="H524" i="7"/>
  <c r="H515" i="7"/>
  <c r="H513" i="7"/>
  <c r="H511" i="7"/>
  <c r="H509" i="7"/>
  <c r="H507" i="7"/>
  <c r="H506" i="7"/>
  <c r="H503" i="7"/>
  <c r="H487" i="7"/>
  <c r="H481" i="7"/>
  <c r="H477" i="7"/>
  <c r="H471" i="7"/>
  <c r="H465" i="7"/>
  <c r="H441" i="7"/>
  <c r="H430" i="7"/>
  <c r="H424" i="7"/>
  <c r="H423" i="7"/>
  <c r="H421" i="7"/>
  <c r="H420" i="7"/>
  <c r="H417" i="7"/>
  <c r="H415" i="7" s="1"/>
  <c r="H412" i="7" s="1"/>
  <c r="H411" i="7"/>
  <c r="H410" i="7"/>
  <c r="H408" i="7"/>
  <c r="H407" i="7"/>
  <c r="H405" i="7"/>
  <c r="H404" i="7"/>
  <c r="H402" i="7"/>
  <c r="H401" i="7"/>
  <c r="H389" i="7"/>
  <c r="H386" i="7"/>
  <c r="H385" i="7" s="1"/>
  <c r="H384" i="7" s="1"/>
  <c r="H381" i="7"/>
  <c r="H377" i="7"/>
  <c r="H376" i="7"/>
  <c r="H375" i="7"/>
  <c r="H373" i="7"/>
  <c r="H372" i="7"/>
  <c r="H371" i="7"/>
  <c r="H366" i="7"/>
  <c r="H364" i="7"/>
  <c r="H350" i="7"/>
  <c r="H345" i="7"/>
  <c r="H340" i="7"/>
  <c r="H339" i="7"/>
  <c r="H338" i="7"/>
  <c r="H325" i="7"/>
  <c r="H323" i="7"/>
  <c r="H319" i="7"/>
  <c r="H314" i="7"/>
  <c r="H305" i="7"/>
  <c r="H303" i="7"/>
  <c r="H301" i="7"/>
  <c r="H299" i="7"/>
  <c r="H284" i="7"/>
  <c r="H283" i="7"/>
  <c r="H282" i="7"/>
  <c r="H278" i="7"/>
  <c r="H277" i="7" s="1"/>
  <c r="H275" i="7"/>
  <c r="H274" i="7"/>
  <c r="H250" i="7"/>
  <c r="H236" i="7"/>
  <c r="H235" i="7"/>
  <c r="H234" i="7"/>
  <c r="H226" i="7"/>
  <c r="H215" i="7"/>
  <c r="H214" i="7"/>
  <c r="H213" i="7"/>
  <c r="H210" i="7"/>
  <c r="H211" i="7"/>
  <c r="H209" i="7"/>
  <c r="H205" i="7"/>
  <c r="H204" i="7" s="1"/>
  <c r="H189" i="7"/>
  <c r="H188" i="7"/>
  <c r="H187" i="7"/>
  <c r="H180" i="7"/>
  <c r="H179" i="7" s="1"/>
  <c r="H174" i="7"/>
  <c r="H171" i="7"/>
  <c r="H162" i="7"/>
  <c r="H567" i="7" l="1"/>
  <c r="H566" i="7" s="1"/>
  <c r="H505" i="7"/>
  <c r="H536" i="7"/>
  <c r="H238" i="7"/>
  <c r="H237" i="7" s="1"/>
  <c r="H388" i="7"/>
  <c r="H387" i="7" s="1"/>
  <c r="H273" i="7"/>
  <c r="B15" i="9"/>
  <c r="B14" i="9" s="1"/>
  <c r="I128" i="18" l="1"/>
  <c r="I127" i="18" l="1"/>
  <c r="I126" i="18" s="1"/>
  <c r="E19" i="8" l="1"/>
  <c r="E18" i="8" s="1"/>
  <c r="E17" i="8" s="1"/>
  <c r="E16" i="8" s="1"/>
  <c r="N277" i="19"/>
  <c r="N276" i="19" s="1"/>
  <c r="N246" i="19"/>
  <c r="N245" i="19" s="1"/>
  <c r="N244" i="19" s="1"/>
  <c r="N228" i="19"/>
  <c r="N224" i="19"/>
  <c r="D19" i="8" l="1"/>
  <c r="D18" i="8" s="1"/>
  <c r="D17" i="8" s="1"/>
  <c r="D16" i="8" s="1"/>
  <c r="D15" i="8" s="1"/>
  <c r="D14" i="8" s="1"/>
  <c r="M601" i="19"/>
  <c r="N223" i="19"/>
  <c r="N222" i="19" s="1"/>
  <c r="N218" i="19"/>
  <c r="H362" i="7"/>
  <c r="N275" i="19"/>
  <c r="N274" i="19" s="1"/>
  <c r="N273" i="19" s="1"/>
  <c r="I158" i="18"/>
  <c r="I153" i="18" s="1"/>
  <c r="N461" i="19"/>
  <c r="N448" i="19"/>
  <c r="N444" i="19"/>
  <c r="N443" i="19" s="1"/>
  <c r="N426" i="19"/>
  <c r="C19" i="8" l="1"/>
  <c r="N425" i="19"/>
  <c r="N424" i="19" s="1"/>
  <c r="N423" i="19" s="1"/>
  <c r="I152" i="18"/>
  <c r="I125" i="18" s="1"/>
  <c r="N217" i="19"/>
  <c r="N272" i="19"/>
  <c r="N465" i="19"/>
  <c r="N460" i="19" s="1"/>
  <c r="N459" i="19" s="1"/>
  <c r="N458" i="19" s="1"/>
  <c r="N457" i="19" s="1"/>
  <c r="N633" i="19" s="1"/>
  <c r="H178" i="7"/>
  <c r="H203" i="7"/>
  <c r="H201" i="7" s="1"/>
  <c r="N442" i="19"/>
  <c r="I456" i="18" l="1"/>
  <c r="N216" i="19"/>
  <c r="N607" i="19" s="1"/>
  <c r="N441" i="19"/>
  <c r="N440" i="19" s="1"/>
  <c r="N422" i="19"/>
  <c r="N161" i="19"/>
  <c r="N160" i="19" s="1"/>
  <c r="N159" i="19" s="1"/>
  <c r="N158" i="19" s="1"/>
  <c r="N157" i="19" s="1"/>
  <c r="N156" i="19" s="1"/>
  <c r="N130" i="19"/>
  <c r="N129" i="19" s="1"/>
  <c r="N128" i="19" s="1"/>
  <c r="N123" i="19" s="1"/>
  <c r="N120" i="19"/>
  <c r="N119" i="19" s="1"/>
  <c r="N118" i="19" s="1"/>
  <c r="N117" i="19" s="1"/>
  <c r="N116" i="19" s="1"/>
  <c r="N615" i="19" s="1"/>
  <c r="N114" i="19"/>
  <c r="N113" i="19" s="1"/>
  <c r="N111" i="19"/>
  <c r="N110" i="19" s="1"/>
  <c r="N98" i="19"/>
  <c r="N97" i="19" s="1"/>
  <c r="N96" i="19" s="1"/>
  <c r="N88" i="19" s="1"/>
  <c r="N85" i="19"/>
  <c r="N83" i="19"/>
  <c r="N55" i="19"/>
  <c r="N50" i="19"/>
  <c r="N49" i="19" s="1"/>
  <c r="N48" i="19" s="1"/>
  <c r="N47" i="19" s="1"/>
  <c r="N46" i="19" s="1"/>
  <c r="N604" i="19" s="1"/>
  <c r="N44" i="19"/>
  <c r="N43" i="19" s="1"/>
  <c r="N35" i="19"/>
  <c r="N33" i="19"/>
  <c r="N29" i="19"/>
  <c r="N23" i="19"/>
  <c r="N22" i="19" s="1"/>
  <c r="N21" i="19" s="1"/>
  <c r="N20" i="19" s="1"/>
  <c r="N19" i="19" s="1"/>
  <c r="N28" i="19" l="1"/>
  <c r="N27" i="19" s="1"/>
  <c r="N26" i="19" s="1"/>
  <c r="N25" i="19" s="1"/>
  <c r="N626" i="19"/>
  <c r="N421" i="19"/>
  <c r="N215" i="19"/>
  <c r="N214" i="19" s="1"/>
  <c r="N632" i="19"/>
  <c r="N439" i="19"/>
  <c r="N82" i="19"/>
  <c r="N81" i="19" s="1"/>
  <c r="N80" i="19" s="1"/>
  <c r="N79" i="19" s="1"/>
  <c r="N133" i="19"/>
  <c r="N132" i="19" s="1"/>
  <c r="N87" i="19"/>
  <c r="N611" i="19" s="1"/>
  <c r="N602" i="19"/>
  <c r="N54" i="19"/>
  <c r="N53" i="19" s="1"/>
  <c r="N52" i="19" s="1"/>
  <c r="N606" i="19" s="1"/>
  <c r="N636" i="19"/>
  <c r="H324" i="7"/>
  <c r="H322" i="7" s="1"/>
  <c r="H489" i="7"/>
  <c r="N109" i="19"/>
  <c r="N108" i="19" s="1"/>
  <c r="N107" i="19" s="1"/>
  <c r="N614" i="19" s="1"/>
  <c r="N122" i="19" l="1"/>
  <c r="N616" i="19" s="1"/>
  <c r="N413" i="19"/>
  <c r="N18" i="19"/>
  <c r="N78" i="19"/>
  <c r="N610" i="19"/>
  <c r="N603" i="19"/>
  <c r="N106" i="19" l="1"/>
  <c r="N17" i="19" s="1"/>
  <c r="N201" i="19"/>
  <c r="N200" i="19" s="1"/>
  <c r="N199" i="19" s="1"/>
  <c r="N198" i="19" s="1"/>
  <c r="N197" i="19" s="1"/>
  <c r="N176" i="19"/>
  <c r="N175" i="19" s="1"/>
  <c r="N174" i="19" s="1"/>
  <c r="N173" i="19" s="1"/>
  <c r="N172" i="19" s="1"/>
  <c r="N171" i="19" s="1"/>
  <c r="N196" i="19" l="1"/>
  <c r="N170" i="19" s="1"/>
  <c r="N650" i="19"/>
  <c r="I432" i="18"/>
  <c r="I460" i="18" l="1"/>
  <c r="N207" i="19"/>
  <c r="N206" i="19" s="1"/>
  <c r="N205" i="19" s="1"/>
  <c r="N204" i="19" s="1"/>
  <c r="N521" i="19"/>
  <c r="N520" i="19" s="1"/>
  <c r="N519" i="19" s="1"/>
  <c r="N518" i="19" s="1"/>
  <c r="N517" i="19" s="1"/>
  <c r="N479" i="19" l="1"/>
  <c r="N478" i="19" s="1"/>
  <c r="N644" i="19"/>
  <c r="N605" i="19"/>
  <c r="N470" i="19" l="1"/>
  <c r="N641" i="19"/>
  <c r="N553" i="19"/>
  <c r="N552" i="19" s="1"/>
  <c r="N551" i="19" s="1"/>
  <c r="N550" i="19" s="1"/>
  <c r="N549" i="19" s="1"/>
  <c r="N629" i="19" s="1"/>
  <c r="N544" i="19"/>
  <c r="N543" i="19" s="1"/>
  <c r="N542" i="19" s="1"/>
  <c r="N541" i="19" s="1"/>
  <c r="N628" i="19" s="1"/>
  <c r="N540" i="19" l="1"/>
  <c r="N526" i="19" s="1"/>
  <c r="N586" i="19"/>
  <c r="N573" i="19"/>
  <c r="N564" i="19"/>
  <c r="N563" i="19" l="1"/>
  <c r="N582" i="19"/>
  <c r="N581" i="19" s="1"/>
  <c r="N580" i="19" s="1"/>
  <c r="N579" i="19" s="1"/>
  <c r="N562" i="19" l="1"/>
  <c r="N561" i="19" s="1"/>
  <c r="N560" i="19" s="1"/>
  <c r="H15" i="6"/>
  <c r="N638" i="19"/>
  <c r="N637" i="19" l="1"/>
  <c r="N559" i="19"/>
  <c r="N558" i="19" s="1"/>
  <c r="H562" i="7" l="1"/>
  <c r="H561" i="7" s="1"/>
  <c r="H560" i="7" s="1"/>
  <c r="H559" i="7" s="1"/>
  <c r="H440" i="7" l="1"/>
  <c r="H439" i="7" s="1"/>
  <c r="H488" i="7" l="1"/>
  <c r="H389" i="18" l="1"/>
  <c r="H510" i="7" l="1"/>
  <c r="H21" i="7" l="1"/>
  <c r="H120" i="7" l="1"/>
  <c r="H119" i="7" s="1"/>
  <c r="H186" i="7" l="1"/>
  <c r="H185" i="7" s="1"/>
  <c r="N648" i="19" l="1"/>
  <c r="H363" i="7" l="1"/>
  <c r="H380" i="7"/>
  <c r="H438" i="7" l="1"/>
  <c r="H437" i="7" s="1"/>
  <c r="I445" i="18" l="1"/>
  <c r="I444" i="18" s="1"/>
  <c r="I14" i="18" s="1"/>
  <c r="H445" i="18"/>
  <c r="H444" i="18" s="1"/>
  <c r="H463" i="18" s="1"/>
  <c r="H310" i="18"/>
  <c r="H282" i="18"/>
  <c r="H277" i="18" s="1"/>
  <c r="H276" i="18" s="1"/>
  <c r="H255" i="18"/>
  <c r="H254" i="18" s="1"/>
  <c r="I463" i="18" l="1"/>
  <c r="H206" i="18" l="1"/>
  <c r="H56" i="18"/>
  <c r="H48" i="18"/>
  <c r="H29" i="18"/>
  <c r="H27" i="18"/>
  <c r="H18" i="18"/>
  <c r="H441" i="18"/>
  <c r="H414" i="18"/>
  <c r="H393" i="18"/>
  <c r="H391" i="18"/>
  <c r="H382" i="18"/>
  <c r="H381" i="18" s="1"/>
  <c r="H354" i="18"/>
  <c r="H353" i="18" s="1"/>
  <c r="H352" i="18" s="1"/>
  <c r="H351" i="18" s="1"/>
  <c r="H348" i="18"/>
  <c r="H347" i="18" s="1"/>
  <c r="H345" i="18"/>
  <c r="H344" i="18" s="1"/>
  <c r="H325" i="18"/>
  <c r="H322" i="18"/>
  <c r="H319" i="18"/>
  <c r="H307" i="18"/>
  <c r="H304" i="18"/>
  <c r="H301" i="18"/>
  <c r="H298" i="18"/>
  <c r="H262" i="18"/>
  <c r="H261" i="18" s="1"/>
  <c r="H242" i="18"/>
  <c r="H241" i="18" s="1"/>
  <c r="H213" i="18"/>
  <c r="H212" i="18" s="1"/>
  <c r="H211" i="18" s="1"/>
  <c r="H181" i="18"/>
  <c r="H180" i="18" s="1"/>
  <c r="H175" i="18"/>
  <c r="H136" i="18"/>
  <c r="H135" i="18" s="1"/>
  <c r="H128" i="18"/>
  <c r="H127" i="18" s="1"/>
  <c r="H384" i="18" l="1"/>
  <c r="H380" i="18" s="1"/>
  <c r="H174" i="18"/>
  <c r="H166" i="18" s="1"/>
  <c r="H297" i="18"/>
  <c r="H126" i="18"/>
  <c r="H253" i="18"/>
  <c r="H440" i="18"/>
  <c r="H439" i="18" s="1"/>
  <c r="H228" i="18"/>
  <c r="H227" i="18" s="1"/>
  <c r="H79" i="18"/>
  <c r="H78" i="18" s="1"/>
  <c r="H32" i="18"/>
  <c r="H432" i="18"/>
  <c r="H153" i="18"/>
  <c r="H152" i="18" s="1"/>
  <c r="H205" i="18"/>
  <c r="H204" i="18" s="1"/>
  <c r="H52" i="18"/>
  <c r="H93" i="18"/>
  <c r="H92" i="18" s="1"/>
  <c r="H24" i="18"/>
  <c r="H17" i="18" s="1"/>
  <c r="H343" i="18"/>
  <c r="H342" i="18" s="1"/>
  <c r="H271" i="18"/>
  <c r="H318" i="18"/>
  <c r="H31" i="18" l="1"/>
  <c r="H16" i="18" s="1"/>
  <c r="H460" i="18"/>
  <c r="H125" i="18"/>
  <c r="H77" i="18"/>
  <c r="H296" i="18"/>
  <c r="H295" i="18" s="1"/>
  <c r="H252" i="18"/>
  <c r="H91" i="18"/>
  <c r="H379" i="18"/>
  <c r="H15" i="18" l="1"/>
  <c r="H456" i="18" l="1"/>
  <c r="H465" i="18" s="1"/>
  <c r="H461" i="18" s="1"/>
  <c r="H14" i="18"/>
  <c r="K14" i="18" s="1"/>
  <c r="I465" i="18"/>
  <c r="I461" i="18" s="1"/>
  <c r="H349" i="7"/>
  <c r="H348" i="7" s="1"/>
  <c r="I458" i="18" l="1"/>
  <c r="I464" i="18"/>
  <c r="H464" i="18"/>
  <c r="H458" i="18"/>
  <c r="N592" i="19" l="1"/>
  <c r="N16" i="19" s="1"/>
  <c r="N601" i="19" s="1"/>
  <c r="L14" i="18" l="1"/>
  <c r="E23" i="8"/>
  <c r="E22" i="8" s="1"/>
  <c r="E21" i="8" s="1"/>
  <c r="E20" i="8" s="1"/>
  <c r="E15" i="8" s="1"/>
  <c r="E14" i="8" s="1"/>
  <c r="N653" i="19"/>
  <c r="I15" i="6" l="1"/>
  <c r="N639" i="19"/>
  <c r="N651" i="19"/>
  <c r="N612" i="19"/>
  <c r="N622" i="19"/>
  <c r="N617" i="19" l="1"/>
  <c r="N634" i="19"/>
  <c r="N630" i="19"/>
  <c r="N645" i="19"/>
  <c r="N608" i="19"/>
  <c r="H614" i="7" l="1"/>
  <c r="H607" i="7" s="1"/>
  <c r="H606" i="7" l="1"/>
  <c r="H17" i="7"/>
  <c r="H365" i="7" l="1"/>
  <c r="H460" i="7" l="1"/>
  <c r="H302" i="7"/>
  <c r="H313" i="7"/>
  <c r="H307" i="7" s="1"/>
  <c r="H304" i="7"/>
  <c r="H533" i="7" l="1"/>
  <c r="H531" i="7"/>
  <c r="H523" i="7"/>
  <c r="H522" i="7" s="1"/>
  <c r="H512" i="7"/>
  <c r="H530" i="7" l="1"/>
  <c r="H429" i="7"/>
  <c r="H428" i="7" s="1"/>
  <c r="H496" i="7" l="1"/>
  <c r="H495" i="7" s="1"/>
  <c r="H494" i="7" s="1"/>
  <c r="H493" i="7" s="1"/>
  <c r="H486" i="7"/>
  <c r="H485" i="7" s="1"/>
  <c r="H480" i="7"/>
  <c r="H479" i="7" s="1"/>
  <c r="H478" i="7" s="1"/>
  <c r="H476" i="7"/>
  <c r="H470" i="7"/>
  <c r="H469" i="7" s="1"/>
  <c r="H464" i="7"/>
  <c r="H463" i="7" s="1"/>
  <c r="H409" i="7"/>
  <c r="H406" i="7"/>
  <c r="H403" i="7"/>
  <c r="H400" i="7"/>
  <c r="H399" i="7" l="1"/>
  <c r="H484" i="7"/>
  <c r="H483" i="7" s="1"/>
  <c r="H468" i="7"/>
  <c r="H422" i="7"/>
  <c r="H425" i="7"/>
  <c r="H419" i="7"/>
  <c r="H475" i="7"/>
  <c r="H474" i="7" s="1"/>
  <c r="H361" i="7"/>
  <c r="H360" i="7" s="1"/>
  <c r="H318" i="7"/>
  <c r="H223" i="7"/>
  <c r="H359" i="7" l="1"/>
  <c r="H233" i="7"/>
  <c r="H232" i="7" s="1"/>
  <c r="H212" i="7"/>
  <c r="H281" i="7"/>
  <c r="H280" i="7" s="1"/>
  <c r="H279" i="7" s="1"/>
  <c r="H321" i="7"/>
  <c r="H208" i="7"/>
  <c r="H418" i="7"/>
  <c r="H398" i="7" s="1"/>
  <c r="H337" i="7"/>
  <c r="H336" i="7" s="1"/>
  <c r="H177" i="7"/>
  <c r="H170" i="7"/>
  <c r="H169" i="7" s="1"/>
  <c r="H161" i="7"/>
  <c r="H160" i="7" s="1"/>
  <c r="H69" i="7"/>
  <c r="H61" i="7"/>
  <c r="H48" i="7"/>
  <c r="H31" i="7"/>
  <c r="H29" i="7"/>
  <c r="H298" i="7"/>
  <c r="H320" i="7" l="1"/>
  <c r="H207" i="7"/>
  <c r="H206" i="7" s="1"/>
  <c r="H200" i="7"/>
  <c r="H173" i="7"/>
  <c r="H172" i="7" s="1"/>
  <c r="H26" i="7"/>
  <c r="H16" i="7" s="1"/>
  <c r="H124" i="7"/>
  <c r="H159" i="7" l="1"/>
  <c r="H199" i="7"/>
  <c r="H158" i="7" l="1"/>
  <c r="H535" i="7"/>
  <c r="H370" i="7"/>
  <c r="H374" i="7"/>
  <c r="H369" i="7" l="1"/>
  <c r="H368" i="7" s="1"/>
  <c r="H358" i="7" s="1"/>
  <c r="H231" i="7"/>
  <c r="H65" i="7" l="1"/>
  <c r="H39" i="7" l="1"/>
  <c r="H15" i="7" s="1"/>
  <c r="H128" i="7"/>
  <c r="H123" i="7" s="1"/>
  <c r="H122" i="7" l="1"/>
  <c r="H514" i="7"/>
  <c r="H300" i="7"/>
  <c r="H297" i="7" s="1"/>
  <c r="H296" i="7" s="1"/>
  <c r="H565" i="7" l="1"/>
  <c r="H630" i="7" s="1"/>
  <c r="H473" i="7"/>
  <c r="H467" i="7"/>
  <c r="H459" i="7"/>
  <c r="H458" i="7" s="1"/>
  <c r="H344" i="7"/>
  <c r="H343" i="7" s="1"/>
  <c r="H317" i="7"/>
  <c r="H272" i="7"/>
  <c r="H271" i="7" s="1"/>
  <c r="H225" i="7"/>
  <c r="H222" i="7"/>
  <c r="H306" i="7" l="1"/>
  <c r="H295" i="7" s="1"/>
  <c r="H221" i="7"/>
  <c r="H220" i="7" s="1"/>
  <c r="H335" i="7"/>
  <c r="H397" i="7"/>
  <c r="H334" i="7" l="1"/>
  <c r="H270" i="7" l="1"/>
  <c r="H502" i="7" l="1"/>
  <c r="H501" i="7" s="1"/>
  <c r="H517" i="7" l="1"/>
  <c r="C18" i="8" l="1"/>
  <c r="C17" i="8" s="1"/>
  <c r="C16" i="8" s="1"/>
  <c r="H516" i="7"/>
  <c r="H504" i="7" s="1"/>
  <c r="H500" i="7" s="1"/>
  <c r="H499" i="7" l="1"/>
  <c r="H98" i="7" l="1"/>
  <c r="H97" i="7" s="1"/>
  <c r="H96" i="7" s="1"/>
  <c r="M538" i="3"/>
  <c r="M537" i="3" s="1"/>
  <c r="M536" i="3" s="1"/>
  <c r="M440" i="3" s="1"/>
  <c r="M426" i="3" s="1"/>
  <c r="H95" i="7" l="1"/>
  <c r="H14" i="7" s="1"/>
  <c r="M869" i="3"/>
  <c r="H626" i="7" l="1"/>
  <c r="H13" i="7"/>
  <c r="M14" i="3"/>
  <c r="M873" i="3"/>
  <c r="M898" i="3" s="1"/>
  <c r="C23" i="8" l="1"/>
  <c r="C22" i="8" s="1"/>
  <c r="C21" i="8" s="1"/>
  <c r="C20" i="8" s="1"/>
  <c r="H628" i="7"/>
  <c r="H632" i="7"/>
  <c r="H631" i="7" s="1"/>
  <c r="J13" i="7"/>
  <c r="G15" i="6"/>
  <c r="C15" i="8" l="1"/>
  <c r="C14" i="8" s="1"/>
</calcChain>
</file>

<file path=xl/sharedStrings.xml><?xml version="1.0" encoding="utf-8"?>
<sst xmlns="http://schemas.openxmlformats.org/spreadsheetml/2006/main" count="16928" uniqueCount="753">
  <si>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</si>
  <si>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</si>
  <si>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</si>
  <si>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</si>
  <si>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</si>
  <si>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</si>
  <si>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</si>
  <si>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</si>
  <si>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</si>
  <si>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</si>
  <si>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</si>
  <si>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</si>
  <si>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</si>
  <si>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</si>
  <si>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</si>
  <si>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</si>
  <si>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</si>
  <si>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</si>
  <si>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</si>
  <si>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</si>
  <si>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</si>
  <si>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</si>
  <si>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</si>
  <si>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</si>
  <si>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</si>
  <si>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</si>
  <si>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</si>
  <si>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</si>
  <si>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</si>
  <si>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</si>
  <si>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</si>
  <si>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</si>
  <si>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</si>
  <si>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</si>
  <si>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</si>
  <si>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</si>
  <si>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</si>
  <si>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</si>
  <si>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</si>
  <si>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</si>
  <si>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</si>
  <si>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</si>
  <si>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</si>
  <si>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</si>
  <si>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</si>
  <si>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</si>
  <si>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</si>
  <si>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</si>
  <si>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</si>
  <si>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</si>
  <si>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</si>
  <si>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</si>
  <si>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</si>
  <si>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</si>
  <si>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</si>
  <si>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</si>
  <si>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</si>
  <si>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</si>
  <si>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</si>
  <si>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</si>
  <si>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</si>
  <si>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</si>
  <si>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</si>
  <si>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</si>
  <si>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</si>
  <si>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</si>
  <si>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</si>
  <si>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</si>
  <si>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</si>
  <si>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</si>
  <si>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</si>
  <si>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</si>
  <si>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</si>
  <si>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</si>
  <si>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</si>
  <si>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</si>
  <si>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</si>
  <si>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</si>
  <si>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</si>
  <si>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</si>
  <si>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</si>
  <si>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</si>
  <si>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</si>
  <si>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</si>
  <si>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</si>
  <si>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</si>
  <si>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</si>
  <si>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</si>
  <si>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</si>
  <si>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</si>
  <si>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</si>
  <si>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</si>
  <si>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</si>
  <si>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</si>
  <si>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</si>
  <si>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</si>
  <si>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</si>
  <si>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</si>
  <si>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</si>
  <si>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</si>
  <si>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</si>
  <si>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</si>
  <si>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</si>
  <si>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</si>
  <si>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</si>
  <si>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</si>
  <si>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</si>
  <si>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</si>
  <si>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</si>
  <si>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</si>
  <si>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</si>
  <si>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</si>
  <si>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</si>
  <si>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</si>
  <si>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</si>
  <si>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</si>
  <si>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</si>
  <si>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</si>
  <si>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</si>
  <si>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</si>
  <si>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</si>
  <si>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</si>
  <si>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</si>
  <si>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</si>
  <si>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</si>
  <si>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</si>
  <si>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</si>
  <si>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</si>
  <si>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</si>
  <si>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</si>
  <si>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</si>
  <si>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</si>
  <si>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</si>
  <si>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</si>
  <si>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</si>
  <si>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</si>
  <si>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</si>
  <si>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</si>
  <si>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</si>
  <si>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</si>
  <si>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</si>
  <si>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</si>
  <si>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</si>
  <si>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</si>
  <si>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</si>
  <si>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</si>
  <si>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</si>
  <si>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</si>
  <si>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</si>
  <si>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</si>
  <si>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</si>
  <si>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</si>
  <si>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</si>
  <si>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</si>
  <si>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</si>
  <si>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</si>
  <si>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</si>
  <si>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</si>
  <si>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</si>
  <si>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</si>
  <si>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</si>
  <si>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</si>
  <si>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</si>
  <si>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</si>
  <si>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</si>
  <si>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</si>
  <si>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</si>
  <si>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</si>
  <si>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</si>
  <si>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</si>
  <si>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</si>
  <si>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</si>
  <si>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</si>
  <si>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</si>
  <si>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</si>
  <si>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</si>
  <si>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</si>
  <si>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</si>
  <si>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</si>
  <si>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</si>
  <si>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</si>
  <si>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</si>
  <si>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</si>
  <si>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</si>
  <si>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</si>
  <si>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</si>
  <si>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</si>
  <si>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</si>
  <si>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</si>
  <si>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</si>
  <si>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</si>
  <si>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</si>
  <si>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</si>
  <si>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</si>
  <si>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</si>
  <si>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</si>
  <si>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</si>
  <si>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</si>
  <si>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</si>
  <si>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</si>
  <si>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</si>
  <si>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</si>
  <si>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</si>
  <si>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</si>
  <si>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</si>
  <si>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</si>
  <si>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</si>
  <si>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</si>
  <si>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</si>
  <si>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</si>
  <si>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</si>
  <si>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</si>
  <si>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</si>
  <si>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</si>
  <si>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</si>
  <si>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</si>
  <si>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</si>
  <si>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</si>
  <si>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</si>
  <si>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</si>
  <si>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</si>
  <si>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</si>
  <si>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</si>
  <si>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</si>
  <si>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</si>
  <si>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</si>
  <si>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</si>
  <si>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</si>
  <si>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</si>
  <si>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</si>
  <si>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</si>
  <si>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</si>
  <si>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</si>
  <si>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</si>
  <si>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</si>
  <si>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</si>
  <si>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</si>
  <si>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</si>
  <si>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</si>
  <si>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</si>
  <si>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</si>
  <si>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</si>
  <si>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</si>
  <si>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</si>
  <si>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</si>
  <si>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</si>
  <si>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</si>
  <si>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</si>
  <si>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</si>
  <si>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</si>
  <si>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</si>
  <si>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</si>
  <si>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</si>
  <si>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</si>
  <si>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</si>
  <si>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</si>
  <si>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</si>
  <si>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</si>
  <si>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</si>
  <si>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</si>
  <si>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</si>
  <si>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</si>
  <si>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</si>
  <si>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</si>
  <si>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</si>
  <si>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</si>
  <si>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</si>
  <si>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</si>
  <si>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</si>
  <si>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</si>
  <si>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</si>
  <si>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</si>
  <si>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</si>
  <si>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</si>
  <si>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</si>
  <si>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</si>
  <si>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</si>
  <si>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</si>
  <si>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</si>
  <si>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</si>
  <si>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</si>
  <si>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</si>
  <si>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</si>
  <si>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</si>
  <si>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</si>
  <si>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</si>
  <si>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</si>
  <si>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</si>
  <si>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</si>
  <si>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</si>
  <si>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</si>
  <si>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</si>
  <si>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</si>
  <si>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</si>
  <si>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</si>
  <si>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</si>
  <si>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</si>
  <si>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</si>
  <si>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</si>
  <si>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</si>
  <si>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</si>
  <si>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</si>
  <si>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</si>
  <si>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</si>
  <si>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</si>
  <si>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</si>
  <si>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</si>
  <si>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</si>
  <si>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</si>
  <si>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</si>
  <si>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</si>
  <si>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</si>
  <si>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</si>
  <si>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</si>
  <si>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</si>
  <si>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</si>
  <si>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</si>
  <si>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</si>
  <si>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</si>
  <si>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</si>
  <si>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</si>
  <si>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</si>
  <si>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</si>
  <si>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</si>
  <si>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</si>
  <si>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</si>
  <si>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</si>
  <si>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</si>
  <si>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</si>
  <si>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</si>
  <si>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</si>
  <si>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</si>
  <si>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</si>
  <si>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</si>
  <si>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</si>
  <si>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</si>
  <si>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</si>
  <si>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</si>
  <si>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</si>
  <si>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</si>
  <si>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</si>
  <si>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</si>
  <si>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</si>
  <si>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</si>
  <si>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</si>
  <si>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</si>
  <si>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</si>
  <si>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</si>
  <si>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</si>
  <si>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</si>
  <si>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</si>
  <si>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</si>
  <si>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</si>
  <si>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</si>
  <si>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</si>
  <si>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</si>
  <si>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</si>
  <si>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</si>
  <si>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</si>
  <si>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</si>
  <si>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</si>
  <si>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</si>
  <si>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</si>
  <si>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</si>
  <si>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</si>
  <si>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</si>
  <si>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</si>
  <si>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</si>
  <si>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</si>
  <si>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</si>
  <si>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</si>
  <si>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</si>
  <si>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</si>
  <si>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</si>
  <si>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</si>
  <si>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</si>
  <si>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</si>
  <si>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</si>
  <si>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</si>
  <si>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</si>
  <si>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</si>
  <si>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</si>
  <si>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</si>
  <si>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</si>
  <si>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</si>
  <si>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</si>
  <si>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</si>
  <si>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</si>
  <si>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</si>
  <si>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</si>
  <si>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</si>
  <si>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</si>
  <si>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</si>
  <si>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</si>
  <si>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</si>
  <si>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</si>
  <si>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</si>
  <si>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</si>
  <si>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</si>
  <si>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</si>
  <si>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</si>
  <si>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</si>
  <si>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</si>
  <si>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</si>
  <si>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</si>
  <si>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</si>
  <si>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</si>
  <si>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</si>
  <si>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</si>
  <si>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</si>
  <si>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</si>
  <si>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</si>
  <si>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</si>
  <si>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</si>
  <si>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</si>
  <si>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</si>
  <si>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</si>
  <si>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</si>
  <si>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</si>
  <si>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</si>
  <si>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</si>
  <si>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</si>
  <si>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</si>
  <si>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</si>
  <si>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</si>
  <si>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</si>
  <si>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</si>
  <si>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</si>
  <si>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</si>
  <si>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</si>
  <si>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</si>
  <si>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</si>
  <si>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</si>
  <si>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</si>
  <si>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</si>
  <si>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</si>
  <si>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</si>
  <si>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</si>
  <si>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</si>
  <si>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</si>
  <si>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</si>
  <si>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</si>
  <si>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</si>
  <si>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</si>
  <si>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</si>
  <si>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</si>
  <si>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</si>
  <si>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</si>
  <si>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</si>
  <si>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</si>
  <si>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</si>
  <si>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</si>
  <si>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</si>
  <si>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</si>
  <si>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</si>
  <si>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</si>
  <si>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</si>
  <si>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</si>
  <si>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</si>
  <si>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</si>
  <si>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</si>
  <si>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</si>
  <si>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</si>
  <si>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</si>
  <si>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</si>
  <si>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</si>
  <si>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</si>
  <si>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</si>
  <si>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</si>
  <si>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</si>
  <si>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</si>
  <si>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</si>
  <si>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</si>
  <si>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</si>
  <si>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</si>
  <si>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</si>
  <si>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</si>
  <si>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</si>
  <si>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</si>
  <si>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</si>
  <si>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</si>
  <si>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</si>
  <si>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</si>
  <si>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</si>
  <si>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</si>
  <si>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</si>
  <si>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</si>
  <si>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</si>
  <si>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</si>
  <si>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</si>
  <si>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</si>
  <si>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</si>
  <si>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</si>
  <si>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</si>
  <si>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</si>
  <si>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</si>
  <si>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</si>
  <si>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</si>
  <si>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</si>
  <si>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</si>
  <si>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</si>
  <si>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</si>
  <si>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</si>
  <si>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</si>
  <si>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</si>
  <si>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</si>
  <si>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</si>
  <si>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</si>
  <si>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</si>
  <si>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</si>
  <si>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</si>
  <si>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</si>
  <si>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</si>
  <si>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</si>
  <si>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</si>
  <si>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</si>
  <si>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</si>
  <si>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</si>
  <si>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</si>
  <si>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</si>
  <si>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</si>
  <si>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</si>
  <si>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</si>
  <si>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</si>
  <si>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</si>
  <si>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</si>
  <si>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</si>
  <si>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</si>
  <si>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</si>
  <si>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</si>
  <si>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</si>
  <si>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</si>
  <si>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</si>
  <si>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</si>
  <si>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</si>
  <si>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</si>
  <si>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</si>
  <si>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</si>
  <si>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</si>
  <si>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</si>
  <si>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</si>
  <si>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</si>
  <si>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</si>
  <si>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</si>
  <si>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</si>
  <si>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</si>
  <si>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</si>
  <si>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</si>
  <si>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</si>
  <si>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</si>
  <si>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</si>
  <si>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</si>
  <si>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</si>
  <si>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</si>
  <si>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</si>
  <si>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S3410</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</si>
  <si>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</si>
  <si>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</si>
  <si>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</si>
  <si>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</si>
  <si>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</si>
  <si>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</si>
  <si>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</si>
  <si>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</si>
  <si>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</si>
  <si>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</si>
  <si>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</si>
  <si>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Реализация мероприятий в области строительства, архитектуры и градостроительства</t>
  </si>
  <si>
    <t>11420</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</si>
  <si>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</si>
  <si>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</si>
  <si>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</si>
  <si>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</si>
  <si>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</si>
  <si>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</si>
  <si>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</si>
  <si>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</si>
  <si>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</si>
  <si>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</si>
  <si>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</si>
  <si>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</si>
  <si>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</si>
  <si>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</si>
  <si>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</si>
  <si>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</si>
  <si>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</si>
  <si>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</si>
  <si>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</si>
  <si>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</si>
  <si>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</si>
  <si>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</si>
  <si>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</si>
  <si>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</si>
  <si>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</si>
  <si>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</si>
  <si>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</si>
  <si>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</si>
  <si>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и 2025 годы</t>
  </si>
  <si>
    <t>Ведомственная структура расходов районного бюджета на 2023 год</t>
  </si>
  <si>
    <t>Ведомственная структура расходов районного бюджета на 2024 и 2025 годы</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</si>
  <si>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</si>
  <si>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Объем межбюджетных трансфертов, предоставляемых другим бюджетам бюджетной системы Российской Федерации, на 2023 год и плановый период 2024 и 2025 годов</t>
  </si>
  <si>
    <t>69160</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</si>
  <si>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</si>
  <si>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</si>
  <si>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 xml:space="preserve">                                Приложение 12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</si>
  <si>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</si>
  <si>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</si>
  <si>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Безвозмездные поступления от других бюджетов бюджетной системы Российской Федерации в
 2024 и 2025 годах</t>
  </si>
  <si>
    <t>Непрограммные расходы органов 
местного самоуправления</t>
  </si>
  <si>
    <t>2 02 20299 00 0000 150</t>
  </si>
  <si>
    <t>2 02 20299 05 0000 150</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</si>
  <si>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</si>
  <si>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</si>
  <si>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</si>
  <si>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</si>
  <si>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</si>
  <si>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</si>
  <si>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</si>
  <si>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</si>
  <si>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</si>
  <si>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</si>
  <si>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</si>
  <si>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</si>
  <si>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</si>
  <si>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</si>
  <si>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</si>
  <si>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</si>
  <si>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</si>
  <si>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</si>
  <si>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</si>
  <si>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</si>
  <si>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</si>
  <si>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</si>
  <si>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</si>
  <si>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</si>
  <si>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</si>
  <si>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</si>
  <si>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</si>
  <si>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</si>
  <si>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</si>
  <si>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</si>
  <si>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</si>
  <si>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</si>
  <si>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</si>
  <si>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</si>
  <si>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</si>
  <si>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</si>
  <si>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</si>
  <si>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</si>
  <si>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</si>
  <si>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</si>
  <si>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</si>
  <si>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</si>
  <si>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</si>
  <si>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</si>
  <si>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</si>
  <si>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</si>
  <si>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</si>
  <si>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</si>
  <si>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</si>
  <si>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</si>
  <si>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</si>
  <si>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</si>
  <si>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</si>
  <si>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</si>
  <si>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</si>
  <si>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изменения</t>
  </si>
  <si>
    <t>с учетом изменений</t>
  </si>
  <si>
    <t>Апшеронский район от 22.12.2022 № 163</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</si>
  <si>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</si>
  <si>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</si>
  <si>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</si>
  <si>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</si>
  <si>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</si>
  <si>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</si>
  <si>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</si>
  <si>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</si>
  <si>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</si>
  <si>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63690</t>
  </si>
  <si>
    <t>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</si>
  <si>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</si>
  <si>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</si>
  <si>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</si>
  <si>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</si>
  <si>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90020</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</si>
  <si>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</si>
  <si>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Софинансирование расходных обязательств по объекту «Реконструкция дороги общего пользования местного значения по улице Мостовая включая «Автомобильный мост 1», «Автомобильный мост 2» в станице Куринской Куринского сельского поселения Апшеронского района</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</si>
  <si>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</si>
  <si>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</si>
  <si>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</si>
  <si>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</si>
  <si>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</si>
  <si>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</si>
  <si>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</si>
  <si>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</si>
  <si>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62980</t>
  </si>
  <si>
    <t>Дополнительная помощь местным бюджетам для решения социально значимых вопросов местного значения</t>
  </si>
  <si>
    <t>2 18 05010 05 0000 150</t>
  </si>
  <si>
    <t>Доходы бюджетов муниципальных районов от возврата бюджетными учреждениями остатков субсидий прошлых лет</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</si>
  <si>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</si>
  <si>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</si>
  <si>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2 19 35303 05 0000 150</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</si>
  <si>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</si>
  <si>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</si>
  <si>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</si>
  <si>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</si>
  <si>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</si>
  <si>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Спорт высших достижений</t>
  </si>
  <si>
    <t>1103</t>
  </si>
  <si>
    <t>Текущий ремонт моста в ст-це Нефтяной по ул. Заречной (через р. Туха) Нефтегорского городского поселения Апшеронского района</t>
  </si>
  <si>
    <t>Поддержка местных инициатив по итогам краевого конкурса</t>
  </si>
  <si>
    <t>62950</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</si>
  <si>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</si>
  <si>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</si>
  <si>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</si>
  <si>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</si>
  <si>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</si>
  <si>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</si>
  <si>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</si>
  <si>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</si>
  <si>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«Независимая энергосбытовая компания Краснодарского края»</t>
  </si>
  <si>
    <t>62590</t>
  </si>
  <si>
    <t>Средства резервного фонда администрации Краснодарского края</t>
  </si>
  <si>
    <t>Капитальный ремонт автомобильной дороги по ул. Социалистической в г. Апшеронске (устройство недостающего тротуара от ул. Пролетарской до парковки возле ГБУЗ «ЦРБ Апшеронского района» МЗ КК)</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</si>
  <si>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</si>
  <si>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</si>
  <si>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</si>
  <si>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10140</t>
  </si>
  <si>
    <t>Меры социальной поддержки отдельным категориям работников здравоохранения</t>
  </si>
  <si>
    <t>Единовременная выплата отдельным категориям работников, являющихся работниками учреждений здравоохранения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</si>
  <si>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бюджета Краснодарского края</t>
  </si>
  <si>
    <t>10150</t>
  </si>
  <si>
    <t>Меры социальной поддержки отдельным категориям работников общеобразовательных организаций</t>
  </si>
  <si>
    <t>Единовременная выплата отдельным категориям работников, являющихся работниками общеобразовательных организаций</t>
  </si>
  <si>
    <t>Социальное обеспечение населения</t>
  </si>
  <si>
    <t>Приобретение товаров, работ (услуг) в целях реализации мер, направленных на обеспечение инженерно-технической защищенности административных зданий органов внутренних дел</t>
  </si>
  <si>
    <t>Текущий ремонт подвесного моста через реку Пшиш по улице Пионерской в станице Кабардинской Кабардинского сельского поселения Апшеронского района</t>
  </si>
  <si>
    <t xml:space="preserve">cубсидии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</si>
  <si>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</si>
  <si>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</si>
  <si>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 xml:space="preserve">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 </t>
  </si>
  <si>
    <t xml:space="preserve">субсидии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</si>
  <si>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</si>
  <si>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Установка уличного освещения в поселке Новый Режет Отдаленного сельского поселения Апшеронского района по улицам: Железнодорожная, Заречная, Клубная, Коммунаров</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</si>
  <si>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</si>
  <si>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</si>
  <si>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 xml:space="preserve">иные межбюджетные трансферты на дополнительную помощь местным бюджетам для решения социально значимых вопросов местного значения </t>
  </si>
  <si>
    <t>Разработка схемы газоснабжения поселка Асфальтовая Гора Апшеронского района Краснодарского края</t>
  </si>
  <si>
    <t>Ремонт строений из 3-х нежилых помещений, в том числе 2 раздевалки на футбольном поле по адресу г. Апшеронск, пересечение улиц Лесозаводская – Стадионная – Заводская (район ФЗО)</t>
  </si>
  <si>
    <t>Иные межбюджетные трансферты на поддержку мер по обеспечению сбалансированности бюджетов поселений</t>
  </si>
  <si>
    <t>10720</t>
  </si>
  <si>
    <t>Апшеронский район от 27.07.2023 № 199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</si>
</sst>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32"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i/>
      <sz val="14"/>
      <color rgb="FF0000FF"/>
      <name val="Times New Roman"/>
      <family val="1"/>
      <charset val="204"/>
    </font>
    <font>
      <sz val="14"/>
      <color rgb="FF0000FF"/>
      <name val="Times New Roman"/>
      <family val="1"/>
      <charset val="204"/>
    </font>
    <font>
      <sz val="11"/>
      <name val="Calibri"/>
      <family val="2"/>
    </font>
    <font>
      <i/>
      <sz val="12"/>
      <name val="Times New Roman"/>
      <family val="1"/>
      <charset val="204"/>
    </font>
    <font>
      <sz val="14"/>
      <color rgb="FFFF0000"/>
      <name val="Times New Roman"/>
      <family val="1"/>
      <charset val="204"/>
    </font>
    <font>
      <i/>
      <sz val="12"/>
      <color rgb="FF0000FF"/>
      <name val="Times New Roman"/>
      <family val="1"/>
      <charset val="204"/>
    </font>
    <font>
      <sz val="14"/>
      <color rgb="FFFF0000"/>
      <name val="Times New Roman"/>
      <family val="1"/>
    </font>
    <font>
      <b/>
      <i/>
      <sz val="12"/>
      <name val="Times New Roman"/>
      <family val="1"/>
      <charset val="204"/>
    </font>
    <font>
      <sz val="14"/>
      <color rgb="FF8A0000"/>
      <name val="Times New Roman"/>
      <family val="1"/>
    </font>
    <font>
      <sz val="14"/>
      <color rgb="FF8A0000"/>
      <name val="Calibri"/>
      <family val="2"/>
      <scheme val="minor"/>
    </font>
    <font>
      <b/>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68">
    <xf numFmtId="0" fontId="0" fillId="0" borderId="0" xfId="0"/>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0" fontId="3" fillId="2" borderId="0" xfId="7" applyFont="1" applyFill="1" applyBorder="1" applyAlignment="1">
      <alignment horizontal="left"/>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3" fillId="2" borderId="0" xfId="7" applyFont="1" applyFill="1" applyAlignment="1">
      <alignment horizontal="left"/>
    </xf>
    <xf numFmtId="168" fontId="3" fillId="2" borderId="0" xfId="7" applyNumberFormat="1" applyFont="1" applyFill="1" applyAlignment="1">
      <alignment horizontal="right"/>
    </xf>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49" fontId="24"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0" fontId="3" fillId="2" borderId="0" xfId="7" applyFont="1" applyFill="1" applyBorder="1" applyAlignment="1">
      <alignment horizontal="left" vertical="top"/>
    </xf>
    <xf numFmtId="0" fontId="3" fillId="2" borderId="0" xfId="7" applyFont="1" applyFill="1" applyAlignment="1">
      <alignment horizontal="left"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21" fillId="2" borderId="0" xfId="0" applyFont="1" applyFill="1" applyAlignment="1">
      <alignment horizontal="center" vertical="top"/>
    </xf>
    <xf numFmtId="0" fontId="22" fillId="2" borderId="0" xfId="0" applyFont="1" applyFill="1" applyAlignment="1">
      <alignment horizontal="center"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3"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3"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49" fontId="26" fillId="2" borderId="0" xfId="7" applyNumberFormat="1" applyFont="1" applyFill="1" applyBorder="1" applyAlignment="1">
      <alignment horizontal="center"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5"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8"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8"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8"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5"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0" fontId="4" fillId="2" borderId="0" xfId="0" applyFont="1" applyFill="1" applyAlignment="1">
      <alignment horizontal="center" wrapText="1"/>
    </xf>
    <xf numFmtId="0" fontId="1" fillId="2" borderId="0" xfId="7" applyFont="1" applyFill="1" applyBorder="1" applyAlignment="1">
      <alignment horizontal="left"/>
    </xf>
    <xf numFmtId="0" fontId="1" fillId="2" borderId="0" xfId="7" applyFont="1" applyFill="1" applyAlignment="1">
      <alignment horizontal="left"/>
    </xf>
    <xf numFmtId="166" fontId="3" fillId="2" borderId="0" xfId="0" applyNumberFormat="1" applyFont="1" applyFill="1" applyBorder="1" applyAlignment="1">
      <alignment horizontal="right"/>
    </xf>
    <xf numFmtId="166" fontId="8" fillId="2" borderId="0" xfId="7" applyNumberFormat="1" applyFont="1" applyFill="1"/>
    <xf numFmtId="166" fontId="1" fillId="2" borderId="0" xfId="7" applyNumberFormat="1" applyFont="1" applyFill="1" applyAlignment="1">
      <alignment horizontal="right"/>
    </xf>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30" xfId="5" applyNumberFormat="1" applyFont="1" applyFill="1" applyBorder="1" applyAlignment="1">
      <alignment horizontal="center"/>
    </xf>
    <xf numFmtId="49" fontId="3" fillId="2" borderId="33"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6" fillId="2" borderId="0" xfId="1" applyFont="1" applyFill="1" applyAlignment="1">
      <alignment wrapText="1"/>
    </xf>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49" fontId="1" fillId="2" borderId="1" xfId="16" applyNumberFormat="1" applyFont="1" applyFill="1" applyBorder="1" applyAlignment="1">
      <alignment wrapText="1"/>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0" fontId="1" fillId="2" borderId="0" xfId="7" applyFont="1" applyFill="1" applyBorder="1" applyAlignment="1">
      <alignment horizontal="left"/>
    </xf>
    <xf numFmtId="0" fontId="1" fillId="2" borderId="0" xfId="7" applyFont="1" applyFill="1" applyAlignment="1">
      <alignment horizontal="left"/>
    </xf>
    <xf numFmtId="49" fontId="3" fillId="2" borderId="19" xfId="5" applyNumberFormat="1" applyFont="1" applyFill="1" applyBorder="1" applyAlignment="1">
      <alignment wrapText="1"/>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176" fontId="19" fillId="2" borderId="0" xfId="0" applyNumberFormat="1" applyFont="1" applyFill="1"/>
    <xf numFmtId="166" fontId="19" fillId="2" borderId="0" xfId="0" applyNumberFormat="1" applyFont="1" applyFill="1"/>
    <xf numFmtId="166" fontId="3" fillId="2" borderId="0" xfId="19" applyNumberFormat="1" applyFont="1" applyFill="1" applyAlignment="1">
      <alignment horizontal="right"/>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0" fontId="3" fillId="2" borderId="1" xfId="0" applyFont="1" applyFill="1" applyBorder="1" applyAlignment="1">
      <alignment horizontal="justify" vertical="top" wrapText="1"/>
    </xf>
    <xf numFmtId="49" fontId="3" fillId="2" borderId="0" xfId="14" applyNumberFormat="1" applyFont="1" applyFill="1" applyBorder="1" applyAlignment="1">
      <alignment horizontal="center"/>
    </xf>
    <xf numFmtId="0" fontId="1" fillId="2" borderId="21" xfId="16" applyFont="1" applyFill="1" applyBorder="1" applyAlignment="1">
      <alignment horizontal="center" vertical="top"/>
    </xf>
    <xf numFmtId="49" fontId="1" fillId="2" borderId="33" xfId="5" applyNumberFormat="1" applyFont="1" applyFill="1" applyBorder="1" applyAlignment="1">
      <alignment vertical="center" wrapText="1"/>
    </xf>
    <xf numFmtId="49" fontId="1" fillId="2" borderId="1" xfId="5" applyNumberFormat="1" applyFont="1" applyFill="1" applyBorder="1" applyAlignment="1">
      <alignment vertical="center" wrapText="1"/>
    </xf>
    <xf numFmtId="49" fontId="1" fillId="2" borderId="22" xfId="11" applyNumberFormat="1" applyFont="1" applyFill="1" applyBorder="1" applyAlignment="1">
      <alignment horizontal="center"/>
    </xf>
    <xf numFmtId="49" fontId="3" fillId="2" borderId="19" xfId="11" applyNumberFormat="1" applyFont="1" applyFill="1" applyBorder="1" applyAlignment="1">
      <alignment horizontal="center"/>
    </xf>
    <xf numFmtId="0" fontId="1" fillId="2" borderId="5" xfId="14" applyFont="1" applyFill="1" applyBorder="1" applyAlignment="1">
      <alignment horizontal="center" vertical="top"/>
    </xf>
    <xf numFmtId="49" fontId="1" fillId="2" borderId="37" xfId="16" applyNumberFormat="1" applyFont="1" applyFill="1" applyBorder="1" applyAlignment="1">
      <alignment vertical="center" wrapText="1"/>
    </xf>
    <xf numFmtId="49" fontId="3" fillId="2" borderId="1" xfId="5" applyNumberFormat="1" applyFont="1" applyFill="1" applyBorder="1" applyAlignment="1">
      <alignment wrapText="1"/>
    </xf>
    <xf numFmtId="49" fontId="3" fillId="2" borderId="1" xfId="11" applyNumberFormat="1" applyFont="1" applyFill="1" applyBorder="1" applyAlignment="1">
      <alignment horizont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1" fillId="2" borderId="30" xfId="11" applyNumberFormat="1" applyFont="1" applyFill="1" applyBorder="1" applyAlignment="1">
      <alignment horizontal="center"/>
    </xf>
    <xf numFmtId="49" fontId="1" fillId="2" borderId="33"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1" xfId="11" applyNumberFormat="1" applyFont="1" applyFill="1" applyBorder="1" applyAlignment="1">
      <alignment vertical="center" wrapText="1"/>
    </xf>
    <xf numFmtId="49" fontId="1" fillId="2" borderId="2" xfId="11" applyNumberFormat="1" applyFont="1" applyFill="1" applyBorder="1" applyAlignment="1">
      <alignment horizontal="center"/>
    </xf>
    <xf numFmtId="49" fontId="1" fillId="2" borderId="3" xfId="16"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1" fillId="2" borderId="3" xfId="5" applyNumberFormat="1" applyFont="1" applyFill="1" applyBorder="1" applyAlignment="1">
      <alignment horizontal="left" wrapText="1"/>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0" fontId="1" fillId="2" borderId="17" xfId="16" applyFont="1" applyFill="1" applyBorder="1" applyAlignment="1">
      <alignment horizontal="center" vertical="top"/>
    </xf>
    <xf numFmtId="49" fontId="1" fillId="2" borderId="26" xfId="5" applyNumberFormat="1" applyFont="1" applyFill="1" applyBorder="1" applyAlignment="1">
      <alignment vertical="center" wrapText="1"/>
    </xf>
    <xf numFmtId="166" fontId="3" fillId="2" borderId="0" xfId="1" applyNumberFormat="1" applyFont="1" applyFill="1" applyBorder="1" applyAlignment="1">
      <alignment vertical="top"/>
    </xf>
    <xf numFmtId="0" fontId="6" fillId="2" borderId="1" xfId="5" applyFont="1" applyFill="1" applyBorder="1" applyAlignment="1">
      <alignment horizontal="left" vertical="top" wrapText="1"/>
    </xf>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3" fontId="31" fillId="2" borderId="0" xfId="19" applyFont="1" applyFill="1"/>
    <xf numFmtId="49" fontId="1" fillId="2" borderId="26" xfId="11" applyNumberFormat="1" applyFont="1" applyFill="1" applyBorder="1" applyAlignment="1">
      <alignment horizontal="center" wrapText="1"/>
    </xf>
    <xf numFmtId="49" fontId="1" fillId="2" borderId="30" xfId="16" applyNumberFormat="1" applyFont="1" applyFill="1" applyBorder="1" applyAlignment="1">
      <alignment horizontal="center"/>
    </xf>
    <xf numFmtId="49" fontId="1" fillId="2" borderId="31" xfId="11" applyNumberFormat="1" applyFont="1" applyFill="1" applyBorder="1" applyAlignment="1">
      <alignment horizontal="center" wrapText="1"/>
    </xf>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27" fillId="2" borderId="5" xfId="0" applyNumberFormat="1" applyFont="1" applyFill="1" applyBorder="1" applyAlignment="1">
      <alignment horizontal="center" vertical="center" wrapText="1"/>
    </xf>
    <xf numFmtId="49" fontId="27" fillId="2" borderId="1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0" xfId="0" applyFont="1" applyFill="1" applyAlignment="1">
      <alignment horizontal="center" vertic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6FED8"/>
      <color rgb="FFFFFFCC"/>
      <color rgb="FFFFFF99"/>
      <color rgb="FFFFCCCC"/>
      <color rgb="FFDB8DBF"/>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41"/>
  <sheetViews>
    <sheetView zoomScale="80" zoomScaleNormal="80" zoomScaleSheetLayoutView="50" workbookViewId="0">
      <selection activeCell="J15" sqref="J15"/>
    </sheetView>
  </sheetViews>
  <sheetFormatPr defaultColWidth="9.109375" defaultRowHeight="18" x14ac:dyDescent="0.35"/>
  <cols>
    <col min="1" max="1" width="29.5546875" style="200" customWidth="1"/>
    <col min="2" max="2" width="60.109375" style="269" customWidth="1"/>
    <col min="3" max="3" width="15.6640625" style="198" customWidth="1"/>
    <col min="4" max="4" width="16.6640625" style="200" customWidth="1"/>
    <col min="5" max="5" width="15.6640625" style="200" customWidth="1"/>
    <col min="6" max="16384" width="9.109375" style="200"/>
  </cols>
  <sheetData>
    <row r="1" spans="1:5" s="213" customFormat="1" x14ac:dyDescent="0.35">
      <c r="A1" s="35"/>
      <c r="B1" s="35"/>
      <c r="E1" s="163" t="s">
        <v>511</v>
      </c>
    </row>
    <row r="2" spans="1:5" s="213" customFormat="1" x14ac:dyDescent="0.35">
      <c r="A2" s="35"/>
      <c r="B2" s="35"/>
      <c r="E2" s="163" t="s">
        <v>752</v>
      </c>
    </row>
    <row r="3" spans="1:5" s="213" customFormat="1" x14ac:dyDescent="0.35">
      <c r="A3" s="35"/>
      <c r="B3" s="35"/>
      <c r="E3" s="163"/>
    </row>
    <row r="4" spans="1:5" x14ac:dyDescent="0.35">
      <c r="E4" s="39" t="s">
        <v>511</v>
      </c>
    </row>
    <row r="5" spans="1:5" x14ac:dyDescent="0.35">
      <c r="E5" s="163" t="s">
        <v>669</v>
      </c>
    </row>
    <row r="8" spans="1:5" ht="11.25" customHeight="1" x14ac:dyDescent="0.35"/>
    <row r="9" spans="1:5" ht="36.75" customHeight="1" x14ac:dyDescent="0.35">
      <c r="A9" s="702" t="s">
        <v>593</v>
      </c>
      <c r="B9" s="702"/>
      <c r="C9" s="702"/>
      <c r="D9" s="702"/>
      <c r="E9" s="702"/>
    </row>
    <row r="11" spans="1:5" x14ac:dyDescent="0.35">
      <c r="E11" s="192" t="s">
        <v>22</v>
      </c>
    </row>
    <row r="12" spans="1:5" ht="20.399999999999999" customHeight="1" x14ac:dyDescent="0.35">
      <c r="A12" s="704" t="s">
        <v>13</v>
      </c>
      <c r="B12" s="706" t="s">
        <v>14</v>
      </c>
      <c r="C12" s="699" t="s">
        <v>15</v>
      </c>
      <c r="D12" s="700"/>
      <c r="E12" s="701"/>
    </row>
    <row r="13" spans="1:5" ht="20.399999999999999" customHeight="1" x14ac:dyDescent="0.35">
      <c r="A13" s="705"/>
      <c r="B13" s="707"/>
      <c r="C13" s="193" t="s">
        <v>460</v>
      </c>
      <c r="D13" s="193" t="s">
        <v>506</v>
      </c>
      <c r="E13" s="193" t="s">
        <v>594</v>
      </c>
    </row>
    <row r="14" spans="1:5" x14ac:dyDescent="0.35">
      <c r="A14" s="286">
        <v>1</v>
      </c>
      <c r="B14" s="287">
        <v>2</v>
      </c>
      <c r="C14" s="194">
        <v>3</v>
      </c>
      <c r="D14" s="288">
        <v>4</v>
      </c>
      <c r="E14" s="288">
        <v>5</v>
      </c>
    </row>
    <row r="15" spans="1:5" x14ac:dyDescent="0.35">
      <c r="A15" s="78" t="s">
        <v>134</v>
      </c>
      <c r="B15" s="79" t="s">
        <v>135</v>
      </c>
      <c r="C15" s="313">
        <v>683138.8</v>
      </c>
      <c r="D15" s="313">
        <v>677949.3</v>
      </c>
      <c r="E15" s="313">
        <v>714879.7</v>
      </c>
    </row>
    <row r="16" spans="1:5" x14ac:dyDescent="0.35">
      <c r="A16" s="38" t="s">
        <v>136</v>
      </c>
      <c r="B16" s="66" t="s">
        <v>137</v>
      </c>
      <c r="C16" s="314">
        <v>6060.5</v>
      </c>
      <c r="D16" s="315">
        <v>6400</v>
      </c>
      <c r="E16" s="316">
        <v>6760</v>
      </c>
    </row>
    <row r="17" spans="1:5" x14ac:dyDescent="0.35">
      <c r="A17" s="53" t="s">
        <v>138</v>
      </c>
      <c r="B17" s="80" t="s">
        <v>139</v>
      </c>
      <c r="C17" s="314">
        <v>390679.10000000003</v>
      </c>
      <c r="D17" s="315">
        <v>413409.5</v>
      </c>
      <c r="E17" s="316">
        <v>434080</v>
      </c>
    </row>
    <row r="18" spans="1:5" ht="167.25" customHeight="1" x14ac:dyDescent="0.35">
      <c r="A18" s="36" t="s">
        <v>140</v>
      </c>
      <c r="B18" s="81" t="s">
        <v>480</v>
      </c>
      <c r="C18" s="317">
        <v>6295.9</v>
      </c>
      <c r="D18" s="318">
        <v>6181.8</v>
      </c>
      <c r="E18" s="201">
        <v>6648.8</v>
      </c>
    </row>
    <row r="19" spans="1:5" ht="36" x14ac:dyDescent="0.35">
      <c r="A19" s="38" t="s">
        <v>309</v>
      </c>
      <c r="B19" s="67" t="s">
        <v>310</v>
      </c>
      <c r="C19" s="317">
        <v>167500</v>
      </c>
      <c r="D19" s="318">
        <v>164160</v>
      </c>
      <c r="E19" s="201">
        <v>177292.79999999999</v>
      </c>
    </row>
    <row r="20" spans="1:5" ht="36" x14ac:dyDescent="0.35">
      <c r="A20" s="38" t="s">
        <v>141</v>
      </c>
      <c r="B20" s="67" t="s">
        <v>328</v>
      </c>
      <c r="C20" s="317">
        <v>98</v>
      </c>
      <c r="D20" s="318">
        <v>80</v>
      </c>
      <c r="E20" s="201">
        <v>50</v>
      </c>
    </row>
    <row r="21" spans="1:5" x14ac:dyDescent="0.35">
      <c r="A21" s="38" t="s">
        <v>142</v>
      </c>
      <c r="B21" s="80" t="s">
        <v>143</v>
      </c>
      <c r="C21" s="317">
        <v>196</v>
      </c>
      <c r="D21" s="318">
        <v>205.5</v>
      </c>
      <c r="E21" s="201">
        <v>216</v>
      </c>
    </row>
    <row r="22" spans="1:5" ht="36" x14ac:dyDescent="0.35">
      <c r="A22" s="38" t="s">
        <v>144</v>
      </c>
      <c r="B22" s="67" t="s">
        <v>145</v>
      </c>
      <c r="C22" s="317">
        <v>19720</v>
      </c>
      <c r="D22" s="318">
        <v>20705</v>
      </c>
      <c r="E22" s="201">
        <v>21740</v>
      </c>
    </row>
    <row r="23" spans="1:5" x14ac:dyDescent="0.35">
      <c r="A23" s="38" t="s">
        <v>426</v>
      </c>
      <c r="B23" s="67" t="s">
        <v>427</v>
      </c>
      <c r="C23" s="317">
        <v>3645</v>
      </c>
      <c r="D23" s="318">
        <v>3681</v>
      </c>
      <c r="E23" s="201">
        <v>3720</v>
      </c>
    </row>
    <row r="24" spans="1:5" x14ac:dyDescent="0.35">
      <c r="A24" s="38" t="s">
        <v>146</v>
      </c>
      <c r="B24" s="80" t="s">
        <v>147</v>
      </c>
      <c r="C24" s="317">
        <v>9645.5</v>
      </c>
      <c r="D24" s="318">
        <v>9742</v>
      </c>
      <c r="E24" s="201">
        <v>9839.4</v>
      </c>
    </row>
    <row r="25" spans="1:5" ht="54.75" customHeight="1" x14ac:dyDescent="0.35">
      <c r="A25" s="38" t="s">
        <v>494</v>
      </c>
      <c r="B25" s="67" t="s">
        <v>495</v>
      </c>
      <c r="C25" s="317">
        <v>35412.300000000003</v>
      </c>
      <c r="D25" s="317">
        <v>36702</v>
      </c>
      <c r="E25" s="317">
        <v>37810</v>
      </c>
    </row>
    <row r="26" spans="1:5" ht="78" customHeight="1" x14ac:dyDescent="0.35">
      <c r="A26" s="38" t="s">
        <v>148</v>
      </c>
      <c r="B26" s="66" t="s">
        <v>496</v>
      </c>
      <c r="C26" s="317">
        <v>465</v>
      </c>
      <c r="D26" s="318">
        <v>465</v>
      </c>
      <c r="E26" s="201">
        <v>465</v>
      </c>
    </row>
    <row r="27" spans="1:5" ht="54" x14ac:dyDescent="0.35">
      <c r="A27" s="628" t="s">
        <v>644</v>
      </c>
      <c r="B27" s="629" t="s">
        <v>645</v>
      </c>
      <c r="C27" s="630">
        <v>17.3</v>
      </c>
      <c r="D27" s="631">
        <v>0</v>
      </c>
      <c r="E27" s="632">
        <v>0</v>
      </c>
    </row>
    <row r="28" spans="1:5" ht="57" customHeight="1" x14ac:dyDescent="0.35">
      <c r="A28" s="38" t="s">
        <v>149</v>
      </c>
      <c r="B28" s="67" t="s">
        <v>497</v>
      </c>
      <c r="C28" s="317">
        <v>33785</v>
      </c>
      <c r="D28" s="318">
        <v>35092</v>
      </c>
      <c r="E28" s="201">
        <v>36200</v>
      </c>
    </row>
    <row r="29" spans="1:5" ht="54" x14ac:dyDescent="0.35">
      <c r="A29" s="38" t="s">
        <v>308</v>
      </c>
      <c r="B29" s="67" t="s">
        <v>498</v>
      </c>
      <c r="C29" s="317">
        <v>927</v>
      </c>
      <c r="D29" s="318">
        <v>927</v>
      </c>
      <c r="E29" s="201">
        <v>927</v>
      </c>
    </row>
    <row r="30" spans="1:5" ht="72" x14ac:dyDescent="0.35">
      <c r="A30" s="38" t="s">
        <v>150</v>
      </c>
      <c r="B30" s="67" t="s">
        <v>499</v>
      </c>
      <c r="C30" s="317">
        <v>10</v>
      </c>
      <c r="D30" s="318">
        <v>10</v>
      </c>
      <c r="E30" s="201">
        <v>10</v>
      </c>
    </row>
    <row r="31" spans="1:5" ht="108" x14ac:dyDescent="0.35">
      <c r="A31" s="38" t="s">
        <v>347</v>
      </c>
      <c r="B31" s="67" t="s">
        <v>500</v>
      </c>
      <c r="C31" s="317">
        <v>208</v>
      </c>
      <c r="D31" s="318">
        <v>208</v>
      </c>
      <c r="E31" s="201">
        <v>208</v>
      </c>
    </row>
    <row r="32" spans="1:5" ht="36" x14ac:dyDescent="0.35">
      <c r="A32" s="38" t="s">
        <v>151</v>
      </c>
      <c r="B32" s="67" t="s">
        <v>152</v>
      </c>
      <c r="C32" s="317">
        <v>73</v>
      </c>
      <c r="D32" s="318">
        <v>75</v>
      </c>
      <c r="E32" s="201">
        <v>78</v>
      </c>
    </row>
    <row r="33" spans="1:5" ht="36" x14ac:dyDescent="0.35">
      <c r="A33" s="38" t="s">
        <v>387</v>
      </c>
      <c r="B33" s="215" t="s">
        <v>405</v>
      </c>
      <c r="C33" s="317">
        <v>18109.7</v>
      </c>
      <c r="D33" s="318">
        <v>1367.1</v>
      </c>
      <c r="E33" s="201">
        <v>1367.1</v>
      </c>
    </row>
    <row r="34" spans="1:5" ht="36" x14ac:dyDescent="0.35">
      <c r="A34" s="38" t="s">
        <v>153</v>
      </c>
      <c r="B34" s="67" t="s">
        <v>154</v>
      </c>
      <c r="C34" s="317">
        <v>21267.8</v>
      </c>
      <c r="D34" s="318">
        <v>10804.4</v>
      </c>
      <c r="E34" s="201">
        <v>10841.6</v>
      </c>
    </row>
    <row r="35" spans="1:5" ht="18.75" customHeight="1" x14ac:dyDescent="0.35">
      <c r="A35" s="36" t="s">
        <v>155</v>
      </c>
      <c r="B35" s="67" t="s">
        <v>156</v>
      </c>
      <c r="C35" s="317">
        <v>4436</v>
      </c>
      <c r="D35" s="318">
        <v>4436</v>
      </c>
      <c r="E35" s="201">
        <v>4436</v>
      </c>
    </row>
    <row r="36" spans="1:5" x14ac:dyDescent="0.35">
      <c r="A36" s="95" t="s">
        <v>16</v>
      </c>
      <c r="B36" s="228" t="s">
        <v>311</v>
      </c>
      <c r="C36" s="195">
        <v>1778941.9055600003</v>
      </c>
      <c r="D36" s="195">
        <v>1273911.2000000002</v>
      </c>
      <c r="E36" s="195">
        <v>1176939.6000000001</v>
      </c>
    </row>
    <row r="37" spans="1:5" ht="36.75" customHeight="1" x14ac:dyDescent="0.35">
      <c r="A37" s="89" t="s">
        <v>17</v>
      </c>
      <c r="B37" s="229" t="s">
        <v>18</v>
      </c>
      <c r="C37" s="316">
        <v>1803488.4000000001</v>
      </c>
      <c r="D37" s="316">
        <v>1273911.2000000002</v>
      </c>
      <c r="E37" s="316">
        <v>1176939.6000000001</v>
      </c>
    </row>
    <row r="38" spans="1:5" s="231" customFormat="1" ht="36" x14ac:dyDescent="0.35">
      <c r="A38" s="89" t="s">
        <v>397</v>
      </c>
      <c r="B38" s="230" t="s">
        <v>343</v>
      </c>
      <c r="C38" s="316">
        <v>240584.30000000002</v>
      </c>
      <c r="D38" s="316">
        <v>169927</v>
      </c>
      <c r="E38" s="316">
        <v>182469.7</v>
      </c>
    </row>
    <row r="39" spans="1:5" s="231" customFormat="1" ht="39" customHeight="1" x14ac:dyDescent="0.35">
      <c r="A39" s="11" t="s">
        <v>399</v>
      </c>
      <c r="B39" s="216" t="s">
        <v>306</v>
      </c>
      <c r="C39" s="316">
        <v>532540.4</v>
      </c>
      <c r="D39" s="316">
        <v>183733.00000000003</v>
      </c>
      <c r="E39" s="316">
        <v>72511.3</v>
      </c>
    </row>
    <row r="40" spans="1:5" ht="36" x14ac:dyDescent="0.35">
      <c r="A40" s="270" t="s">
        <v>401</v>
      </c>
      <c r="B40" s="230" t="s">
        <v>342</v>
      </c>
      <c r="C40" s="316">
        <v>966909.1</v>
      </c>
      <c r="D40" s="316">
        <v>920251.20000000007</v>
      </c>
      <c r="E40" s="316">
        <v>921958.6</v>
      </c>
    </row>
    <row r="41" spans="1:5" x14ac:dyDescent="0.35">
      <c r="A41" s="89" t="s">
        <v>407</v>
      </c>
      <c r="B41" s="229" t="s">
        <v>157</v>
      </c>
      <c r="C41" s="196">
        <v>63454.6</v>
      </c>
      <c r="D41" s="196">
        <v>0</v>
      </c>
      <c r="E41" s="196">
        <v>0</v>
      </c>
    </row>
    <row r="42" spans="1:5" ht="54" x14ac:dyDescent="0.35">
      <c r="A42" s="89" t="s">
        <v>698</v>
      </c>
      <c r="B42" s="229" t="s">
        <v>699</v>
      </c>
      <c r="C42" s="196">
        <v>227.512</v>
      </c>
      <c r="D42" s="196">
        <v>0</v>
      </c>
      <c r="E42" s="196">
        <v>0</v>
      </c>
    </row>
    <row r="43" spans="1:5" ht="90" x14ac:dyDescent="0.35">
      <c r="A43" s="342" t="s">
        <v>706</v>
      </c>
      <c r="B43" s="638" t="s">
        <v>707</v>
      </c>
      <c r="C43" s="196">
        <v>287.29809999999998</v>
      </c>
      <c r="D43" s="196">
        <v>0</v>
      </c>
      <c r="E43" s="196">
        <v>0</v>
      </c>
    </row>
    <row r="44" spans="1:5" ht="90" x14ac:dyDescent="0.35">
      <c r="A44" s="342" t="s">
        <v>700</v>
      </c>
      <c r="B44" s="638" t="s">
        <v>701</v>
      </c>
      <c r="C44" s="196">
        <v>8586.6808799999999</v>
      </c>
      <c r="D44" s="196">
        <v>0</v>
      </c>
      <c r="E44" s="196">
        <v>0</v>
      </c>
    </row>
    <row r="45" spans="1:5" ht="90" x14ac:dyDescent="0.35">
      <c r="A45" s="342" t="s">
        <v>702</v>
      </c>
      <c r="B45" s="229" t="s">
        <v>705</v>
      </c>
      <c r="C45" s="196">
        <v>892.49612000000002</v>
      </c>
      <c r="D45" s="196">
        <v>0</v>
      </c>
      <c r="E45" s="196">
        <v>0</v>
      </c>
    </row>
    <row r="46" spans="1:5" ht="72" x14ac:dyDescent="0.35">
      <c r="A46" s="342" t="s">
        <v>703</v>
      </c>
      <c r="B46" s="229" t="s">
        <v>704</v>
      </c>
      <c r="C46" s="196">
        <v>15582.127540000001</v>
      </c>
      <c r="D46" s="196">
        <v>0</v>
      </c>
      <c r="E46" s="196">
        <v>0</v>
      </c>
    </row>
    <row r="47" spans="1:5" x14ac:dyDescent="0.35">
      <c r="A47" s="271"/>
      <c r="B47" s="228" t="s">
        <v>158</v>
      </c>
      <c r="C47" s="197">
        <v>2462080.7055600006</v>
      </c>
      <c r="D47" s="197">
        <v>1951860.5000000002</v>
      </c>
      <c r="E47" s="197">
        <v>1891819.3</v>
      </c>
    </row>
    <row r="48" spans="1:5" x14ac:dyDescent="0.35">
      <c r="A48" s="328" t="s">
        <v>525</v>
      </c>
      <c r="B48" s="329"/>
      <c r="C48" s="330"/>
      <c r="D48" s="330"/>
      <c r="E48" s="330"/>
    </row>
    <row r="49" spans="1:8" ht="37.5" customHeight="1" x14ac:dyDescent="0.35">
      <c r="A49" s="703" t="s">
        <v>312</v>
      </c>
      <c r="B49" s="703"/>
      <c r="C49" s="703"/>
      <c r="D49" s="703"/>
      <c r="E49" s="703"/>
    </row>
    <row r="50" spans="1:8" x14ac:dyDescent="0.35">
      <c r="A50" s="272"/>
    </row>
    <row r="51" spans="1:8" x14ac:dyDescent="0.35">
      <c r="A51" s="272"/>
    </row>
    <row r="52" spans="1:8" s="85" customFormat="1" x14ac:dyDescent="0.35">
      <c r="A52" s="623" t="s">
        <v>375</v>
      </c>
      <c r="B52" s="86"/>
      <c r="C52" s="87"/>
      <c r="D52" s="87"/>
      <c r="E52" s="87"/>
      <c r="F52" s="43"/>
      <c r="G52" s="115"/>
      <c r="H52" s="154"/>
    </row>
    <row r="53" spans="1:8" s="85" customFormat="1" x14ac:dyDescent="0.35">
      <c r="A53" s="623" t="s">
        <v>376</v>
      </c>
      <c r="B53" s="86"/>
      <c r="C53" s="87"/>
      <c r="D53" s="87"/>
      <c r="E53" s="87"/>
      <c r="F53" s="43"/>
      <c r="G53" s="115"/>
      <c r="H53" s="154"/>
    </row>
    <row r="54" spans="1:8" s="85" customFormat="1" x14ac:dyDescent="0.35">
      <c r="A54" s="624" t="s">
        <v>377</v>
      </c>
      <c r="B54" s="86"/>
      <c r="D54" s="87"/>
      <c r="E54" s="116" t="s">
        <v>388</v>
      </c>
      <c r="F54" s="43"/>
    </row>
    <row r="56" spans="1:8" x14ac:dyDescent="0.35">
      <c r="B56" s="273"/>
      <c r="C56" s="199"/>
    </row>
    <row r="57" spans="1:8" x14ac:dyDescent="0.35">
      <c r="B57" s="273"/>
      <c r="C57" s="199"/>
    </row>
    <row r="64" spans="1:8" x14ac:dyDescent="0.35">
      <c r="B64" s="200"/>
      <c r="C64" s="200"/>
    </row>
    <row r="65" spans="2:3" x14ac:dyDescent="0.35">
      <c r="B65" s="200"/>
      <c r="C65" s="200"/>
    </row>
    <row r="66" spans="2:3" x14ac:dyDescent="0.35">
      <c r="B66" s="200"/>
      <c r="C66" s="200"/>
    </row>
    <row r="67" spans="2:3" x14ac:dyDescent="0.35">
      <c r="B67" s="200"/>
      <c r="C67" s="200"/>
    </row>
    <row r="68" spans="2:3" x14ac:dyDescent="0.35">
      <c r="B68" s="200"/>
      <c r="C68" s="200"/>
    </row>
    <row r="69" spans="2:3" x14ac:dyDescent="0.35">
      <c r="B69" s="200"/>
      <c r="C69" s="200"/>
    </row>
    <row r="70" spans="2:3" x14ac:dyDescent="0.35">
      <c r="B70" s="200"/>
      <c r="C70" s="200"/>
    </row>
    <row r="71" spans="2:3" x14ac:dyDescent="0.35">
      <c r="B71" s="200"/>
      <c r="C71" s="200"/>
    </row>
    <row r="72" spans="2:3" x14ac:dyDescent="0.35">
      <c r="B72" s="200"/>
      <c r="C72" s="200"/>
    </row>
    <row r="73" spans="2:3" x14ac:dyDescent="0.35">
      <c r="B73" s="200"/>
      <c r="C73" s="200"/>
    </row>
    <row r="74" spans="2:3" x14ac:dyDescent="0.35">
      <c r="B74" s="200"/>
      <c r="C74" s="200"/>
    </row>
    <row r="75" spans="2:3" x14ac:dyDescent="0.35">
      <c r="B75" s="200"/>
      <c r="C75" s="200"/>
    </row>
    <row r="76" spans="2:3" x14ac:dyDescent="0.35">
      <c r="B76" s="200"/>
      <c r="C76" s="200"/>
    </row>
    <row r="77" spans="2:3" x14ac:dyDescent="0.35">
      <c r="B77" s="200"/>
      <c r="C77" s="200"/>
    </row>
    <row r="78" spans="2:3" x14ac:dyDescent="0.35">
      <c r="B78" s="200"/>
      <c r="C78" s="200"/>
    </row>
    <row r="79" spans="2:3" x14ac:dyDescent="0.35">
      <c r="B79" s="200"/>
      <c r="C79" s="200"/>
    </row>
    <row r="80" spans="2:3" x14ac:dyDescent="0.35">
      <c r="B80" s="200"/>
      <c r="C80" s="200"/>
    </row>
    <row r="81" spans="2:3" x14ac:dyDescent="0.35">
      <c r="B81" s="200"/>
      <c r="C81" s="200"/>
    </row>
    <row r="82" spans="2:3" x14ac:dyDescent="0.35">
      <c r="B82" s="200"/>
      <c r="C82" s="200"/>
    </row>
    <row r="83" spans="2:3" x14ac:dyDescent="0.35">
      <c r="B83" s="200"/>
      <c r="C83" s="200"/>
    </row>
    <row r="84" spans="2:3" x14ac:dyDescent="0.35">
      <c r="B84" s="200"/>
      <c r="C84" s="200"/>
    </row>
    <row r="85" spans="2:3" x14ac:dyDescent="0.35">
      <c r="B85" s="200"/>
      <c r="C85" s="200"/>
    </row>
    <row r="86" spans="2:3" x14ac:dyDescent="0.35">
      <c r="B86" s="200"/>
      <c r="C86" s="200"/>
    </row>
    <row r="87" spans="2:3" x14ac:dyDescent="0.35">
      <c r="B87" s="200"/>
      <c r="C87" s="200"/>
    </row>
    <row r="88" spans="2:3" x14ac:dyDescent="0.35">
      <c r="B88" s="200"/>
      <c r="C88" s="200"/>
    </row>
    <row r="89" spans="2:3" x14ac:dyDescent="0.35">
      <c r="B89" s="200"/>
      <c r="C89" s="200"/>
    </row>
    <row r="90" spans="2:3" x14ac:dyDescent="0.35">
      <c r="B90" s="200"/>
      <c r="C90" s="200"/>
    </row>
    <row r="91" spans="2:3" x14ac:dyDescent="0.35">
      <c r="B91" s="200"/>
      <c r="C91" s="200"/>
    </row>
    <row r="92" spans="2:3" x14ac:dyDescent="0.35">
      <c r="B92" s="200"/>
      <c r="C92" s="200"/>
    </row>
    <row r="93" spans="2:3" x14ac:dyDescent="0.35">
      <c r="B93" s="200"/>
      <c r="C93" s="200"/>
    </row>
    <row r="94" spans="2:3" x14ac:dyDescent="0.35">
      <c r="B94" s="200"/>
      <c r="C94" s="200"/>
    </row>
    <row r="95" spans="2:3" x14ac:dyDescent="0.35">
      <c r="B95" s="200"/>
      <c r="C95" s="200"/>
    </row>
    <row r="96" spans="2:3" x14ac:dyDescent="0.35">
      <c r="B96" s="200"/>
      <c r="C96" s="200"/>
    </row>
    <row r="97" spans="2:3" x14ac:dyDescent="0.35">
      <c r="B97" s="200"/>
      <c r="C97" s="200"/>
    </row>
    <row r="98" spans="2:3" x14ac:dyDescent="0.35">
      <c r="B98" s="200"/>
      <c r="C98" s="200"/>
    </row>
    <row r="99" spans="2:3" x14ac:dyDescent="0.35">
      <c r="B99" s="200"/>
      <c r="C99" s="200"/>
    </row>
    <row r="100" spans="2:3" x14ac:dyDescent="0.35">
      <c r="B100" s="200"/>
      <c r="C100" s="200"/>
    </row>
    <row r="101" spans="2:3" x14ac:dyDescent="0.35">
      <c r="B101" s="200"/>
      <c r="C101" s="200"/>
    </row>
    <row r="102" spans="2:3" x14ac:dyDescent="0.35">
      <c r="B102" s="200"/>
      <c r="C102" s="200"/>
    </row>
    <row r="103" spans="2:3" x14ac:dyDescent="0.35">
      <c r="B103" s="200"/>
      <c r="C103" s="200"/>
    </row>
    <row r="104" spans="2:3" x14ac:dyDescent="0.35">
      <c r="B104" s="200"/>
      <c r="C104" s="200"/>
    </row>
    <row r="105" spans="2:3" x14ac:dyDescent="0.35">
      <c r="B105" s="200"/>
      <c r="C105" s="200"/>
    </row>
    <row r="106" spans="2:3" x14ac:dyDescent="0.35">
      <c r="B106" s="200"/>
      <c r="C106" s="200"/>
    </row>
    <row r="107" spans="2:3" x14ac:dyDescent="0.35">
      <c r="B107" s="200"/>
      <c r="C107" s="200"/>
    </row>
    <row r="108" spans="2:3" x14ac:dyDescent="0.35">
      <c r="B108" s="200"/>
      <c r="C108" s="200"/>
    </row>
    <row r="109" spans="2:3" x14ac:dyDescent="0.35">
      <c r="B109" s="200"/>
      <c r="C109" s="200"/>
    </row>
    <row r="110" spans="2:3" x14ac:dyDescent="0.35">
      <c r="B110" s="200"/>
      <c r="C110" s="200"/>
    </row>
    <row r="111" spans="2:3" x14ac:dyDescent="0.35">
      <c r="B111" s="200"/>
      <c r="C111" s="200"/>
    </row>
    <row r="112" spans="2:3" x14ac:dyDescent="0.35">
      <c r="B112" s="200"/>
      <c r="C112" s="200"/>
    </row>
    <row r="113" spans="2:3" x14ac:dyDescent="0.35">
      <c r="B113" s="200"/>
      <c r="C113" s="200"/>
    </row>
    <row r="114" spans="2:3" x14ac:dyDescent="0.35">
      <c r="B114" s="200"/>
      <c r="C114" s="200"/>
    </row>
    <row r="115" spans="2:3" x14ac:dyDescent="0.35">
      <c r="B115" s="200"/>
      <c r="C115" s="200"/>
    </row>
    <row r="116" spans="2:3" x14ac:dyDescent="0.35">
      <c r="B116" s="200"/>
      <c r="C116" s="200"/>
    </row>
    <row r="117" spans="2:3" x14ac:dyDescent="0.35">
      <c r="B117" s="200"/>
      <c r="C117" s="200"/>
    </row>
    <row r="118" spans="2:3" x14ac:dyDescent="0.35">
      <c r="B118" s="200"/>
      <c r="C118" s="200"/>
    </row>
    <row r="119" spans="2:3" x14ac:dyDescent="0.35">
      <c r="B119" s="200"/>
      <c r="C119" s="200"/>
    </row>
    <row r="120" spans="2:3" x14ac:dyDescent="0.35">
      <c r="B120" s="200"/>
      <c r="C120" s="200"/>
    </row>
    <row r="121" spans="2:3" x14ac:dyDescent="0.35">
      <c r="B121" s="200"/>
      <c r="C121" s="200"/>
    </row>
    <row r="122" spans="2:3" x14ac:dyDescent="0.35">
      <c r="B122" s="200"/>
      <c r="C122" s="200"/>
    </row>
    <row r="123" spans="2:3" x14ac:dyDescent="0.35">
      <c r="B123" s="200"/>
      <c r="C123" s="200"/>
    </row>
    <row r="124" spans="2:3" x14ac:dyDescent="0.35">
      <c r="B124" s="200"/>
      <c r="C124" s="200"/>
    </row>
    <row r="125" spans="2:3" x14ac:dyDescent="0.35">
      <c r="B125" s="200"/>
      <c r="C125" s="200"/>
    </row>
    <row r="126" spans="2:3" x14ac:dyDescent="0.35">
      <c r="B126" s="200"/>
      <c r="C126" s="200"/>
    </row>
    <row r="127" spans="2:3" x14ac:dyDescent="0.35">
      <c r="B127" s="200"/>
      <c r="C127" s="200"/>
    </row>
    <row r="128" spans="2:3" x14ac:dyDescent="0.35">
      <c r="B128" s="200"/>
      <c r="C128" s="200"/>
    </row>
    <row r="129" spans="2:3" x14ac:dyDescent="0.35">
      <c r="B129" s="200"/>
      <c r="C129" s="200"/>
    </row>
    <row r="130" spans="2:3" x14ac:dyDescent="0.35">
      <c r="B130" s="200"/>
      <c r="C130" s="200"/>
    </row>
    <row r="131" spans="2:3" x14ac:dyDescent="0.35">
      <c r="B131" s="200"/>
      <c r="C131" s="200"/>
    </row>
    <row r="132" spans="2:3" x14ac:dyDescent="0.35">
      <c r="B132" s="200"/>
      <c r="C132" s="200"/>
    </row>
    <row r="133" spans="2:3" x14ac:dyDescent="0.35">
      <c r="B133" s="200"/>
      <c r="C133" s="200"/>
    </row>
    <row r="134" spans="2:3" x14ac:dyDescent="0.35">
      <c r="B134" s="200"/>
      <c r="C134" s="200"/>
    </row>
    <row r="135" spans="2:3" x14ac:dyDescent="0.35">
      <c r="B135" s="200"/>
      <c r="C135" s="200"/>
    </row>
    <row r="136" spans="2:3" x14ac:dyDescent="0.35">
      <c r="B136" s="200"/>
      <c r="C136" s="200"/>
    </row>
    <row r="137" spans="2:3" x14ac:dyDescent="0.35">
      <c r="B137" s="200"/>
      <c r="C137" s="200"/>
    </row>
    <row r="138" spans="2:3" x14ac:dyDescent="0.35">
      <c r="B138" s="200"/>
      <c r="C138" s="200"/>
    </row>
    <row r="139" spans="2:3" x14ac:dyDescent="0.35">
      <c r="B139" s="200"/>
      <c r="C139" s="200"/>
    </row>
    <row r="140" spans="2:3" x14ac:dyDescent="0.35">
      <c r="B140" s="200"/>
      <c r="C140" s="200"/>
    </row>
    <row r="141" spans="2:3" x14ac:dyDescent="0.35">
      <c r="B141" s="200"/>
      <c r="C141" s="200"/>
    </row>
  </sheetData>
  <mergeCells count="5">
    <mergeCell ref="C12:E12"/>
    <mergeCell ref="A9:E9"/>
    <mergeCell ref="A49:E49"/>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1"/>
  <sheetViews>
    <sheetView tabSelected="1" workbookViewId="0">
      <selection activeCell="J8" sqref="J8"/>
    </sheetView>
  </sheetViews>
  <sheetFormatPr defaultColWidth="8.88671875" defaultRowHeight="18" x14ac:dyDescent="0.35"/>
  <cols>
    <col min="1" max="1" width="65" style="34" customWidth="1"/>
    <col min="2" max="2" width="14.6640625" style="34" customWidth="1"/>
    <col min="3" max="3" width="13.33203125" style="34" customWidth="1"/>
    <col min="4" max="4" width="11" style="34" customWidth="1"/>
    <col min="5" max="16384" width="8.88671875" style="34"/>
  </cols>
  <sheetData>
    <row r="1" spans="1:4" x14ac:dyDescent="0.35">
      <c r="D1" s="163" t="s">
        <v>604</v>
      </c>
    </row>
    <row r="2" spans="1:4" x14ac:dyDescent="0.35">
      <c r="D2" s="163" t="s">
        <v>752</v>
      </c>
    </row>
    <row r="4" spans="1:4" x14ac:dyDescent="0.35">
      <c r="D4" s="39" t="s">
        <v>605</v>
      </c>
    </row>
    <row r="5" spans="1:4" x14ac:dyDescent="0.35">
      <c r="D5" s="39" t="s">
        <v>669</v>
      </c>
    </row>
    <row r="8" spans="1:4" ht="57" customHeight="1" x14ac:dyDescent="0.35">
      <c r="A8" s="767" t="s">
        <v>601</v>
      </c>
      <c r="B8" s="767"/>
      <c r="C8" s="767"/>
      <c r="D8" s="767"/>
    </row>
    <row r="9" spans="1:4" ht="16.95" customHeight="1" x14ac:dyDescent="0.35">
      <c r="A9" s="475"/>
      <c r="B9" s="475"/>
      <c r="C9" s="275"/>
    </row>
    <row r="10" spans="1:4" x14ac:dyDescent="0.35">
      <c r="D10" s="39" t="s">
        <v>22</v>
      </c>
    </row>
    <row r="11" spans="1:4" ht="19.95" customHeight="1" x14ac:dyDescent="0.35">
      <c r="A11" s="711" t="s">
        <v>257</v>
      </c>
      <c r="B11" s="764" t="s">
        <v>15</v>
      </c>
      <c r="C11" s="765"/>
      <c r="D11" s="766"/>
    </row>
    <row r="12" spans="1:4" ht="31.95" customHeight="1" x14ac:dyDescent="0.35">
      <c r="A12" s="712"/>
      <c r="B12" s="340" t="s">
        <v>460</v>
      </c>
      <c r="C12" s="340" t="s">
        <v>506</v>
      </c>
      <c r="D12" s="340" t="s">
        <v>594</v>
      </c>
    </row>
    <row r="13" spans="1:4" x14ac:dyDescent="0.35">
      <c r="A13" s="53">
        <v>1</v>
      </c>
      <c r="B13" s="53">
        <v>2</v>
      </c>
      <c r="C13" s="53">
        <v>3</v>
      </c>
      <c r="D13" s="53">
        <v>4</v>
      </c>
    </row>
    <row r="14" spans="1:4" ht="22.95" customHeight="1" x14ac:dyDescent="0.35">
      <c r="A14" s="276" t="s">
        <v>313</v>
      </c>
      <c r="B14" s="277">
        <f>SUM(B15:B16)</f>
        <v>64882.400000000001</v>
      </c>
      <c r="C14" s="277">
        <f>SUM(C15:C16)</f>
        <v>7500</v>
      </c>
      <c r="D14" s="277">
        <f>SUM(D15:D16)</f>
        <v>7500</v>
      </c>
    </row>
    <row r="15" spans="1:4" ht="36" x14ac:dyDescent="0.35">
      <c r="A15" s="215" t="s">
        <v>258</v>
      </c>
      <c r="B15" s="264">
        <f>'прил9 (ведом 23)'!M289</f>
        <v>7500</v>
      </c>
      <c r="C15" s="264">
        <f>'прил10 (ведом 24-25)'!M202</f>
        <v>7500</v>
      </c>
      <c r="D15" s="264">
        <f>'прил10 (ведом 24-25)'!N202</f>
        <v>7500</v>
      </c>
    </row>
    <row r="16" spans="1:4" ht="36" x14ac:dyDescent="0.35">
      <c r="A16" s="278" t="s">
        <v>431</v>
      </c>
      <c r="B16" s="264">
        <f>'прил9 (ведом 23)'!M104+'прил9 (ведом 23)'!M106+'прил9 (ведом 23)'!M114+'прил9 (ведом 23)'!M227+'прил9 (ведом 23)'!M230+'прил9 (ведом 23)'!M252+'прил9 (ведом 23)'!M233+'прил9 (ведом 23)'!M236+'прил9 (ведом 23)'!M239+'прил9 (ведом 23)'!M242+'прил9 (ведом 23)'!M245+'прил9 (ведом 23)'!M248+'прил9 (ведом 23)'!M295</f>
        <v>57382.400000000001</v>
      </c>
      <c r="C16" s="264">
        <v>0</v>
      </c>
      <c r="D16" s="264">
        <v>0</v>
      </c>
    </row>
    <row r="19" spans="1:8" s="85" customFormat="1" x14ac:dyDescent="0.35">
      <c r="A19" s="476" t="s">
        <v>375</v>
      </c>
      <c r="B19" s="86"/>
      <c r="C19" s="87"/>
      <c r="D19" s="87"/>
      <c r="E19" s="87"/>
      <c r="F19" s="43"/>
      <c r="G19" s="115"/>
      <c r="H19" s="154"/>
    </row>
    <row r="20" spans="1:8" s="85" customFormat="1" x14ac:dyDescent="0.35">
      <c r="A20" s="476" t="s">
        <v>376</v>
      </c>
      <c r="B20" s="86"/>
      <c r="C20" s="87"/>
      <c r="D20" s="87"/>
      <c r="E20" s="87"/>
      <c r="F20" s="43"/>
      <c r="G20" s="115"/>
      <c r="H20" s="154"/>
    </row>
    <row r="21" spans="1:8" s="85" customFormat="1" x14ac:dyDescent="0.35">
      <c r="A21" s="477" t="s">
        <v>377</v>
      </c>
      <c r="D21" s="116" t="s">
        <v>388</v>
      </c>
      <c r="E21" s="87"/>
      <c r="F21" s="43"/>
    </row>
  </sheetData>
  <mergeCells count="3">
    <mergeCell ref="B11:D11"/>
    <mergeCell ref="A11:A12"/>
    <mergeCell ref="A8:D8"/>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436"/>
  <sheetViews>
    <sheetView zoomScale="80" zoomScaleNormal="80" zoomScaleSheetLayoutView="80" workbookViewId="0">
      <selection activeCell="H9" sqref="H9"/>
    </sheetView>
  </sheetViews>
  <sheetFormatPr defaultColWidth="8.88671875" defaultRowHeight="18" x14ac:dyDescent="0.35"/>
  <cols>
    <col min="1" max="1" width="28.109375" style="64" customWidth="1"/>
    <col min="2" max="2" width="72.6640625" style="64" customWidth="1"/>
    <col min="3" max="3" width="15" style="63" customWidth="1"/>
    <col min="4" max="4" width="11" style="49" hidden="1" customWidth="1"/>
    <col min="5" max="5" width="7.6640625" style="34" hidden="1" customWidth="1"/>
    <col min="6" max="6" width="0" style="34" hidden="1" customWidth="1"/>
    <col min="7" max="16384" width="8.88671875" style="34"/>
  </cols>
  <sheetData>
    <row r="1" spans="1:4" s="200" customFormat="1" x14ac:dyDescent="0.35">
      <c r="B1" s="269"/>
      <c r="C1" s="39" t="s">
        <v>512</v>
      </c>
    </row>
    <row r="2" spans="1:4" s="200" customFormat="1" x14ac:dyDescent="0.35">
      <c r="B2" s="269"/>
      <c r="C2" s="163" t="s">
        <v>752</v>
      </c>
    </row>
    <row r="3" spans="1:4" s="200" customFormat="1" x14ac:dyDescent="0.35">
      <c r="B3" s="269"/>
      <c r="C3" s="163"/>
    </row>
    <row r="4" spans="1:4" x14ac:dyDescent="0.35">
      <c r="C4" s="39" t="s">
        <v>512</v>
      </c>
    </row>
    <row r="5" spans="1:4" x14ac:dyDescent="0.35">
      <c r="C5" s="163" t="s">
        <v>669</v>
      </c>
    </row>
    <row r="8" spans="1:4" ht="15.75" customHeight="1" x14ac:dyDescent="0.35"/>
    <row r="9" spans="1:4" ht="40.200000000000003" customHeight="1" x14ac:dyDescent="0.35">
      <c r="A9" s="708" t="s">
        <v>607</v>
      </c>
      <c r="B9" s="708"/>
      <c r="C9" s="708"/>
    </row>
    <row r="10" spans="1:4" x14ac:dyDescent="0.35">
      <c r="A10" s="65"/>
      <c r="B10" s="65"/>
      <c r="C10" s="50"/>
    </row>
    <row r="11" spans="1:4" x14ac:dyDescent="0.35">
      <c r="C11" s="51" t="s">
        <v>22</v>
      </c>
    </row>
    <row r="12" spans="1:4" x14ac:dyDescent="0.35">
      <c r="A12" s="38" t="s">
        <v>13</v>
      </c>
      <c r="B12" s="38" t="s">
        <v>14</v>
      </c>
      <c r="C12" s="52" t="s">
        <v>15</v>
      </c>
    </row>
    <row r="13" spans="1:4" x14ac:dyDescent="0.35">
      <c r="A13" s="38">
        <v>1</v>
      </c>
      <c r="B13" s="38">
        <v>2</v>
      </c>
      <c r="C13" s="54">
        <v>3</v>
      </c>
    </row>
    <row r="14" spans="1:4" ht="23.4" customHeight="1" x14ac:dyDescent="0.35">
      <c r="A14" s="40" t="s">
        <v>16</v>
      </c>
      <c r="B14" s="55" t="s">
        <v>311</v>
      </c>
      <c r="C14" s="56">
        <v>1803488.4</v>
      </c>
      <c r="D14" s="203"/>
    </row>
    <row r="15" spans="1:4" ht="38.4" customHeight="1" x14ac:dyDescent="0.35">
      <c r="A15" s="38" t="s">
        <v>17</v>
      </c>
      <c r="B15" s="66" t="s">
        <v>18</v>
      </c>
      <c r="C15" s="71">
        <v>1803488.4</v>
      </c>
      <c r="D15" s="203"/>
    </row>
    <row r="16" spans="1:4" ht="22.2" customHeight="1" x14ac:dyDescent="0.35">
      <c r="A16" s="38" t="s">
        <v>397</v>
      </c>
      <c r="B16" s="66" t="s">
        <v>340</v>
      </c>
      <c r="C16" s="71">
        <v>240584.30000000002</v>
      </c>
      <c r="D16" s="203"/>
    </row>
    <row r="17" spans="1:4" ht="21.6" customHeight="1" x14ac:dyDescent="0.35">
      <c r="A17" s="38" t="s">
        <v>398</v>
      </c>
      <c r="B17" s="66" t="s">
        <v>19</v>
      </c>
      <c r="C17" s="71">
        <v>228558.1</v>
      </c>
      <c r="D17" s="203"/>
    </row>
    <row r="18" spans="1:4" ht="54.75" customHeight="1" x14ac:dyDescent="0.35">
      <c r="A18" s="38" t="s">
        <v>394</v>
      </c>
      <c r="B18" s="66" t="s">
        <v>428</v>
      </c>
      <c r="C18" s="71">
        <v>228558.1</v>
      </c>
      <c r="D18" s="203"/>
    </row>
    <row r="19" spans="1:4" ht="36" x14ac:dyDescent="0.35">
      <c r="A19" s="38" t="s">
        <v>717</v>
      </c>
      <c r="B19" s="66" t="s">
        <v>718</v>
      </c>
      <c r="C19" s="71">
        <v>865</v>
      </c>
      <c r="D19" s="203"/>
    </row>
    <row r="20" spans="1:4" ht="36" x14ac:dyDescent="0.35">
      <c r="A20" s="38" t="s">
        <v>719</v>
      </c>
      <c r="B20" s="66" t="s">
        <v>720</v>
      </c>
      <c r="C20" s="71">
        <v>865</v>
      </c>
      <c r="D20" s="203"/>
    </row>
    <row r="21" spans="1:4" x14ac:dyDescent="0.35">
      <c r="A21" s="38" t="s">
        <v>713</v>
      </c>
      <c r="B21" s="66" t="s">
        <v>714</v>
      </c>
      <c r="C21" s="71">
        <v>11161.2</v>
      </c>
      <c r="D21" s="203"/>
    </row>
    <row r="22" spans="1:4" x14ac:dyDescent="0.35">
      <c r="A22" s="38" t="s">
        <v>715</v>
      </c>
      <c r="B22" s="66" t="s">
        <v>716</v>
      </c>
      <c r="C22" s="71">
        <v>11161.2</v>
      </c>
      <c r="D22" s="203"/>
    </row>
    <row r="23" spans="1:4" ht="39.6" customHeight="1" x14ac:dyDescent="0.35">
      <c r="A23" s="38" t="s">
        <v>399</v>
      </c>
      <c r="B23" s="67" t="s">
        <v>369</v>
      </c>
      <c r="C23" s="71">
        <v>532540.4</v>
      </c>
      <c r="D23" s="203"/>
    </row>
    <row r="24" spans="1:4" ht="34.5" customHeight="1" x14ac:dyDescent="0.35">
      <c r="A24" s="38" t="s">
        <v>420</v>
      </c>
      <c r="B24" s="67" t="s">
        <v>421</v>
      </c>
      <c r="C24" s="71">
        <v>275875.59999999998</v>
      </c>
      <c r="D24" s="203"/>
    </row>
    <row r="25" spans="1:4" ht="56.4" customHeight="1" x14ac:dyDescent="0.35">
      <c r="A25" s="38" t="s">
        <v>418</v>
      </c>
      <c r="B25" s="67" t="s">
        <v>419</v>
      </c>
      <c r="C25" s="71">
        <v>275875.59999999998</v>
      </c>
      <c r="D25" s="203"/>
    </row>
    <row r="26" spans="1:4" ht="90" x14ac:dyDescent="0.35">
      <c r="A26" s="38"/>
      <c r="B26" s="233" t="s">
        <v>535</v>
      </c>
      <c r="C26" s="73">
        <v>200176.5</v>
      </c>
      <c r="D26" s="203">
        <v>921</v>
      </c>
    </row>
    <row r="27" spans="1:4" ht="54" x14ac:dyDescent="0.35">
      <c r="A27" s="37"/>
      <c r="B27" s="232" t="s">
        <v>465</v>
      </c>
      <c r="C27" s="72">
        <v>75699.100000000006</v>
      </c>
      <c r="D27" s="203">
        <v>921</v>
      </c>
    </row>
    <row r="28" spans="1:4" ht="126" x14ac:dyDescent="0.35">
      <c r="A28" s="38" t="s">
        <v>610</v>
      </c>
      <c r="B28" s="66" t="s">
        <v>690</v>
      </c>
      <c r="C28" s="72">
        <v>13125.3</v>
      </c>
      <c r="D28" s="203">
        <v>902</v>
      </c>
    </row>
    <row r="29" spans="1:4" ht="126" x14ac:dyDescent="0.35">
      <c r="A29" s="38" t="s">
        <v>611</v>
      </c>
      <c r="B29" s="66" t="s">
        <v>691</v>
      </c>
      <c r="C29" s="72">
        <v>13125.3</v>
      </c>
      <c r="D29" s="203"/>
    </row>
    <row r="30" spans="1:4" ht="108" x14ac:dyDescent="0.35">
      <c r="A30" s="38" t="s">
        <v>622</v>
      </c>
      <c r="B30" s="66" t="s">
        <v>623</v>
      </c>
      <c r="C30" s="72">
        <v>18201</v>
      </c>
      <c r="D30" s="203">
        <v>902</v>
      </c>
    </row>
    <row r="31" spans="1:4" ht="108" x14ac:dyDescent="0.35">
      <c r="A31" s="38" t="s">
        <v>624</v>
      </c>
      <c r="B31" s="66" t="s">
        <v>625</v>
      </c>
      <c r="C31" s="72">
        <v>18201</v>
      </c>
      <c r="D31" s="203"/>
    </row>
    <row r="32" spans="1:4" s="49" customFormat="1" ht="36" x14ac:dyDescent="0.35">
      <c r="A32" s="37" t="s">
        <v>485</v>
      </c>
      <c r="B32" s="67" t="s">
        <v>486</v>
      </c>
      <c r="C32" s="71">
        <v>2863.3999999999996</v>
      </c>
      <c r="D32" s="203">
        <v>929</v>
      </c>
    </row>
    <row r="33" spans="1:4" s="49" customFormat="1" ht="57" customHeight="1" x14ac:dyDescent="0.35">
      <c r="A33" s="37" t="s">
        <v>487</v>
      </c>
      <c r="B33" s="67" t="s">
        <v>488</v>
      </c>
      <c r="C33" s="71">
        <v>2863.3999999999996</v>
      </c>
      <c r="D33" s="203"/>
    </row>
    <row r="34" spans="1:4" s="49" customFormat="1" ht="75" customHeight="1" x14ac:dyDescent="0.35">
      <c r="A34" s="37" t="s">
        <v>458</v>
      </c>
      <c r="B34" s="67" t="s">
        <v>462</v>
      </c>
      <c r="C34" s="71">
        <v>64498.1</v>
      </c>
      <c r="D34" s="203"/>
    </row>
    <row r="35" spans="1:4" s="49" customFormat="1" ht="72" x14ac:dyDescent="0.35">
      <c r="A35" s="37" t="s">
        <v>454</v>
      </c>
      <c r="B35" s="67" t="s">
        <v>455</v>
      </c>
      <c r="C35" s="71">
        <v>64498.1</v>
      </c>
      <c r="D35" s="203">
        <v>925</v>
      </c>
    </row>
    <row r="36" spans="1:4" s="49" customFormat="1" x14ac:dyDescent="0.35">
      <c r="A36" s="37" t="s">
        <v>572</v>
      </c>
      <c r="B36" s="67" t="s">
        <v>573</v>
      </c>
      <c r="C36" s="71">
        <v>496.2</v>
      </c>
      <c r="D36" s="203">
        <v>926</v>
      </c>
    </row>
    <row r="37" spans="1:4" s="49" customFormat="1" ht="36" customHeight="1" x14ac:dyDescent="0.35">
      <c r="A37" s="37" t="s">
        <v>571</v>
      </c>
      <c r="B37" s="67" t="s">
        <v>574</v>
      </c>
      <c r="C37" s="71">
        <v>496.2</v>
      </c>
      <c r="D37" s="203"/>
    </row>
    <row r="38" spans="1:4" s="49" customFormat="1" ht="54" x14ac:dyDescent="0.35">
      <c r="A38" s="37"/>
      <c r="B38" s="233" t="s">
        <v>575</v>
      </c>
      <c r="C38" s="73">
        <v>496.2</v>
      </c>
      <c r="D38" s="203"/>
    </row>
    <row r="39" spans="1:4" s="49" customFormat="1" ht="36" x14ac:dyDescent="0.35">
      <c r="A39" s="37" t="s">
        <v>621</v>
      </c>
      <c r="B39" s="67" t="s">
        <v>620</v>
      </c>
      <c r="C39" s="73">
        <v>39175.1</v>
      </c>
      <c r="D39" s="203"/>
    </row>
    <row r="40" spans="1:4" s="49" customFormat="1" ht="36" x14ac:dyDescent="0.35">
      <c r="A40" s="37" t="s">
        <v>619</v>
      </c>
      <c r="B40" s="67" t="s">
        <v>618</v>
      </c>
      <c r="C40" s="73">
        <v>39175.1</v>
      </c>
      <c r="D40" s="203"/>
    </row>
    <row r="41" spans="1:4" s="49" customFormat="1" ht="162" x14ac:dyDescent="0.35">
      <c r="A41" s="37"/>
      <c r="B41" s="233" t="s">
        <v>616</v>
      </c>
      <c r="C41" s="73">
        <v>39175.1</v>
      </c>
      <c r="D41" s="203">
        <v>925</v>
      </c>
    </row>
    <row r="42" spans="1:4" s="49" customFormat="1" ht="90" x14ac:dyDescent="0.35">
      <c r="A42" s="37" t="s">
        <v>642</v>
      </c>
      <c r="B42" s="67" t="s">
        <v>643</v>
      </c>
      <c r="C42" s="73">
        <v>93.9</v>
      </c>
      <c r="D42" s="203"/>
    </row>
    <row r="43" spans="1:4" s="49" customFormat="1" ht="90" x14ac:dyDescent="0.35">
      <c r="A43" s="37" t="s">
        <v>641</v>
      </c>
      <c r="B43" s="67" t="s">
        <v>640</v>
      </c>
      <c r="C43" s="73">
        <v>93.9</v>
      </c>
      <c r="D43" s="203"/>
    </row>
    <row r="44" spans="1:4" s="49" customFormat="1" ht="201.6" customHeight="1" x14ac:dyDescent="0.35">
      <c r="A44" s="37"/>
      <c r="B44" s="67" t="s">
        <v>665</v>
      </c>
      <c r="C44" s="73">
        <v>93.9</v>
      </c>
      <c r="D44" s="203">
        <v>925</v>
      </c>
    </row>
    <row r="45" spans="1:4" s="49" customFormat="1" ht="57.75" customHeight="1" x14ac:dyDescent="0.35">
      <c r="A45" s="37" t="s">
        <v>582</v>
      </c>
      <c r="B45" s="67" t="s">
        <v>583</v>
      </c>
      <c r="C45" s="71">
        <v>518.6</v>
      </c>
      <c r="D45" s="203"/>
    </row>
    <row r="46" spans="1:4" s="49" customFormat="1" ht="38.25" customHeight="1" x14ac:dyDescent="0.35">
      <c r="A46" s="37" t="s">
        <v>584</v>
      </c>
      <c r="B46" s="67" t="s">
        <v>585</v>
      </c>
      <c r="C46" s="71">
        <v>518.6</v>
      </c>
      <c r="D46" s="203"/>
    </row>
    <row r="47" spans="1:4" s="49" customFormat="1" ht="114.6" customHeight="1" x14ac:dyDescent="0.35">
      <c r="A47" s="37"/>
      <c r="B47" s="233" t="s">
        <v>586</v>
      </c>
      <c r="C47" s="71">
        <v>518.6</v>
      </c>
      <c r="D47" s="203">
        <v>925</v>
      </c>
    </row>
    <row r="48" spans="1:4" ht="17.25" customHeight="1" x14ac:dyDescent="0.35">
      <c r="A48" s="37" t="s">
        <v>400</v>
      </c>
      <c r="B48" s="67" t="s">
        <v>305</v>
      </c>
      <c r="C48" s="71">
        <v>117693.2</v>
      </c>
      <c r="D48" s="203"/>
    </row>
    <row r="49" spans="1:4" x14ac:dyDescent="0.35">
      <c r="A49" s="37" t="s">
        <v>391</v>
      </c>
      <c r="B49" s="67" t="s">
        <v>613</v>
      </c>
      <c r="C49" s="71">
        <v>117693.2</v>
      </c>
      <c r="D49" s="203"/>
    </row>
    <row r="50" spans="1:4" ht="234" x14ac:dyDescent="0.35">
      <c r="A50" s="57"/>
      <c r="B50" s="232" t="s">
        <v>612</v>
      </c>
      <c r="C50" s="73">
        <v>40</v>
      </c>
      <c r="D50" s="204">
        <v>926</v>
      </c>
    </row>
    <row r="51" spans="1:4" ht="54" x14ac:dyDescent="0.35">
      <c r="A51" s="57"/>
      <c r="B51" s="232" t="s">
        <v>408</v>
      </c>
      <c r="C51" s="73">
        <v>1903.3000000000002</v>
      </c>
      <c r="D51" s="204">
        <v>929</v>
      </c>
    </row>
    <row r="52" spans="1:4" ht="72" x14ac:dyDescent="0.35">
      <c r="A52" s="57"/>
      <c r="B52" s="233" t="s">
        <v>503</v>
      </c>
      <c r="C52" s="73">
        <v>14222.4</v>
      </c>
      <c r="D52" s="204">
        <v>902</v>
      </c>
    </row>
    <row r="53" spans="1:4" ht="36" x14ac:dyDescent="0.35">
      <c r="A53" s="57"/>
      <c r="B53" s="233" t="s">
        <v>538</v>
      </c>
      <c r="C53" s="73">
        <v>1690.7</v>
      </c>
      <c r="D53" s="204">
        <v>902</v>
      </c>
    </row>
    <row r="54" spans="1:4" ht="79.95" customHeight="1" x14ac:dyDescent="0.35">
      <c r="A54" s="57"/>
      <c r="B54" s="233" t="s">
        <v>536</v>
      </c>
      <c r="C54" s="73">
        <v>11073.6</v>
      </c>
      <c r="D54" s="204">
        <v>925</v>
      </c>
    </row>
    <row r="55" spans="1:4" ht="54" x14ac:dyDescent="0.35">
      <c r="A55" s="57"/>
      <c r="B55" s="233" t="s">
        <v>510</v>
      </c>
      <c r="C55" s="73">
        <v>1139.8</v>
      </c>
      <c r="D55" s="204">
        <v>925</v>
      </c>
    </row>
    <row r="56" spans="1:4" ht="145.94999999999999" customHeight="1" x14ac:dyDescent="0.35">
      <c r="A56" s="57"/>
      <c r="B56" s="233" t="s">
        <v>577</v>
      </c>
      <c r="C56" s="73">
        <v>4966.3999999999996</v>
      </c>
      <c r="D56" s="204">
        <v>929</v>
      </c>
    </row>
    <row r="57" spans="1:4" ht="54" x14ac:dyDescent="0.35">
      <c r="A57" s="57"/>
      <c r="B57" s="233" t="s">
        <v>587</v>
      </c>
      <c r="C57" s="73">
        <v>33037.5</v>
      </c>
      <c r="D57" s="204">
        <v>902</v>
      </c>
    </row>
    <row r="58" spans="1:4" ht="90" x14ac:dyDescent="0.35">
      <c r="A58" s="57"/>
      <c r="B58" s="233" t="s">
        <v>617</v>
      </c>
      <c r="C58" s="73">
        <v>16290</v>
      </c>
      <c r="D58" s="204">
        <v>926</v>
      </c>
    </row>
    <row r="59" spans="1:4" ht="54" x14ac:dyDescent="0.35">
      <c r="A59" s="57"/>
      <c r="B59" s="233" t="s">
        <v>725</v>
      </c>
      <c r="C59" s="73">
        <v>9603</v>
      </c>
      <c r="D59" s="204">
        <v>902</v>
      </c>
    </row>
    <row r="60" spans="1:4" ht="144" x14ac:dyDescent="0.35">
      <c r="A60" s="57"/>
      <c r="B60" s="233" t="s">
        <v>741</v>
      </c>
      <c r="C60" s="73">
        <v>1395.8</v>
      </c>
      <c r="D60" s="204">
        <v>925</v>
      </c>
    </row>
    <row r="61" spans="1:4" ht="72" x14ac:dyDescent="0.35">
      <c r="A61" s="57"/>
      <c r="B61" s="233" t="s">
        <v>742</v>
      </c>
      <c r="C61" s="73">
        <v>22330.7</v>
      </c>
      <c r="D61" s="204"/>
    </row>
    <row r="62" spans="1:4" ht="36" x14ac:dyDescent="0.35">
      <c r="A62" s="38" t="s">
        <v>401</v>
      </c>
      <c r="B62" s="66" t="s">
        <v>341</v>
      </c>
      <c r="C62" s="71">
        <v>966909.1</v>
      </c>
      <c r="D62" s="203"/>
    </row>
    <row r="63" spans="1:4" ht="39" customHeight="1" x14ac:dyDescent="0.35">
      <c r="A63" s="38" t="s">
        <v>402</v>
      </c>
      <c r="B63" s="66" t="s">
        <v>20</v>
      </c>
      <c r="C63" s="71">
        <v>844406.49999999988</v>
      </c>
      <c r="D63" s="203"/>
    </row>
    <row r="64" spans="1:4" ht="36" x14ac:dyDescent="0.35">
      <c r="A64" s="38" t="s">
        <v>392</v>
      </c>
      <c r="B64" s="66" t="s">
        <v>614</v>
      </c>
      <c r="C64" s="71">
        <v>844406.49999999988</v>
      </c>
      <c r="D64" s="203"/>
    </row>
    <row r="65" spans="1:7" ht="144" x14ac:dyDescent="0.35">
      <c r="A65" s="38"/>
      <c r="B65" s="232" t="s">
        <v>422</v>
      </c>
      <c r="C65" s="73">
        <v>187.5</v>
      </c>
      <c r="D65" s="203">
        <v>929</v>
      </c>
    </row>
    <row r="66" spans="1:7" ht="54" x14ac:dyDescent="0.35">
      <c r="A66" s="38"/>
      <c r="B66" s="233" t="s">
        <v>423</v>
      </c>
      <c r="C66" s="331">
        <v>11800.6</v>
      </c>
      <c r="D66" s="204">
        <v>902</v>
      </c>
    </row>
    <row r="67" spans="1:7" s="58" customFormat="1" ht="72" x14ac:dyDescent="0.35">
      <c r="A67" s="57"/>
      <c r="B67" s="233" t="s">
        <v>261</v>
      </c>
      <c r="C67" s="331">
        <v>2484.5</v>
      </c>
      <c r="D67" s="204">
        <v>925</v>
      </c>
    </row>
    <row r="68" spans="1:7" s="58" customFormat="1" ht="160.94999999999999" customHeight="1" x14ac:dyDescent="0.35">
      <c r="A68" s="38"/>
      <c r="B68" s="508" t="s">
        <v>615</v>
      </c>
      <c r="C68" s="331">
        <v>729.8</v>
      </c>
      <c r="D68" s="204">
        <v>902</v>
      </c>
    </row>
    <row r="69" spans="1:7" ht="80.25" customHeight="1" x14ac:dyDescent="0.35">
      <c r="A69" s="68"/>
      <c r="B69" s="233" t="s">
        <v>21</v>
      </c>
      <c r="C69" s="331">
        <v>63</v>
      </c>
      <c r="D69" s="204">
        <v>902</v>
      </c>
    </row>
    <row r="70" spans="1:7" s="58" customFormat="1" ht="147.75" customHeight="1" x14ac:dyDescent="0.35">
      <c r="A70" s="57"/>
      <c r="B70" s="233" t="s">
        <v>264</v>
      </c>
      <c r="C70" s="331">
        <v>2160.1</v>
      </c>
      <c r="D70" s="204"/>
    </row>
    <row r="71" spans="1:7" s="58" customFormat="1" ht="60.75" customHeight="1" x14ac:dyDescent="0.35">
      <c r="A71" s="57" t="s">
        <v>260</v>
      </c>
      <c r="B71" s="233" t="s">
        <v>590</v>
      </c>
      <c r="C71" s="331">
        <v>2160.1</v>
      </c>
      <c r="D71" s="204">
        <v>925</v>
      </c>
    </row>
    <row r="72" spans="1:7" ht="144" x14ac:dyDescent="0.35">
      <c r="A72" s="57"/>
      <c r="B72" s="233" t="s">
        <v>383</v>
      </c>
      <c r="C72" s="331">
        <v>85343.200000000012</v>
      </c>
      <c r="D72" s="204">
        <v>921</v>
      </c>
    </row>
    <row r="73" spans="1:7" ht="132" customHeight="1" x14ac:dyDescent="0.35">
      <c r="A73" s="38"/>
      <c r="B73" s="233" t="s">
        <v>507</v>
      </c>
      <c r="C73" s="331">
        <v>3298.8</v>
      </c>
      <c r="D73" s="204">
        <v>902</v>
      </c>
    </row>
    <row r="74" spans="1:7" ht="93.75" customHeight="1" x14ac:dyDescent="0.35">
      <c r="A74" s="57"/>
      <c r="B74" s="233" t="s">
        <v>344</v>
      </c>
      <c r="C74" s="331">
        <v>728273.9</v>
      </c>
      <c r="D74" s="204"/>
    </row>
    <row r="75" spans="1:7" s="58" customFormat="1" ht="20.25" customHeight="1" x14ac:dyDescent="0.35">
      <c r="A75" s="57" t="s">
        <v>260</v>
      </c>
      <c r="B75" s="233" t="s">
        <v>262</v>
      </c>
      <c r="C75" s="72">
        <v>251582.4</v>
      </c>
      <c r="D75" s="204">
        <v>925</v>
      </c>
    </row>
    <row r="76" spans="1:7" s="58" customFormat="1" x14ac:dyDescent="0.35">
      <c r="A76" s="57"/>
      <c r="B76" s="332" t="s">
        <v>263</v>
      </c>
      <c r="C76" s="72">
        <v>476691.5</v>
      </c>
      <c r="D76" s="204">
        <v>925</v>
      </c>
    </row>
    <row r="77" spans="1:7" s="58" customFormat="1" ht="181.95" customHeight="1" x14ac:dyDescent="0.35">
      <c r="A77" s="57"/>
      <c r="B77" s="333" t="s">
        <v>484</v>
      </c>
      <c r="C77" s="331">
        <v>2222.1999999999998</v>
      </c>
      <c r="D77" s="204">
        <v>925</v>
      </c>
    </row>
    <row r="78" spans="1:7" s="58" customFormat="1" ht="96.75" customHeight="1" x14ac:dyDescent="0.35">
      <c r="A78" s="57"/>
      <c r="B78" s="233" t="s">
        <v>442</v>
      </c>
      <c r="C78" s="331">
        <v>5574.7</v>
      </c>
      <c r="D78" s="205">
        <v>925</v>
      </c>
    </row>
    <row r="79" spans="1:7" s="58" customFormat="1" ht="126" x14ac:dyDescent="0.35">
      <c r="A79" s="57"/>
      <c r="B79" s="233" t="s">
        <v>551</v>
      </c>
      <c r="C79" s="331">
        <v>2268.1999999999998</v>
      </c>
      <c r="D79" s="205">
        <v>925</v>
      </c>
    </row>
    <row r="80" spans="1:7" s="46" customFormat="1" ht="94.5" customHeight="1" x14ac:dyDescent="0.3">
      <c r="A80" s="37" t="s">
        <v>403</v>
      </c>
      <c r="B80" s="66" t="s">
        <v>259</v>
      </c>
      <c r="C80" s="74">
        <v>6292.9</v>
      </c>
      <c r="D80" s="204" t="s">
        <v>378</v>
      </c>
      <c r="E80" s="43"/>
      <c r="F80" s="44"/>
      <c r="G80" s="45"/>
    </row>
    <row r="81" spans="1:13" s="46" customFormat="1" ht="95.25" customHeight="1" x14ac:dyDescent="0.3">
      <c r="A81" s="37" t="s">
        <v>396</v>
      </c>
      <c r="B81" s="66" t="s">
        <v>8</v>
      </c>
      <c r="C81" s="74">
        <v>6292.9</v>
      </c>
      <c r="D81" s="205">
        <v>925</v>
      </c>
      <c r="E81" s="43"/>
      <c r="H81" s="319"/>
      <c r="I81" s="320"/>
      <c r="J81" s="320"/>
      <c r="K81" s="320"/>
      <c r="L81" s="320"/>
      <c r="M81" s="320"/>
    </row>
    <row r="82" spans="1:13" ht="73.5" customHeight="1" x14ac:dyDescent="0.35">
      <c r="A82" s="38" t="s">
        <v>404</v>
      </c>
      <c r="B82" s="227" t="s">
        <v>382</v>
      </c>
      <c r="C82" s="71">
        <v>19.8</v>
      </c>
      <c r="D82" s="204"/>
      <c r="H82" s="320"/>
      <c r="I82" s="320"/>
      <c r="J82" s="320"/>
      <c r="K82" s="320"/>
      <c r="L82" s="320"/>
      <c r="M82" s="320"/>
    </row>
    <row r="83" spans="1:13" ht="74.25" customHeight="1" x14ac:dyDescent="0.35">
      <c r="A83" s="38" t="s">
        <v>393</v>
      </c>
      <c r="B83" s="227" t="s">
        <v>370</v>
      </c>
      <c r="C83" s="71">
        <v>19.8</v>
      </c>
      <c r="D83" s="204">
        <v>902</v>
      </c>
      <c r="H83" s="320"/>
      <c r="I83" s="320"/>
      <c r="J83" s="320"/>
      <c r="K83" s="320"/>
      <c r="L83" s="320"/>
      <c r="M83" s="320"/>
    </row>
    <row r="84" spans="1:13" ht="74.25" customHeight="1" x14ac:dyDescent="0.35">
      <c r="A84" s="38" t="s">
        <v>670</v>
      </c>
      <c r="B84" s="227" t="s">
        <v>672</v>
      </c>
      <c r="C84" s="71">
        <v>5560</v>
      </c>
      <c r="D84" s="204"/>
      <c r="H84" s="320"/>
      <c r="I84" s="320"/>
      <c r="J84" s="320"/>
      <c r="K84" s="320"/>
      <c r="L84" s="320"/>
      <c r="M84" s="320"/>
    </row>
    <row r="85" spans="1:13" ht="74.25" customHeight="1" x14ac:dyDescent="0.35">
      <c r="A85" s="38" t="s">
        <v>671</v>
      </c>
      <c r="B85" s="227" t="s">
        <v>673</v>
      </c>
      <c r="C85" s="71">
        <v>5560</v>
      </c>
      <c r="D85" s="204">
        <v>925</v>
      </c>
      <c r="H85" s="320"/>
      <c r="I85" s="320"/>
      <c r="J85" s="320"/>
      <c r="K85" s="320"/>
      <c r="L85" s="320"/>
      <c r="M85" s="320"/>
    </row>
    <row r="86" spans="1:13" ht="126" x14ac:dyDescent="0.35">
      <c r="A86" s="38" t="s">
        <v>508</v>
      </c>
      <c r="B86" s="227" t="s">
        <v>689</v>
      </c>
      <c r="C86" s="71">
        <v>35518.6</v>
      </c>
      <c r="D86" s="204"/>
      <c r="H86" s="320"/>
      <c r="I86" s="320"/>
      <c r="J86" s="320"/>
      <c r="K86" s="320"/>
      <c r="L86" s="320"/>
      <c r="M86" s="320"/>
    </row>
    <row r="87" spans="1:13" ht="126" x14ac:dyDescent="0.35">
      <c r="A87" s="38" t="s">
        <v>509</v>
      </c>
      <c r="B87" s="227" t="s">
        <v>688</v>
      </c>
      <c r="C87" s="71">
        <v>35518.6</v>
      </c>
      <c r="D87" s="204">
        <v>925</v>
      </c>
      <c r="H87" s="320"/>
      <c r="I87" s="320"/>
      <c r="J87" s="320"/>
      <c r="K87" s="320"/>
      <c r="L87" s="320"/>
      <c r="M87" s="320"/>
    </row>
    <row r="88" spans="1:13" ht="36" x14ac:dyDescent="0.35">
      <c r="A88" s="38" t="s">
        <v>562</v>
      </c>
      <c r="B88" s="227" t="s">
        <v>561</v>
      </c>
      <c r="C88" s="439">
        <v>75111.3</v>
      </c>
    </row>
    <row r="89" spans="1:13" ht="36" x14ac:dyDescent="0.35">
      <c r="A89" s="38" t="s">
        <v>563</v>
      </c>
      <c r="B89" s="227" t="s">
        <v>564</v>
      </c>
      <c r="C89" s="439">
        <v>75111.3</v>
      </c>
    </row>
    <row r="90" spans="1:13" ht="18" customHeight="1" x14ac:dyDescent="0.35">
      <c r="A90" s="38" t="s">
        <v>407</v>
      </c>
      <c r="B90" s="227" t="s">
        <v>432</v>
      </c>
      <c r="C90" s="71">
        <v>63454.6</v>
      </c>
      <c r="D90" s="204"/>
    </row>
    <row r="91" spans="1:13" ht="72" x14ac:dyDescent="0.35">
      <c r="A91" s="89" t="s">
        <v>433</v>
      </c>
      <c r="B91" s="229" t="s">
        <v>434</v>
      </c>
      <c r="C91" s="71">
        <v>2360.3999999999996</v>
      </c>
      <c r="D91" s="204"/>
    </row>
    <row r="92" spans="1:13" ht="90" x14ac:dyDescent="0.35">
      <c r="A92" s="89" t="s">
        <v>395</v>
      </c>
      <c r="B92" s="229" t="s">
        <v>5</v>
      </c>
      <c r="C92" s="71">
        <v>2360.3999999999996</v>
      </c>
      <c r="D92" s="204"/>
    </row>
    <row r="93" spans="1:13" x14ac:dyDescent="0.35">
      <c r="A93" s="38" t="s">
        <v>692</v>
      </c>
      <c r="B93" s="227" t="s">
        <v>693</v>
      </c>
      <c r="C93" s="74">
        <v>61094.2</v>
      </c>
      <c r="D93" s="204"/>
    </row>
    <row r="94" spans="1:13" ht="36" x14ac:dyDescent="0.35">
      <c r="A94" s="38" t="s">
        <v>694</v>
      </c>
      <c r="B94" s="227" t="s">
        <v>695</v>
      </c>
      <c r="C94" s="74">
        <v>61094.2</v>
      </c>
      <c r="D94" s="204"/>
      <c r="E94" s="64"/>
      <c r="F94" s="64"/>
    </row>
    <row r="95" spans="1:13" ht="144" x14ac:dyDescent="0.35">
      <c r="A95" s="38"/>
      <c r="B95" s="673" t="s">
        <v>745</v>
      </c>
      <c r="C95" s="331">
        <v>12753</v>
      </c>
      <c r="D95" s="204">
        <v>902</v>
      </c>
      <c r="E95" s="64"/>
      <c r="F95" s="64"/>
    </row>
    <row r="96" spans="1:13" ht="72" x14ac:dyDescent="0.35">
      <c r="A96" s="38"/>
      <c r="B96" s="673" t="s">
        <v>746</v>
      </c>
      <c r="C96" s="331">
        <v>12841.199999999999</v>
      </c>
      <c r="D96" s="204">
        <v>902</v>
      </c>
      <c r="E96" s="64"/>
      <c r="F96" s="64"/>
    </row>
    <row r="97" spans="1:6" ht="54" x14ac:dyDescent="0.35">
      <c r="A97" s="38"/>
      <c r="B97" s="673" t="s">
        <v>747</v>
      </c>
      <c r="C97" s="331">
        <v>35500</v>
      </c>
      <c r="D97" s="204">
        <v>925</v>
      </c>
      <c r="E97" s="64">
        <v>926</v>
      </c>
      <c r="F97" s="64">
        <v>929</v>
      </c>
    </row>
    <row r="98" spans="1:6" x14ac:dyDescent="0.35">
      <c r="A98" s="77"/>
      <c r="B98" s="118"/>
      <c r="C98" s="672"/>
      <c r="D98" s="204"/>
      <c r="E98" s="64"/>
      <c r="F98" s="64"/>
    </row>
    <row r="99" spans="1:6" x14ac:dyDescent="0.35">
      <c r="A99" s="77"/>
      <c r="B99" s="118"/>
      <c r="C99" s="672"/>
      <c r="D99" s="204"/>
      <c r="E99" s="64"/>
      <c r="F99" s="64"/>
    </row>
    <row r="100" spans="1:6" x14ac:dyDescent="0.35">
      <c r="A100" s="77"/>
      <c r="B100" s="118"/>
      <c r="C100" s="61"/>
    </row>
    <row r="101" spans="1:6" x14ac:dyDescent="0.35">
      <c r="A101" s="69" t="s">
        <v>375</v>
      </c>
      <c r="B101" s="42"/>
      <c r="C101" s="43"/>
      <c r="D101" s="62"/>
    </row>
    <row r="102" spans="1:6" x14ac:dyDescent="0.35">
      <c r="A102" s="69" t="s">
        <v>376</v>
      </c>
      <c r="B102" s="42"/>
      <c r="C102" s="43"/>
      <c r="D102" s="62"/>
    </row>
    <row r="103" spans="1:6" x14ac:dyDescent="0.35">
      <c r="A103" s="70" t="s">
        <v>377</v>
      </c>
      <c r="B103" s="42"/>
      <c r="C103" s="48" t="s">
        <v>388</v>
      </c>
      <c r="D103" s="62"/>
    </row>
    <row r="435" spans="11:12" x14ac:dyDescent="0.35">
      <c r="K435" s="34">
        <v>135.4</v>
      </c>
      <c r="L435" s="34">
        <v>140.9</v>
      </c>
    </row>
    <row r="436" spans="11:12" x14ac:dyDescent="0.35">
      <c r="K436" s="34">
        <v>27088.9</v>
      </c>
      <c r="L436" s="34">
        <v>28171.4</v>
      </c>
    </row>
  </sheetData>
  <autoFilter ref="B1:D436"/>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08"/>
  <sheetViews>
    <sheetView zoomScale="80" zoomScaleNormal="80" workbookViewId="0">
      <selection activeCell="O11" sqref="O11"/>
    </sheetView>
  </sheetViews>
  <sheetFormatPr defaultColWidth="8.88671875" defaultRowHeight="18" x14ac:dyDescent="0.35"/>
  <cols>
    <col min="1" max="1" width="28.6640625" style="34" customWidth="1"/>
    <col min="2" max="2" width="69.109375" style="34" customWidth="1"/>
    <col min="3" max="3" width="13.5546875" style="63" customWidth="1"/>
    <col min="4" max="4" width="14.109375" style="34" customWidth="1"/>
    <col min="5" max="5" width="12.33203125" style="75" hidden="1" customWidth="1"/>
    <col min="6" max="10" width="0" style="34" hidden="1" customWidth="1"/>
    <col min="11" max="16384" width="8.88671875" style="34"/>
  </cols>
  <sheetData>
    <row r="1" spans="1:5" x14ac:dyDescent="0.35">
      <c r="A1" s="64"/>
      <c r="B1" s="64"/>
      <c r="C1" s="34"/>
      <c r="D1" s="39" t="s">
        <v>513</v>
      </c>
      <c r="E1" s="34"/>
    </row>
    <row r="2" spans="1:5" x14ac:dyDescent="0.35">
      <c r="A2" s="64"/>
      <c r="B2" s="64"/>
      <c r="C2" s="34"/>
      <c r="D2" s="163" t="s">
        <v>752</v>
      </c>
      <c r="E2" s="34"/>
    </row>
    <row r="3" spans="1:5" x14ac:dyDescent="0.35">
      <c r="A3" s="64"/>
      <c r="B3" s="64"/>
      <c r="C3" s="34"/>
      <c r="D3" s="163"/>
      <c r="E3" s="34"/>
    </row>
    <row r="4" spans="1:5" x14ac:dyDescent="0.35">
      <c r="D4" s="39" t="s">
        <v>513</v>
      </c>
    </row>
    <row r="5" spans="1:5" x14ac:dyDescent="0.35">
      <c r="D5" s="163" t="s">
        <v>669</v>
      </c>
    </row>
    <row r="6" spans="1:5" ht="16.2" customHeight="1" x14ac:dyDescent="0.35"/>
    <row r="7" spans="1:5" ht="40.200000000000003" customHeight="1" x14ac:dyDescent="0.35">
      <c r="A7" s="708" t="s">
        <v>608</v>
      </c>
      <c r="B7" s="708"/>
      <c r="C7" s="708"/>
      <c r="D7" s="708"/>
    </row>
    <row r="8" spans="1:5" ht="9" customHeight="1" x14ac:dyDescent="0.35">
      <c r="A8" s="449"/>
      <c r="B8" s="449"/>
      <c r="C8" s="50"/>
    </row>
    <row r="9" spans="1:5" x14ac:dyDescent="0.35">
      <c r="D9" s="51" t="s">
        <v>22</v>
      </c>
    </row>
    <row r="10" spans="1:5" x14ac:dyDescent="0.35">
      <c r="A10" s="711" t="s">
        <v>13</v>
      </c>
      <c r="B10" s="711" t="s">
        <v>14</v>
      </c>
      <c r="C10" s="709" t="s">
        <v>15</v>
      </c>
      <c r="D10" s="710"/>
    </row>
    <row r="11" spans="1:5" x14ac:dyDescent="0.35">
      <c r="A11" s="712"/>
      <c r="B11" s="712"/>
      <c r="C11" s="52" t="s">
        <v>506</v>
      </c>
      <c r="D11" s="52" t="s">
        <v>594</v>
      </c>
    </row>
    <row r="12" spans="1:5" x14ac:dyDescent="0.35">
      <c r="A12" s="53">
        <v>1</v>
      </c>
      <c r="B12" s="53">
        <v>2</v>
      </c>
      <c r="C12" s="54">
        <v>3</v>
      </c>
      <c r="D12" s="54">
        <v>4</v>
      </c>
    </row>
    <row r="13" spans="1:5" x14ac:dyDescent="0.35">
      <c r="A13" s="40" t="s">
        <v>16</v>
      </c>
      <c r="B13" s="55" t="s">
        <v>311</v>
      </c>
      <c r="C13" s="56">
        <v>1273911.2000000002</v>
      </c>
      <c r="D13" s="56">
        <v>1176939.6000000001</v>
      </c>
    </row>
    <row r="14" spans="1:5" ht="36" x14ac:dyDescent="0.35">
      <c r="A14" s="38" t="s">
        <v>17</v>
      </c>
      <c r="B14" s="66" t="s">
        <v>18</v>
      </c>
      <c r="C14" s="71">
        <v>1273911.2000000002</v>
      </c>
      <c r="D14" s="71">
        <v>1176939.6000000001</v>
      </c>
    </row>
    <row r="15" spans="1:5" ht="36" x14ac:dyDescent="0.35">
      <c r="A15" s="38" t="s">
        <v>397</v>
      </c>
      <c r="B15" s="66" t="s">
        <v>340</v>
      </c>
      <c r="C15" s="71">
        <v>169927</v>
      </c>
      <c r="D15" s="71">
        <v>182469.7</v>
      </c>
    </row>
    <row r="16" spans="1:5" x14ac:dyDescent="0.35">
      <c r="A16" s="38" t="s">
        <v>398</v>
      </c>
      <c r="B16" s="66" t="s">
        <v>19</v>
      </c>
      <c r="C16" s="71">
        <v>169927</v>
      </c>
      <c r="D16" s="71">
        <v>182469.7</v>
      </c>
    </row>
    <row r="17" spans="1:5" ht="54" x14ac:dyDescent="0.35">
      <c r="A17" s="38" t="s">
        <v>394</v>
      </c>
      <c r="B17" s="66" t="s">
        <v>428</v>
      </c>
      <c r="C17" s="71">
        <v>169927</v>
      </c>
      <c r="D17" s="71">
        <v>182469.7</v>
      </c>
    </row>
    <row r="18" spans="1:5" ht="36" x14ac:dyDescent="0.35">
      <c r="A18" s="38" t="s">
        <v>399</v>
      </c>
      <c r="B18" s="67" t="s">
        <v>369</v>
      </c>
      <c r="C18" s="71">
        <v>183733.00000000003</v>
      </c>
      <c r="D18" s="71">
        <v>72511.3</v>
      </c>
    </row>
    <row r="19" spans="1:5" ht="36" x14ac:dyDescent="0.35">
      <c r="A19" s="38" t="s">
        <v>420</v>
      </c>
      <c r="B19" s="67" t="s">
        <v>421</v>
      </c>
      <c r="C19" s="71">
        <v>77741.399999999994</v>
      </c>
      <c r="D19" s="71">
        <v>0</v>
      </c>
    </row>
    <row r="20" spans="1:5" ht="54" x14ac:dyDescent="0.35">
      <c r="A20" s="38" t="s">
        <v>418</v>
      </c>
      <c r="B20" s="67" t="s">
        <v>419</v>
      </c>
      <c r="C20" s="71">
        <v>77741.399999999994</v>
      </c>
      <c r="D20" s="71">
        <v>0</v>
      </c>
    </row>
    <row r="21" spans="1:5" ht="90" x14ac:dyDescent="0.35">
      <c r="A21" s="38"/>
      <c r="B21" s="233" t="s">
        <v>535</v>
      </c>
      <c r="C21" s="71">
        <v>17429.099999999999</v>
      </c>
      <c r="D21" s="71">
        <v>0</v>
      </c>
    </row>
    <row r="22" spans="1:5" ht="54" x14ac:dyDescent="0.35">
      <c r="A22" s="38"/>
      <c r="B22" s="232" t="s">
        <v>465</v>
      </c>
      <c r="C22" s="71">
        <v>60312.3</v>
      </c>
      <c r="D22" s="71">
        <v>0</v>
      </c>
      <c r="E22" s="75">
        <v>921</v>
      </c>
    </row>
    <row r="23" spans="1:5" s="49" customFormat="1" ht="72" x14ac:dyDescent="0.35">
      <c r="A23" s="37" t="s">
        <v>458</v>
      </c>
      <c r="B23" s="67" t="s">
        <v>459</v>
      </c>
      <c r="C23" s="71">
        <v>61420.800000000003</v>
      </c>
      <c r="D23" s="71">
        <v>60879</v>
      </c>
      <c r="E23" s="75"/>
    </row>
    <row r="24" spans="1:5" s="49" customFormat="1" ht="72" customHeight="1" x14ac:dyDescent="0.35">
      <c r="A24" s="37" t="s">
        <v>454</v>
      </c>
      <c r="B24" s="67" t="s">
        <v>455</v>
      </c>
      <c r="C24" s="71">
        <v>61420.800000000003</v>
      </c>
      <c r="D24" s="71">
        <v>60879</v>
      </c>
      <c r="E24" s="75">
        <v>925</v>
      </c>
    </row>
    <row r="25" spans="1:5" s="49" customFormat="1" x14ac:dyDescent="0.35">
      <c r="A25" s="37" t="s">
        <v>572</v>
      </c>
      <c r="B25" s="67" t="s">
        <v>573</v>
      </c>
      <c r="C25" s="71">
        <v>496.2</v>
      </c>
      <c r="D25" s="71">
        <v>444.3</v>
      </c>
      <c r="E25" s="75"/>
    </row>
    <row r="26" spans="1:5" s="49" customFormat="1" ht="36" x14ac:dyDescent="0.35">
      <c r="A26" s="37" t="s">
        <v>571</v>
      </c>
      <c r="B26" s="67" t="s">
        <v>574</v>
      </c>
      <c r="C26" s="71">
        <v>496.2</v>
      </c>
      <c r="D26" s="71">
        <v>444.3</v>
      </c>
      <c r="E26" s="75">
        <v>926</v>
      </c>
    </row>
    <row r="27" spans="1:5" s="49" customFormat="1" ht="72" x14ac:dyDescent="0.35">
      <c r="A27" s="37"/>
      <c r="B27" s="233" t="s">
        <v>575</v>
      </c>
      <c r="C27" s="71">
        <v>496.2</v>
      </c>
      <c r="D27" s="71">
        <v>444.3</v>
      </c>
      <c r="E27" s="75"/>
    </row>
    <row r="28" spans="1:5" s="49" customFormat="1" ht="54" x14ac:dyDescent="0.35">
      <c r="A28" s="37" t="s">
        <v>582</v>
      </c>
      <c r="B28" s="67" t="s">
        <v>583</v>
      </c>
      <c r="C28" s="71">
        <v>518.6</v>
      </c>
      <c r="D28" s="71">
        <v>0</v>
      </c>
      <c r="E28" s="75"/>
    </row>
    <row r="29" spans="1:5" s="49" customFormat="1" ht="36" x14ac:dyDescent="0.35">
      <c r="A29" s="37" t="s">
        <v>584</v>
      </c>
      <c r="B29" s="67" t="s">
        <v>585</v>
      </c>
      <c r="C29" s="71">
        <v>518.6</v>
      </c>
      <c r="D29" s="71">
        <v>0</v>
      </c>
      <c r="E29" s="75"/>
    </row>
    <row r="30" spans="1:5" s="49" customFormat="1" ht="126" x14ac:dyDescent="0.35">
      <c r="A30" s="37"/>
      <c r="B30" s="233" t="s">
        <v>586</v>
      </c>
      <c r="C30" s="71">
        <v>518.6</v>
      </c>
      <c r="D30" s="71">
        <v>0</v>
      </c>
      <c r="E30" s="75">
        <v>925</v>
      </c>
    </row>
    <row r="31" spans="1:5" x14ac:dyDescent="0.35">
      <c r="A31" s="37" t="s">
        <v>400</v>
      </c>
      <c r="B31" s="67" t="s">
        <v>305</v>
      </c>
      <c r="C31" s="71">
        <v>43556</v>
      </c>
      <c r="D31" s="71">
        <v>11188</v>
      </c>
    </row>
    <row r="32" spans="1:5" x14ac:dyDescent="0.35">
      <c r="A32" s="37" t="s">
        <v>391</v>
      </c>
      <c r="B32" s="67" t="s">
        <v>613</v>
      </c>
      <c r="C32" s="71">
        <v>43556</v>
      </c>
      <c r="D32" s="71">
        <v>11188</v>
      </c>
    </row>
    <row r="33" spans="1:5" ht="234" x14ac:dyDescent="0.35">
      <c r="A33" s="57"/>
      <c r="B33" s="232" t="s">
        <v>612</v>
      </c>
      <c r="C33" s="73">
        <v>40</v>
      </c>
      <c r="D33" s="73">
        <v>40</v>
      </c>
      <c r="E33" s="75">
        <v>926</v>
      </c>
    </row>
    <row r="34" spans="1:5" ht="54" x14ac:dyDescent="0.35">
      <c r="A34" s="57"/>
      <c r="B34" s="232" t="s">
        <v>408</v>
      </c>
      <c r="C34" s="73">
        <v>1903.3000000000002</v>
      </c>
      <c r="D34" s="73">
        <v>1903.3000000000002</v>
      </c>
      <c r="E34" s="75">
        <v>929</v>
      </c>
    </row>
    <row r="35" spans="1:5" ht="72" x14ac:dyDescent="0.35">
      <c r="A35" s="57"/>
      <c r="B35" s="232" t="s">
        <v>536</v>
      </c>
      <c r="C35" s="73">
        <v>10072</v>
      </c>
      <c r="D35" s="73">
        <v>9244.7000000000007</v>
      </c>
      <c r="E35" s="75">
        <v>925</v>
      </c>
    </row>
    <row r="36" spans="1:5" ht="162" x14ac:dyDescent="0.35">
      <c r="A36" s="57"/>
      <c r="B36" s="232" t="s">
        <v>537</v>
      </c>
      <c r="C36" s="73">
        <v>3510.5</v>
      </c>
      <c r="D36" s="73">
        <v>0</v>
      </c>
      <c r="E36" s="75">
        <v>925</v>
      </c>
    </row>
    <row r="37" spans="1:5" ht="54" x14ac:dyDescent="0.35">
      <c r="A37" s="57"/>
      <c r="B37" s="232" t="s">
        <v>725</v>
      </c>
      <c r="C37" s="73">
        <v>1164</v>
      </c>
      <c r="D37" s="73">
        <v>0</v>
      </c>
      <c r="E37" s="75">
        <v>902</v>
      </c>
    </row>
    <row r="38" spans="1:5" ht="72" x14ac:dyDescent="0.35">
      <c r="A38" s="57"/>
      <c r="B38" s="233" t="s">
        <v>738</v>
      </c>
      <c r="C38" s="73">
        <v>26866.2</v>
      </c>
      <c r="D38" s="73">
        <v>0</v>
      </c>
    </row>
    <row r="39" spans="1:5" ht="36" x14ac:dyDescent="0.35">
      <c r="A39" s="38" t="s">
        <v>401</v>
      </c>
      <c r="B39" s="66" t="s">
        <v>341</v>
      </c>
      <c r="C39" s="71">
        <v>920251.20000000007</v>
      </c>
      <c r="D39" s="71">
        <v>921958.6</v>
      </c>
    </row>
    <row r="40" spans="1:5" ht="39.75" customHeight="1" x14ac:dyDescent="0.35">
      <c r="A40" s="38" t="s">
        <v>402</v>
      </c>
      <c r="B40" s="66" t="s">
        <v>20</v>
      </c>
      <c r="C40" s="71">
        <v>776516.7</v>
      </c>
      <c r="D40" s="71">
        <v>776724.9</v>
      </c>
    </row>
    <row r="41" spans="1:5" ht="54" x14ac:dyDescent="0.35">
      <c r="A41" s="38" t="s">
        <v>392</v>
      </c>
      <c r="B41" s="66" t="s">
        <v>614</v>
      </c>
      <c r="C41" s="71">
        <v>776516.7</v>
      </c>
      <c r="D41" s="71">
        <v>776724.9</v>
      </c>
    </row>
    <row r="42" spans="1:5" ht="162" x14ac:dyDescent="0.35">
      <c r="A42" s="38"/>
      <c r="B42" s="232" t="s">
        <v>422</v>
      </c>
      <c r="C42" s="73">
        <v>187.5</v>
      </c>
      <c r="D42" s="73">
        <v>187.5</v>
      </c>
      <c r="E42" s="75">
        <v>929</v>
      </c>
    </row>
    <row r="43" spans="1:5" ht="54" x14ac:dyDescent="0.35">
      <c r="A43" s="38"/>
      <c r="B43" s="233" t="s">
        <v>423</v>
      </c>
      <c r="C43" s="331">
        <v>16526.2</v>
      </c>
      <c r="D43" s="331">
        <v>16526.2</v>
      </c>
      <c r="E43" s="75">
        <v>902</v>
      </c>
    </row>
    <row r="44" spans="1:5" ht="72" x14ac:dyDescent="0.35">
      <c r="A44" s="57"/>
      <c r="B44" s="233" t="s">
        <v>261</v>
      </c>
      <c r="C44" s="331">
        <v>2502.6</v>
      </c>
      <c r="D44" s="331">
        <v>2502.6</v>
      </c>
      <c r="E44" s="75">
        <v>925</v>
      </c>
    </row>
    <row r="45" spans="1:5" ht="162" x14ac:dyDescent="0.35">
      <c r="A45" s="38"/>
      <c r="B45" s="233" t="s">
        <v>615</v>
      </c>
      <c r="C45" s="331">
        <v>749.1</v>
      </c>
      <c r="D45" s="331">
        <v>749.1</v>
      </c>
      <c r="E45" s="75">
        <v>902</v>
      </c>
    </row>
    <row r="46" spans="1:5" s="58" customFormat="1" ht="72" x14ac:dyDescent="0.35">
      <c r="A46" s="68"/>
      <c r="B46" s="233" t="s">
        <v>21</v>
      </c>
      <c r="C46" s="331">
        <v>63</v>
      </c>
      <c r="D46" s="331">
        <v>63</v>
      </c>
      <c r="E46" s="75">
        <v>902</v>
      </c>
    </row>
    <row r="47" spans="1:5" s="58" customFormat="1" ht="148.94999999999999" customHeight="1" x14ac:dyDescent="0.35">
      <c r="A47" s="57"/>
      <c r="B47" s="233" t="s">
        <v>264</v>
      </c>
      <c r="C47" s="331">
        <v>2246.5</v>
      </c>
      <c r="D47" s="331">
        <v>2336.4</v>
      </c>
      <c r="E47" s="75"/>
    </row>
    <row r="48" spans="1:5" s="58" customFormat="1" ht="56.4" customHeight="1" x14ac:dyDescent="0.35">
      <c r="A48" s="57" t="s">
        <v>260</v>
      </c>
      <c r="B48" s="233" t="s">
        <v>424</v>
      </c>
      <c r="C48" s="331">
        <v>2246.5</v>
      </c>
      <c r="D48" s="331">
        <v>2336.4</v>
      </c>
      <c r="E48" s="75">
        <v>925</v>
      </c>
    </row>
    <row r="49" spans="1:5" ht="162" x14ac:dyDescent="0.35">
      <c r="A49" s="57"/>
      <c r="B49" s="233" t="s">
        <v>383</v>
      </c>
      <c r="C49" s="331">
        <v>33413.1</v>
      </c>
      <c r="D49" s="331">
        <v>33413.1</v>
      </c>
      <c r="E49" s="75">
        <v>921</v>
      </c>
    </row>
    <row r="50" spans="1:5" ht="157.19999999999999" customHeight="1" x14ac:dyDescent="0.35">
      <c r="A50" s="38"/>
      <c r="B50" s="233" t="s">
        <v>507</v>
      </c>
      <c r="C50" s="331">
        <v>3298.8</v>
      </c>
      <c r="D50" s="331">
        <v>3298.8</v>
      </c>
      <c r="E50" s="75">
        <v>902</v>
      </c>
    </row>
    <row r="51" spans="1:5" ht="90" x14ac:dyDescent="0.35">
      <c r="A51" s="57"/>
      <c r="B51" s="233" t="s">
        <v>344</v>
      </c>
      <c r="C51" s="331">
        <v>707328</v>
      </c>
      <c r="D51" s="331">
        <v>707366</v>
      </c>
    </row>
    <row r="52" spans="1:5" ht="20.25" customHeight="1" x14ac:dyDescent="0.35">
      <c r="A52" s="57" t="s">
        <v>260</v>
      </c>
      <c r="B52" s="233" t="s">
        <v>262</v>
      </c>
      <c r="C52" s="72">
        <v>243311.40000000002</v>
      </c>
      <c r="D52" s="72">
        <v>243311.40000000002</v>
      </c>
      <c r="E52" s="75">
        <v>925</v>
      </c>
    </row>
    <row r="53" spans="1:5" x14ac:dyDescent="0.35">
      <c r="A53" s="57"/>
      <c r="B53" s="332" t="s">
        <v>263</v>
      </c>
      <c r="C53" s="72">
        <v>464016.6</v>
      </c>
      <c r="D53" s="72">
        <v>464054.6</v>
      </c>
      <c r="E53" s="75">
        <v>925</v>
      </c>
    </row>
    <row r="54" spans="1:5" ht="198" x14ac:dyDescent="0.35">
      <c r="A54" s="57"/>
      <c r="B54" s="333" t="s">
        <v>484</v>
      </c>
      <c r="C54" s="331">
        <v>2172.6</v>
      </c>
      <c r="D54" s="331">
        <v>2166.6999999999998</v>
      </c>
      <c r="E54" s="75">
        <v>925</v>
      </c>
    </row>
    <row r="55" spans="1:5" ht="90" x14ac:dyDescent="0.35">
      <c r="A55" s="57"/>
      <c r="B55" s="233" t="s">
        <v>442</v>
      </c>
      <c r="C55" s="331">
        <v>5797.1</v>
      </c>
      <c r="D55" s="331">
        <v>6029.1</v>
      </c>
      <c r="E55" s="75">
        <v>925</v>
      </c>
    </row>
    <row r="56" spans="1:5" ht="126" x14ac:dyDescent="0.35">
      <c r="A56" s="57"/>
      <c r="B56" s="233" t="s">
        <v>551</v>
      </c>
      <c r="C56" s="331">
        <v>2232.1999999999998</v>
      </c>
      <c r="D56" s="331">
        <v>2086.4</v>
      </c>
      <c r="E56" s="75">
        <v>925</v>
      </c>
    </row>
    <row r="57" spans="1:5" s="46" customFormat="1" ht="90" x14ac:dyDescent="0.3">
      <c r="A57" s="37" t="s">
        <v>403</v>
      </c>
      <c r="B57" s="66" t="s">
        <v>259</v>
      </c>
      <c r="C57" s="74">
        <v>6292.9</v>
      </c>
      <c r="D57" s="74">
        <v>6292.9</v>
      </c>
      <c r="E57" s="75"/>
    </row>
    <row r="58" spans="1:5" ht="93" customHeight="1" x14ac:dyDescent="0.35">
      <c r="A58" s="37" t="s">
        <v>396</v>
      </c>
      <c r="B58" s="66" t="s">
        <v>8</v>
      </c>
      <c r="C58" s="74">
        <v>6292.9</v>
      </c>
      <c r="D58" s="74">
        <v>6292.9</v>
      </c>
      <c r="E58" s="76">
        <v>925</v>
      </c>
    </row>
    <row r="59" spans="1:5" ht="72" x14ac:dyDescent="0.35">
      <c r="A59" s="37" t="s">
        <v>556</v>
      </c>
      <c r="B59" s="66" t="s">
        <v>557</v>
      </c>
      <c r="C59" s="74">
        <v>18535</v>
      </c>
      <c r="D59" s="74">
        <v>18535</v>
      </c>
      <c r="E59" s="76"/>
    </row>
    <row r="60" spans="1:5" ht="72" x14ac:dyDescent="0.35">
      <c r="A60" s="37" t="s">
        <v>558</v>
      </c>
      <c r="B60" s="66" t="s">
        <v>559</v>
      </c>
      <c r="C60" s="74">
        <v>18535</v>
      </c>
      <c r="D60" s="74">
        <v>18535</v>
      </c>
      <c r="E60" s="76">
        <v>921</v>
      </c>
    </row>
    <row r="61" spans="1:5" ht="72" x14ac:dyDescent="0.35">
      <c r="A61" s="38" t="s">
        <v>404</v>
      </c>
      <c r="B61" s="227" t="s">
        <v>382</v>
      </c>
      <c r="C61" s="71">
        <v>20.3</v>
      </c>
      <c r="D61" s="71">
        <v>17.7</v>
      </c>
    </row>
    <row r="62" spans="1:5" ht="75" customHeight="1" x14ac:dyDescent="0.35">
      <c r="A62" s="38" t="s">
        <v>393</v>
      </c>
      <c r="B62" s="227" t="s">
        <v>370</v>
      </c>
      <c r="C62" s="71">
        <v>20.3</v>
      </c>
      <c r="D62" s="71">
        <v>17.7</v>
      </c>
      <c r="E62" s="75">
        <v>902</v>
      </c>
    </row>
    <row r="63" spans="1:5" ht="75" customHeight="1" x14ac:dyDescent="0.35">
      <c r="A63" s="38" t="s">
        <v>670</v>
      </c>
      <c r="B63" s="227" t="s">
        <v>672</v>
      </c>
      <c r="C63" s="71">
        <v>5457.5</v>
      </c>
      <c r="D63" s="71">
        <v>5457.5</v>
      </c>
    </row>
    <row r="64" spans="1:5" ht="90" x14ac:dyDescent="0.35">
      <c r="A64" s="38" t="s">
        <v>671</v>
      </c>
      <c r="B64" s="227" t="s">
        <v>673</v>
      </c>
      <c r="C64" s="71">
        <v>5457.5</v>
      </c>
      <c r="D64" s="71">
        <v>5457.5</v>
      </c>
      <c r="E64" s="75">
        <v>925</v>
      </c>
    </row>
    <row r="65" spans="1:5" ht="144" x14ac:dyDescent="0.35">
      <c r="A65" s="37" t="s">
        <v>508</v>
      </c>
      <c r="B65" s="66" t="s">
        <v>689</v>
      </c>
      <c r="C65" s="74">
        <v>35752.9</v>
      </c>
      <c r="D65" s="74">
        <v>35752.9</v>
      </c>
      <c r="E65" s="205"/>
    </row>
    <row r="66" spans="1:5" ht="144" x14ac:dyDescent="0.35">
      <c r="A66" s="37" t="s">
        <v>509</v>
      </c>
      <c r="B66" s="66" t="s">
        <v>688</v>
      </c>
      <c r="C66" s="74">
        <v>35752.9</v>
      </c>
      <c r="D66" s="74">
        <v>35752.9</v>
      </c>
      <c r="E66" s="76">
        <v>925</v>
      </c>
    </row>
    <row r="67" spans="1:5" ht="36" x14ac:dyDescent="0.35">
      <c r="A67" s="38" t="s">
        <v>562</v>
      </c>
      <c r="B67" s="227" t="s">
        <v>561</v>
      </c>
      <c r="C67" s="74">
        <v>77675.899999999994</v>
      </c>
      <c r="D67" s="74">
        <v>79177.7</v>
      </c>
      <c r="E67" s="76"/>
    </row>
    <row r="68" spans="1:5" ht="36" x14ac:dyDescent="0.35">
      <c r="A68" s="38" t="s">
        <v>563</v>
      </c>
      <c r="B68" s="227" t="s">
        <v>564</v>
      </c>
      <c r="C68" s="74">
        <v>77675.899999999994</v>
      </c>
      <c r="D68" s="74">
        <v>79177.7</v>
      </c>
      <c r="E68" s="76"/>
    </row>
    <row r="69" spans="1:5" x14ac:dyDescent="0.35">
      <c r="A69" s="77"/>
      <c r="B69" s="118"/>
      <c r="C69" s="119"/>
      <c r="D69" s="119"/>
    </row>
    <row r="70" spans="1:5" hidden="1" x14ac:dyDescent="0.35">
      <c r="A70" s="59"/>
      <c r="B70" s="60"/>
      <c r="C70" s="61"/>
    </row>
    <row r="71" spans="1:5" x14ac:dyDescent="0.35">
      <c r="A71" s="41" t="s">
        <v>375</v>
      </c>
      <c r="B71" s="42"/>
      <c r="C71" s="43"/>
      <c r="D71" s="43"/>
      <c r="E71" s="202"/>
    </row>
    <row r="72" spans="1:5" x14ac:dyDescent="0.35">
      <c r="A72" s="41" t="s">
        <v>376</v>
      </c>
      <c r="B72" s="42"/>
      <c r="C72" s="43"/>
      <c r="D72" s="43"/>
      <c r="E72" s="202"/>
    </row>
    <row r="73" spans="1:5" x14ac:dyDescent="0.35">
      <c r="A73" s="47" t="s">
        <v>377</v>
      </c>
      <c r="B73" s="42"/>
      <c r="C73" s="46"/>
      <c r="D73" s="48" t="s">
        <v>388</v>
      </c>
      <c r="E73" s="202"/>
    </row>
    <row r="407" spans="9:10" x14ac:dyDescent="0.35">
      <c r="I407" s="34">
        <v>135.4</v>
      </c>
      <c r="J407" s="34">
        <v>140.9</v>
      </c>
    </row>
    <row r="408" spans="9:10" x14ac:dyDescent="0.35">
      <c r="I408" s="34">
        <v>27088.9</v>
      </c>
      <c r="J408" s="34">
        <v>28171.4</v>
      </c>
    </row>
  </sheetData>
  <autoFilter ref="A12:J68"/>
  <mergeCells count="4">
    <mergeCell ref="C10:D10"/>
    <mergeCell ref="A10:A11"/>
    <mergeCell ref="B10:B11"/>
    <mergeCell ref="A7:D7"/>
  </mergeCells>
  <printOptions horizontalCentered="1"/>
  <pageMargins left="1.1811023622047245" right="0.39370078740157483" top="0.6692913385826772" bottom="0.39370078740157483" header="0.31496062992125984" footer="0"/>
  <pageSetup paperSize="9" scale="62" orientation="portrait" blackAndWhite="1" r:id="rId1"/>
  <headerFooter differentFirst="1">
    <oddHeader>&amp;C&amp;"Times New Roman,обычный"&amp;P</oddHeader>
  </headerFooter>
  <rowBreaks count="1" manualBreakCount="1">
    <brk id="5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4"/>
  <sheetViews>
    <sheetView zoomScale="90" zoomScaleNormal="90" zoomScaleSheetLayoutView="80" workbookViewId="0">
      <selection activeCell="M10" sqref="M10"/>
    </sheetView>
  </sheetViews>
  <sheetFormatPr defaultColWidth="9.109375" defaultRowHeight="18" x14ac:dyDescent="0.35"/>
  <cols>
    <col min="1" max="1" width="6.109375" style="289" customWidth="1"/>
    <col min="2" max="2" width="9.109375" style="289" customWidth="1"/>
    <col min="3" max="3" width="59.88671875" style="289" customWidth="1"/>
    <col min="4" max="4" width="18.6640625" style="290" customWidth="1"/>
    <col min="5" max="5" width="15.33203125" style="289" customWidth="1"/>
    <col min="6" max="6" width="14.33203125" style="289" customWidth="1"/>
    <col min="7" max="7" width="11.109375" style="289" hidden="1" customWidth="1"/>
    <col min="8" max="9" width="11.33203125" style="289" hidden="1" customWidth="1"/>
    <col min="10" max="16384" width="9.109375" style="289"/>
  </cols>
  <sheetData>
    <row r="1" spans="1:9" x14ac:dyDescent="0.35">
      <c r="F1" s="163" t="s">
        <v>514</v>
      </c>
    </row>
    <row r="2" spans="1:9" x14ac:dyDescent="0.35">
      <c r="F2" s="163" t="s">
        <v>752</v>
      </c>
    </row>
    <row r="3" spans="1:9" x14ac:dyDescent="0.35">
      <c r="F3" s="163"/>
    </row>
    <row r="4" spans="1:9" x14ac:dyDescent="0.35">
      <c r="A4" s="34"/>
      <c r="B4" s="34"/>
      <c r="C4" s="34"/>
      <c r="D4" s="289"/>
      <c r="F4" s="163" t="s">
        <v>515</v>
      </c>
    </row>
    <row r="5" spans="1:9" x14ac:dyDescent="0.35">
      <c r="A5" s="34"/>
      <c r="B5" s="34"/>
      <c r="C5" s="34"/>
      <c r="D5" s="289"/>
      <c r="F5" s="163" t="s">
        <v>669</v>
      </c>
    </row>
    <row r="8" spans="1:9" x14ac:dyDescent="0.35">
      <c r="A8" s="716" t="s">
        <v>159</v>
      </c>
      <c r="B8" s="716"/>
      <c r="C8" s="716"/>
      <c r="D8" s="716"/>
      <c r="E8" s="716"/>
      <c r="F8" s="716"/>
    </row>
    <row r="9" spans="1:9" x14ac:dyDescent="0.35">
      <c r="A9" s="716" t="s">
        <v>595</v>
      </c>
      <c r="B9" s="716"/>
      <c r="C9" s="716"/>
      <c r="D9" s="716"/>
      <c r="E9" s="716"/>
      <c r="F9" s="716"/>
    </row>
    <row r="10" spans="1:9" x14ac:dyDescent="0.35">
      <c r="D10" s="289"/>
    </row>
    <row r="11" spans="1:9" x14ac:dyDescent="0.35">
      <c r="D11" s="289"/>
      <c r="F11" s="291" t="s">
        <v>22</v>
      </c>
    </row>
    <row r="12" spans="1:9" ht="22.95" customHeight="1" x14ac:dyDescent="0.35">
      <c r="A12" s="717" t="s">
        <v>160</v>
      </c>
      <c r="B12" s="719" t="s">
        <v>324</v>
      </c>
      <c r="C12" s="719" t="s">
        <v>24</v>
      </c>
      <c r="D12" s="713" t="s">
        <v>15</v>
      </c>
      <c r="E12" s="714"/>
      <c r="F12" s="715"/>
    </row>
    <row r="13" spans="1:9" x14ac:dyDescent="0.35">
      <c r="A13" s="718"/>
      <c r="B13" s="720"/>
      <c r="C13" s="720"/>
      <c r="D13" s="193" t="s">
        <v>460</v>
      </c>
      <c r="E13" s="193" t="s">
        <v>506</v>
      </c>
      <c r="F13" s="193" t="s">
        <v>594</v>
      </c>
    </row>
    <row r="14" spans="1:9" x14ac:dyDescent="0.35">
      <c r="A14" s="235">
        <v>1</v>
      </c>
      <c r="B14" s="235">
        <v>2</v>
      </c>
      <c r="C14" s="235">
        <v>3</v>
      </c>
      <c r="D14" s="236">
        <v>4</v>
      </c>
      <c r="E14" s="311">
        <v>5</v>
      </c>
      <c r="F14" s="311">
        <v>6</v>
      </c>
    </row>
    <row r="15" spans="1:9" x14ac:dyDescent="0.35">
      <c r="A15" s="254"/>
      <c r="B15" s="254"/>
      <c r="C15" s="293" t="s">
        <v>161</v>
      </c>
      <c r="D15" s="294">
        <v>2612020.7719000001</v>
      </c>
      <c r="E15" s="294">
        <v>1951860.4999999998</v>
      </c>
      <c r="F15" s="294">
        <v>1891819.3</v>
      </c>
      <c r="G15" s="295">
        <f>D15-'прил9 (ведом 23)'!M14</f>
        <v>0</v>
      </c>
      <c r="H15" s="295">
        <f>E15-'прил10 (ведом 24-25)'!M16</f>
        <v>0</v>
      </c>
      <c r="I15" s="295">
        <f>F15-'прил10 (ведом 24-25)'!N16</f>
        <v>0</v>
      </c>
    </row>
    <row r="16" spans="1:9" x14ac:dyDescent="0.35">
      <c r="A16" s="254"/>
      <c r="B16" s="254"/>
      <c r="C16" s="296" t="s">
        <v>162</v>
      </c>
      <c r="D16" s="212"/>
      <c r="E16" s="306"/>
      <c r="F16" s="292"/>
    </row>
    <row r="17" spans="1:8" x14ac:dyDescent="0.35">
      <c r="A17" s="238">
        <v>1</v>
      </c>
      <c r="B17" s="297" t="s">
        <v>163</v>
      </c>
      <c r="C17" s="298" t="s">
        <v>36</v>
      </c>
      <c r="D17" s="240">
        <v>276711.07703000004</v>
      </c>
      <c r="E17" s="240">
        <v>225389.68520000001</v>
      </c>
      <c r="F17" s="240">
        <v>233657.78520000004</v>
      </c>
    </row>
    <row r="18" spans="1:8" ht="54" x14ac:dyDescent="0.35">
      <c r="A18" s="241"/>
      <c r="B18" s="210" t="s">
        <v>164</v>
      </c>
      <c r="C18" s="211" t="s">
        <v>165</v>
      </c>
      <c r="D18" s="212">
        <v>2536.8000000000002</v>
      </c>
      <c r="E18" s="207">
        <v>2612.1999999999998</v>
      </c>
      <c r="F18" s="207">
        <v>2612.1999999999998</v>
      </c>
    </row>
    <row r="19" spans="1:8" ht="72" x14ac:dyDescent="0.35">
      <c r="A19" s="241"/>
      <c r="B19" s="210" t="s">
        <v>166</v>
      </c>
      <c r="C19" s="211" t="s">
        <v>51</v>
      </c>
      <c r="D19" s="212">
        <v>81325.284000000014</v>
      </c>
      <c r="E19" s="207">
        <v>83362.000000000015</v>
      </c>
      <c r="F19" s="207">
        <v>83398.000000000015</v>
      </c>
    </row>
    <row r="20" spans="1:8" x14ac:dyDescent="0.35">
      <c r="A20" s="241"/>
      <c r="B20" s="210" t="s">
        <v>389</v>
      </c>
      <c r="C20" s="224" t="s">
        <v>384</v>
      </c>
      <c r="D20" s="212">
        <v>19.8</v>
      </c>
      <c r="E20" s="207">
        <v>20.3</v>
      </c>
      <c r="F20" s="207">
        <v>17.7</v>
      </c>
    </row>
    <row r="21" spans="1:8" ht="54" x14ac:dyDescent="0.35">
      <c r="A21" s="241"/>
      <c r="B21" s="210" t="s">
        <v>167</v>
      </c>
      <c r="C21" s="211" t="s">
        <v>129</v>
      </c>
      <c r="D21" s="212">
        <v>37836.799999999996</v>
      </c>
      <c r="E21" s="207">
        <v>37649.699999999997</v>
      </c>
      <c r="F21" s="207">
        <v>37650.5</v>
      </c>
    </row>
    <row r="22" spans="1:8" x14ac:dyDescent="0.35">
      <c r="A22" s="241"/>
      <c r="B22" s="210" t="s">
        <v>168</v>
      </c>
      <c r="C22" s="211" t="s">
        <v>66</v>
      </c>
      <c r="D22" s="212">
        <v>7593.1629999999959</v>
      </c>
      <c r="E22" s="207">
        <v>29961.8</v>
      </c>
      <c r="F22" s="207">
        <v>35000</v>
      </c>
    </row>
    <row r="23" spans="1:8" x14ac:dyDescent="0.35">
      <c r="A23" s="241"/>
      <c r="B23" s="210" t="s">
        <v>169</v>
      </c>
      <c r="C23" s="211" t="s">
        <v>70</v>
      </c>
      <c r="D23" s="212">
        <v>147399.23003000004</v>
      </c>
      <c r="E23" s="207">
        <v>71783.685200000007</v>
      </c>
      <c r="F23" s="207">
        <v>74979.385200000004</v>
      </c>
    </row>
    <row r="24" spans="1:8" ht="35.4" x14ac:dyDescent="0.35">
      <c r="A24" s="238">
        <v>2</v>
      </c>
      <c r="B24" s="297" t="s">
        <v>170</v>
      </c>
      <c r="C24" s="298" t="s">
        <v>78</v>
      </c>
      <c r="D24" s="240">
        <v>22918.947999999993</v>
      </c>
      <c r="E24" s="240">
        <v>12719.499999999996</v>
      </c>
      <c r="F24" s="240">
        <v>12720.499999999996</v>
      </c>
    </row>
    <row r="25" spans="1:8" ht="54" x14ac:dyDescent="0.35">
      <c r="A25" s="241"/>
      <c r="B25" s="210" t="s">
        <v>463</v>
      </c>
      <c r="C25" s="211" t="s">
        <v>464</v>
      </c>
      <c r="D25" s="212">
        <v>9493.3999999999978</v>
      </c>
      <c r="E25" s="207">
        <v>362.29999999999995</v>
      </c>
      <c r="F25" s="207">
        <v>362.29999999999995</v>
      </c>
    </row>
    <row r="26" spans="1:8" ht="36" x14ac:dyDescent="0.35">
      <c r="A26" s="241"/>
      <c r="B26" s="210" t="s">
        <v>171</v>
      </c>
      <c r="C26" s="211" t="s">
        <v>87</v>
      </c>
      <c r="D26" s="212">
        <v>13425.547999999995</v>
      </c>
      <c r="E26" s="207">
        <v>12357.199999999997</v>
      </c>
      <c r="F26" s="207">
        <v>12358.199999999997</v>
      </c>
    </row>
    <row r="27" spans="1:8" x14ac:dyDescent="0.35">
      <c r="A27" s="238">
        <v>3</v>
      </c>
      <c r="B27" s="297" t="s">
        <v>172</v>
      </c>
      <c r="C27" s="298" t="s">
        <v>92</v>
      </c>
      <c r="D27" s="240">
        <v>96906.515599999999</v>
      </c>
      <c r="E27" s="240">
        <v>27573.599999999999</v>
      </c>
      <c r="F27" s="240">
        <v>26840.6</v>
      </c>
      <c r="H27" s="452"/>
    </row>
    <row r="28" spans="1:8" x14ac:dyDescent="0.35">
      <c r="A28" s="238"/>
      <c r="B28" s="210" t="s">
        <v>173</v>
      </c>
      <c r="C28" s="211" t="s">
        <v>93</v>
      </c>
      <c r="D28" s="212">
        <v>14369.400000000001</v>
      </c>
      <c r="E28" s="207">
        <v>19075.7</v>
      </c>
      <c r="F28" s="207">
        <v>19075.7</v>
      </c>
    </row>
    <row r="29" spans="1:8" x14ac:dyDescent="0.35">
      <c r="A29" s="241"/>
      <c r="B29" s="210" t="s">
        <v>174</v>
      </c>
      <c r="C29" s="211" t="s">
        <v>98</v>
      </c>
      <c r="D29" s="212">
        <v>12364.4156</v>
      </c>
      <c r="E29" s="207">
        <v>6181.8</v>
      </c>
      <c r="F29" s="207">
        <v>6648.8</v>
      </c>
    </row>
    <row r="30" spans="1:8" x14ac:dyDescent="0.35">
      <c r="A30" s="241"/>
      <c r="B30" s="210" t="s">
        <v>175</v>
      </c>
      <c r="C30" s="211" t="s">
        <v>106</v>
      </c>
      <c r="D30" s="212">
        <v>70172.7</v>
      </c>
      <c r="E30" s="207">
        <v>2316.1</v>
      </c>
      <c r="F30" s="207">
        <v>1116.0999999999999</v>
      </c>
      <c r="G30" s="452"/>
    </row>
    <row r="31" spans="1:8" x14ac:dyDescent="0.35">
      <c r="A31" s="238">
        <v>4</v>
      </c>
      <c r="B31" s="297" t="s">
        <v>176</v>
      </c>
      <c r="C31" s="298" t="s">
        <v>177</v>
      </c>
      <c r="D31" s="240">
        <v>121130.09999999999</v>
      </c>
      <c r="E31" s="240">
        <v>69245.3</v>
      </c>
      <c r="F31" s="240">
        <v>5773.4</v>
      </c>
    </row>
    <row r="32" spans="1:8" x14ac:dyDescent="0.35">
      <c r="A32" s="241"/>
      <c r="B32" s="210" t="s">
        <v>521</v>
      </c>
      <c r="C32" s="211" t="s">
        <v>479</v>
      </c>
      <c r="D32" s="212">
        <v>34361.1</v>
      </c>
      <c r="E32" s="212">
        <v>0</v>
      </c>
      <c r="F32" s="212">
        <v>0</v>
      </c>
    </row>
    <row r="33" spans="1:6" x14ac:dyDescent="0.35">
      <c r="A33" s="238"/>
      <c r="B33" s="210" t="s">
        <v>335</v>
      </c>
      <c r="C33" s="211" t="s">
        <v>333</v>
      </c>
      <c r="D33" s="212">
        <v>79683.3</v>
      </c>
      <c r="E33" s="212">
        <v>63486.700000000004</v>
      </c>
      <c r="F33" s="212">
        <v>0</v>
      </c>
    </row>
    <row r="34" spans="1:6" x14ac:dyDescent="0.35">
      <c r="A34" s="238"/>
      <c r="B34" s="210" t="s">
        <v>639</v>
      </c>
      <c r="C34" s="601" t="s">
        <v>637</v>
      </c>
      <c r="D34" s="212">
        <v>7085.7000000000007</v>
      </c>
      <c r="E34" s="212">
        <v>5758.6</v>
      </c>
      <c r="F34" s="212">
        <v>5773.4</v>
      </c>
    </row>
    <row r="35" spans="1:6" x14ac:dyDescent="0.35">
      <c r="A35" s="238">
        <v>5</v>
      </c>
      <c r="B35" s="297" t="s">
        <v>178</v>
      </c>
      <c r="C35" s="298" t="s">
        <v>179</v>
      </c>
      <c r="D35" s="240">
        <v>1649870.8552999999</v>
      </c>
      <c r="E35" s="240">
        <v>1336307.4999999998</v>
      </c>
      <c r="F35" s="240">
        <v>1349950.5</v>
      </c>
    </row>
    <row r="36" spans="1:6" x14ac:dyDescent="0.35">
      <c r="A36" s="241"/>
      <c r="B36" s="210" t="s">
        <v>180</v>
      </c>
      <c r="C36" s="211" t="s">
        <v>181</v>
      </c>
      <c r="D36" s="212">
        <v>498550.57999999996</v>
      </c>
      <c r="E36" s="212">
        <v>386488.20000000007</v>
      </c>
      <c r="F36" s="212">
        <v>399716.60000000003</v>
      </c>
    </row>
    <row r="37" spans="1:6" x14ac:dyDescent="0.35">
      <c r="A37" s="241"/>
      <c r="B37" s="210" t="s">
        <v>182</v>
      </c>
      <c r="C37" s="211" t="s">
        <v>183</v>
      </c>
      <c r="D37" s="212">
        <v>896770.41529999999</v>
      </c>
      <c r="E37" s="212">
        <v>722307.79999999981</v>
      </c>
      <c r="F37" s="212">
        <v>712311.5</v>
      </c>
    </row>
    <row r="38" spans="1:6" x14ac:dyDescent="0.35">
      <c r="A38" s="241"/>
      <c r="B38" s="210" t="s">
        <v>348</v>
      </c>
      <c r="C38" s="211" t="s">
        <v>349</v>
      </c>
      <c r="D38" s="212">
        <v>154336.247</v>
      </c>
      <c r="E38" s="212">
        <v>130206.39999999999</v>
      </c>
      <c r="F38" s="212">
        <v>140861.70000000001</v>
      </c>
    </row>
    <row r="39" spans="1:6" ht="36" x14ac:dyDescent="0.35">
      <c r="A39" s="241"/>
      <c r="B39" s="210" t="s">
        <v>531</v>
      </c>
      <c r="C39" s="211" t="s">
        <v>532</v>
      </c>
      <c r="D39" s="212">
        <v>301.59999999999997</v>
      </c>
      <c r="E39" s="212">
        <v>190.7</v>
      </c>
      <c r="F39" s="212">
        <v>190.7</v>
      </c>
    </row>
    <row r="40" spans="1:6" x14ac:dyDescent="0.35">
      <c r="A40" s="238"/>
      <c r="B40" s="210" t="s">
        <v>184</v>
      </c>
      <c r="C40" s="211" t="s">
        <v>350</v>
      </c>
      <c r="D40" s="212">
        <v>5816.9699999999993</v>
      </c>
      <c r="E40" s="212">
        <v>3836.5</v>
      </c>
      <c r="F40" s="212">
        <v>3836.5</v>
      </c>
    </row>
    <row r="41" spans="1:6" x14ac:dyDescent="0.35">
      <c r="A41" s="241"/>
      <c r="B41" s="210" t="s">
        <v>185</v>
      </c>
      <c r="C41" s="211" t="s">
        <v>186</v>
      </c>
      <c r="D41" s="212">
        <v>94095.143000000011</v>
      </c>
      <c r="E41" s="212">
        <v>93277.900000000009</v>
      </c>
      <c r="F41" s="212">
        <v>93033.500000000015</v>
      </c>
    </row>
    <row r="42" spans="1:6" x14ac:dyDescent="0.35">
      <c r="A42" s="238">
        <v>6</v>
      </c>
      <c r="B42" s="297" t="s">
        <v>187</v>
      </c>
      <c r="C42" s="298" t="s">
        <v>188</v>
      </c>
      <c r="D42" s="240">
        <v>65524.499999999993</v>
      </c>
      <c r="E42" s="240">
        <v>35657.800000000003</v>
      </c>
      <c r="F42" s="240">
        <v>35603.899999999994</v>
      </c>
    </row>
    <row r="43" spans="1:6" x14ac:dyDescent="0.35">
      <c r="A43" s="241"/>
      <c r="B43" s="210" t="s">
        <v>189</v>
      </c>
      <c r="C43" s="211" t="s">
        <v>190</v>
      </c>
      <c r="D43" s="212">
        <v>53329.499999999993</v>
      </c>
      <c r="E43" s="212">
        <v>24215.8</v>
      </c>
      <c r="F43" s="212">
        <v>24157.399999999998</v>
      </c>
    </row>
    <row r="44" spans="1:6" ht="18.75" customHeight="1" x14ac:dyDescent="0.35">
      <c r="A44" s="241"/>
      <c r="B44" s="210" t="s">
        <v>191</v>
      </c>
      <c r="C44" s="211" t="s">
        <v>192</v>
      </c>
      <c r="D44" s="212">
        <v>12195</v>
      </c>
      <c r="E44" s="207">
        <v>11442</v>
      </c>
      <c r="F44" s="207">
        <v>11446.5</v>
      </c>
    </row>
    <row r="45" spans="1:6" s="299" customFormat="1" ht="17.399999999999999" x14ac:dyDescent="0.3">
      <c r="A45" s="238">
        <v>7</v>
      </c>
      <c r="B45" s="238">
        <v>1000</v>
      </c>
      <c r="C45" s="298" t="s">
        <v>119</v>
      </c>
      <c r="D45" s="240">
        <v>169081.57597000001</v>
      </c>
      <c r="E45" s="240">
        <v>134230.31479999999</v>
      </c>
      <c r="F45" s="240">
        <v>135732.11480000001</v>
      </c>
    </row>
    <row r="46" spans="1:6" x14ac:dyDescent="0.35">
      <c r="A46" s="241"/>
      <c r="B46" s="241">
        <v>1001</v>
      </c>
      <c r="C46" s="211" t="s">
        <v>355</v>
      </c>
      <c r="D46" s="212">
        <v>1539.6</v>
      </c>
      <c r="E46" s="212">
        <v>1320</v>
      </c>
      <c r="F46" s="212">
        <v>1320</v>
      </c>
    </row>
    <row r="47" spans="1:6" x14ac:dyDescent="0.35">
      <c r="A47" s="241"/>
      <c r="B47" s="241">
        <v>1003</v>
      </c>
      <c r="C47" s="211" t="s">
        <v>735</v>
      </c>
      <c r="D47" s="212">
        <v>2070</v>
      </c>
      <c r="E47" s="212">
        <v>0</v>
      </c>
      <c r="F47" s="212">
        <v>0</v>
      </c>
    </row>
    <row r="48" spans="1:6" x14ac:dyDescent="0.35">
      <c r="A48" s="241"/>
      <c r="B48" s="241">
        <v>1004</v>
      </c>
      <c r="C48" s="211" t="s">
        <v>193</v>
      </c>
      <c r="D48" s="212">
        <v>154003.47597</v>
      </c>
      <c r="E48" s="212">
        <v>122865.9148</v>
      </c>
      <c r="F48" s="212">
        <v>124367.71480000002</v>
      </c>
    </row>
    <row r="49" spans="1:8" x14ac:dyDescent="0.35">
      <c r="A49" s="241"/>
      <c r="B49" s="241">
        <v>1006</v>
      </c>
      <c r="C49" s="211" t="s">
        <v>194</v>
      </c>
      <c r="D49" s="212">
        <v>11468.5</v>
      </c>
      <c r="E49" s="212">
        <v>10044.400000000001</v>
      </c>
      <c r="F49" s="212">
        <v>10044.400000000001</v>
      </c>
    </row>
    <row r="50" spans="1:8" x14ac:dyDescent="0.35">
      <c r="A50" s="238">
        <v>8</v>
      </c>
      <c r="B50" s="300">
        <v>1100</v>
      </c>
      <c r="C50" s="293" t="s">
        <v>195</v>
      </c>
      <c r="D50" s="240">
        <v>154247.69999999998</v>
      </c>
      <c r="E50" s="240">
        <v>68448.800000000003</v>
      </c>
      <c r="F50" s="240">
        <v>38624.5</v>
      </c>
    </row>
    <row r="51" spans="1:8" x14ac:dyDescent="0.35">
      <c r="A51" s="241"/>
      <c r="B51" s="301">
        <v>1101</v>
      </c>
      <c r="C51" s="302" t="s">
        <v>360</v>
      </c>
      <c r="D51" s="212">
        <v>83143.606480000002</v>
      </c>
      <c r="E51" s="212">
        <v>3606.9000000000005</v>
      </c>
      <c r="F51" s="212">
        <v>3622.8</v>
      </c>
    </row>
    <row r="52" spans="1:8" x14ac:dyDescent="0.35">
      <c r="A52" s="238"/>
      <c r="B52" s="210" t="s">
        <v>196</v>
      </c>
      <c r="C52" s="243" t="s">
        <v>197</v>
      </c>
      <c r="D52" s="212">
        <v>28674.6</v>
      </c>
      <c r="E52" s="212">
        <v>30481.200000000001</v>
      </c>
      <c r="F52" s="212">
        <v>629.70000000000005</v>
      </c>
    </row>
    <row r="53" spans="1:8" x14ac:dyDescent="0.35">
      <c r="A53" s="238"/>
      <c r="B53" s="210" t="s">
        <v>709</v>
      </c>
      <c r="C53" s="243" t="s">
        <v>708</v>
      </c>
      <c r="D53" s="212">
        <v>39458.393519999998</v>
      </c>
      <c r="E53" s="212">
        <v>31302</v>
      </c>
      <c r="F53" s="212">
        <v>31312.2</v>
      </c>
    </row>
    <row r="54" spans="1:8" ht="36" x14ac:dyDescent="0.35">
      <c r="A54" s="241"/>
      <c r="B54" s="210" t="s">
        <v>198</v>
      </c>
      <c r="C54" s="248" t="s">
        <v>199</v>
      </c>
      <c r="D54" s="212">
        <v>2971.1000000000004</v>
      </c>
      <c r="E54" s="207">
        <v>3058.7000000000003</v>
      </c>
      <c r="F54" s="207">
        <v>3059.7999999999997</v>
      </c>
    </row>
    <row r="55" spans="1:8" ht="52.8" x14ac:dyDescent="0.35">
      <c r="A55" s="238">
        <v>9</v>
      </c>
      <c r="B55" s="300">
        <v>1400</v>
      </c>
      <c r="C55" s="298" t="s">
        <v>200</v>
      </c>
      <c r="D55" s="303">
        <v>55629.5</v>
      </c>
      <c r="E55" s="303">
        <v>7500</v>
      </c>
      <c r="F55" s="303">
        <v>7500</v>
      </c>
    </row>
    <row r="56" spans="1:8" ht="54" x14ac:dyDescent="0.35">
      <c r="A56" s="304"/>
      <c r="B56" s="301">
        <v>1401</v>
      </c>
      <c r="C56" s="211" t="s">
        <v>201</v>
      </c>
      <c r="D56" s="305">
        <v>7500</v>
      </c>
      <c r="E56" s="246">
        <v>7500</v>
      </c>
      <c r="F56" s="246">
        <v>7500</v>
      </c>
    </row>
    <row r="57" spans="1:8" ht="36" x14ac:dyDescent="0.35">
      <c r="A57" s="304"/>
      <c r="B57" s="301">
        <v>1403</v>
      </c>
      <c r="C57" s="211" t="s">
        <v>681</v>
      </c>
      <c r="D57" s="305">
        <v>48129.5</v>
      </c>
      <c r="E57" s="246">
        <v>0</v>
      </c>
      <c r="F57" s="246">
        <v>0</v>
      </c>
    </row>
    <row r="58" spans="1:8" s="213" customFormat="1" ht="17.399999999999999" x14ac:dyDescent="0.3">
      <c r="A58" s="237">
        <v>10</v>
      </c>
      <c r="B58" s="239"/>
      <c r="C58" s="208" t="s">
        <v>362</v>
      </c>
      <c r="D58" s="244">
        <v>0</v>
      </c>
      <c r="E58" s="244">
        <v>34788</v>
      </c>
      <c r="F58" s="244">
        <v>45416</v>
      </c>
    </row>
    <row r="59" spans="1:8" s="213" customFormat="1" x14ac:dyDescent="0.35">
      <c r="A59" s="245"/>
      <c r="B59" s="242"/>
      <c r="C59" s="209" t="s">
        <v>362</v>
      </c>
      <c r="D59" s="246">
        <v>0</v>
      </c>
      <c r="E59" s="246">
        <v>34788</v>
      </c>
      <c r="F59" s="246">
        <v>45416</v>
      </c>
    </row>
    <row r="62" spans="1:8" s="310" customFormat="1" x14ac:dyDescent="0.35">
      <c r="A62" s="41" t="s">
        <v>375</v>
      </c>
      <c r="B62" s="307"/>
      <c r="C62" s="308"/>
      <c r="D62" s="308"/>
      <c r="E62" s="308"/>
      <c r="F62" s="308"/>
      <c r="G62" s="44"/>
      <c r="H62" s="309"/>
    </row>
    <row r="63" spans="1:8" s="310" customFormat="1" x14ac:dyDescent="0.35">
      <c r="A63" s="41" t="s">
        <v>376</v>
      </c>
      <c r="B63" s="307"/>
      <c r="C63" s="308"/>
      <c r="D63" s="308"/>
      <c r="E63" s="308"/>
      <c r="F63" s="308"/>
      <c r="G63" s="44"/>
      <c r="H63" s="309"/>
    </row>
    <row r="64" spans="1:8" s="310" customFormat="1" x14ac:dyDescent="0.35">
      <c r="A64" s="47" t="s">
        <v>377</v>
      </c>
      <c r="B64" s="307"/>
      <c r="E64" s="308"/>
      <c r="F64" s="48" t="s">
        <v>388</v>
      </c>
    </row>
  </sheetData>
  <autoFilter ref="A1:A64"/>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32"/>
  <sheetViews>
    <sheetView zoomScale="80" zoomScaleNormal="80" zoomScaleSheetLayoutView="80" workbookViewId="0">
      <pane xSplit="1" ySplit="6" topLeftCell="B7" activePane="bottomRight" state="frozen"/>
      <selection activeCell="C38" sqref="C38"/>
      <selection pane="topRight" activeCell="C38" sqref="C38"/>
      <selection pane="bottomLeft" activeCell="C38" sqref="C38"/>
      <selection pane="bottomRight" activeCell="M8" sqref="M8"/>
    </sheetView>
  </sheetViews>
  <sheetFormatPr defaultColWidth="9.109375" defaultRowHeight="15.6" x14ac:dyDescent="0.3"/>
  <cols>
    <col min="1" max="1" width="4.5546875" style="336" customWidth="1"/>
    <col min="2" max="2" width="62.44140625" style="408" customWidth="1"/>
    <col min="3" max="3" width="3.109375" style="409" customWidth="1"/>
    <col min="4" max="4" width="2" style="409" customWidth="1"/>
    <col min="5" max="5" width="3.109375" style="409" customWidth="1"/>
    <col min="6" max="6" width="8.6640625" style="409" customWidth="1"/>
    <col min="7" max="7" width="5.5546875" style="407" customWidth="1"/>
    <col min="8" max="8" width="15.6640625" style="337" customWidth="1"/>
    <col min="9" max="9" width="9.109375" style="46"/>
    <col min="10" max="10" width="17.6640625" style="46" hidden="1" customWidth="1"/>
    <col min="11" max="14" width="9.109375" style="46"/>
    <col min="15" max="15" width="58.6640625" style="46" customWidth="1"/>
    <col min="16" max="16384" width="9.109375" style="46"/>
  </cols>
  <sheetData>
    <row r="1" spans="1:12" ht="18" x14ac:dyDescent="0.35">
      <c r="H1" s="163" t="s">
        <v>565</v>
      </c>
    </row>
    <row r="2" spans="1:12" ht="18" x14ac:dyDescent="0.35">
      <c r="H2" s="163" t="s">
        <v>752</v>
      </c>
    </row>
    <row r="3" spans="1:12" ht="18" x14ac:dyDescent="0.35">
      <c r="H3" s="163"/>
    </row>
    <row r="4" spans="1:12" s="35" customFormat="1" ht="18" x14ac:dyDescent="0.35">
      <c r="H4" s="163" t="s">
        <v>516</v>
      </c>
      <c r="K4" s="39"/>
      <c r="L4" s="633"/>
    </row>
    <row r="5" spans="1:12" s="35" customFormat="1" ht="18" x14ac:dyDescent="0.35">
      <c r="H5" s="163" t="s">
        <v>669</v>
      </c>
      <c r="K5" s="39"/>
      <c r="L5" s="634"/>
    </row>
    <row r="8" spans="1:12" ht="72" customHeight="1" x14ac:dyDescent="0.3">
      <c r="A8" s="721" t="s">
        <v>596</v>
      </c>
      <c r="B8" s="721"/>
      <c r="C8" s="721"/>
      <c r="D8" s="721"/>
      <c r="E8" s="721"/>
      <c r="F8" s="721"/>
      <c r="G8" s="721"/>
      <c r="H8" s="721"/>
    </row>
    <row r="9" spans="1:12" x14ac:dyDescent="0.3">
      <c r="A9" s="46"/>
      <c r="B9" s="46"/>
      <c r="C9" s="336"/>
      <c r="D9" s="336"/>
      <c r="E9" s="336"/>
      <c r="F9" s="336"/>
      <c r="G9" s="337"/>
    </row>
    <row r="10" spans="1:12" ht="18" x14ac:dyDescent="0.35">
      <c r="A10" s="338"/>
      <c r="B10" s="42"/>
      <c r="C10" s="43"/>
      <c r="D10" s="43"/>
      <c r="E10" s="43"/>
      <c r="F10" s="43"/>
      <c r="G10" s="46"/>
      <c r="H10" s="411" t="s">
        <v>22</v>
      </c>
    </row>
    <row r="11" spans="1:12" ht="37.200000000000003" customHeight="1" x14ac:dyDescent="0.3">
      <c r="A11" s="693" t="s">
        <v>23</v>
      </c>
      <c r="B11" s="694" t="s">
        <v>24</v>
      </c>
      <c r="C11" s="722" t="s">
        <v>28</v>
      </c>
      <c r="D11" s="723"/>
      <c r="E11" s="723"/>
      <c r="F11" s="724"/>
      <c r="G11" s="694" t="s">
        <v>29</v>
      </c>
      <c r="H11" s="412" t="s">
        <v>15</v>
      </c>
    </row>
    <row r="12" spans="1:12" ht="18" x14ac:dyDescent="0.35">
      <c r="A12" s="235">
        <v>1</v>
      </c>
      <c r="B12" s="341">
        <v>2</v>
      </c>
      <c r="C12" s="725" t="s">
        <v>30</v>
      </c>
      <c r="D12" s="726"/>
      <c r="E12" s="726"/>
      <c r="F12" s="727"/>
      <c r="G12" s="247" t="s">
        <v>31</v>
      </c>
      <c r="H12" s="236">
        <v>5</v>
      </c>
    </row>
    <row r="13" spans="1:12" ht="19.5" customHeight="1" x14ac:dyDescent="0.35">
      <c r="A13" s="342"/>
      <c r="B13" s="343" t="s">
        <v>202</v>
      </c>
      <c r="C13" s="344"/>
      <c r="D13" s="344"/>
      <c r="E13" s="344"/>
      <c r="F13" s="344"/>
      <c r="G13" s="345"/>
      <c r="H13" s="346">
        <f>H14+H158+H220+H270+H295+H334+H358+H397+H458+H467+H473+H483+H493+H499+H565+H606+H437+H559+H576</f>
        <v>2612020.7719000001</v>
      </c>
      <c r="J13" s="413">
        <f>H13-'прил9 (ведом 23)'!M14</f>
        <v>0</v>
      </c>
    </row>
    <row r="14" spans="1:12" s="352" customFormat="1" ht="52.2" x14ac:dyDescent="0.3">
      <c r="A14" s="348">
        <v>1</v>
      </c>
      <c r="B14" s="513" t="s">
        <v>205</v>
      </c>
      <c r="C14" s="349" t="s">
        <v>39</v>
      </c>
      <c r="D14" s="349" t="s">
        <v>42</v>
      </c>
      <c r="E14" s="349" t="s">
        <v>43</v>
      </c>
      <c r="F14" s="350" t="s">
        <v>44</v>
      </c>
      <c r="G14" s="351"/>
      <c r="H14" s="263">
        <f>H15+H95+H122</f>
        <v>1568760.0852999999</v>
      </c>
    </row>
    <row r="15" spans="1:12" ht="18" x14ac:dyDescent="0.35">
      <c r="A15" s="342"/>
      <c r="B15" s="514" t="s">
        <v>206</v>
      </c>
      <c r="C15" s="690" t="s">
        <v>39</v>
      </c>
      <c r="D15" s="690" t="s">
        <v>45</v>
      </c>
      <c r="E15" s="690" t="s">
        <v>43</v>
      </c>
      <c r="F15" s="691" t="s">
        <v>44</v>
      </c>
      <c r="G15" s="247"/>
      <c r="H15" s="226">
        <f>H16+H39+H89</f>
        <v>1397981.6952999998</v>
      </c>
    </row>
    <row r="16" spans="1:12" ht="18" x14ac:dyDescent="0.35">
      <c r="A16" s="342"/>
      <c r="B16" s="514" t="s">
        <v>267</v>
      </c>
      <c r="C16" s="217" t="s">
        <v>39</v>
      </c>
      <c r="D16" s="218" t="s">
        <v>45</v>
      </c>
      <c r="E16" s="218" t="s">
        <v>37</v>
      </c>
      <c r="F16" s="219" t="s">
        <v>44</v>
      </c>
      <c r="G16" s="247"/>
      <c r="H16" s="226">
        <f>H26+H29+H31+H17+H21+H23+H19+H35+H37+H33</f>
        <v>503433.57999999996</v>
      </c>
    </row>
    <row r="17" spans="1:8" ht="36" x14ac:dyDescent="0.35">
      <c r="A17" s="342"/>
      <c r="B17" s="514" t="s">
        <v>466</v>
      </c>
      <c r="C17" s="217" t="s">
        <v>39</v>
      </c>
      <c r="D17" s="218" t="s">
        <v>45</v>
      </c>
      <c r="E17" s="218" t="s">
        <v>37</v>
      </c>
      <c r="F17" s="219" t="s">
        <v>91</v>
      </c>
      <c r="G17" s="28"/>
      <c r="H17" s="226">
        <f>H18</f>
        <v>102182.79999999999</v>
      </c>
    </row>
    <row r="18" spans="1:8" ht="36" x14ac:dyDescent="0.35">
      <c r="A18" s="342"/>
      <c r="B18" s="514" t="s">
        <v>76</v>
      </c>
      <c r="C18" s="217" t="s">
        <v>39</v>
      </c>
      <c r="D18" s="218" t="s">
        <v>45</v>
      </c>
      <c r="E18" s="218" t="s">
        <v>37</v>
      </c>
      <c r="F18" s="219" t="s">
        <v>91</v>
      </c>
      <c r="G18" s="28" t="s">
        <v>77</v>
      </c>
      <c r="H18" s="226">
        <f>'прил9 (ведом 23)'!M446</f>
        <v>102182.79999999999</v>
      </c>
    </row>
    <row r="19" spans="1:8" ht="18" x14ac:dyDescent="0.35">
      <c r="A19" s="342"/>
      <c r="B19" s="515" t="s">
        <v>467</v>
      </c>
      <c r="C19" s="217" t="s">
        <v>39</v>
      </c>
      <c r="D19" s="218" t="s">
        <v>45</v>
      </c>
      <c r="E19" s="218" t="s">
        <v>37</v>
      </c>
      <c r="F19" s="219" t="s">
        <v>381</v>
      </c>
      <c r="G19" s="28"/>
      <c r="H19" s="226">
        <f>H20</f>
        <v>15955.1</v>
      </c>
    </row>
    <row r="20" spans="1:8" ht="36" x14ac:dyDescent="0.35">
      <c r="A20" s="342"/>
      <c r="B20" s="515" t="s">
        <v>76</v>
      </c>
      <c r="C20" s="217" t="s">
        <v>39</v>
      </c>
      <c r="D20" s="218" t="s">
        <v>45</v>
      </c>
      <c r="E20" s="218" t="s">
        <v>37</v>
      </c>
      <c r="F20" s="219" t="s">
        <v>381</v>
      </c>
      <c r="G20" s="28" t="s">
        <v>77</v>
      </c>
      <c r="H20" s="226">
        <f>'прил9 (ведом 23)'!M448</f>
        <v>15955.1</v>
      </c>
    </row>
    <row r="21" spans="1:8" ht="36" x14ac:dyDescent="0.35">
      <c r="A21" s="342"/>
      <c r="B21" s="515" t="s">
        <v>207</v>
      </c>
      <c r="C21" s="217" t="s">
        <v>39</v>
      </c>
      <c r="D21" s="218" t="s">
        <v>45</v>
      </c>
      <c r="E21" s="218" t="s">
        <v>37</v>
      </c>
      <c r="F21" s="219" t="s">
        <v>273</v>
      </c>
      <c r="G21" s="28"/>
      <c r="H21" s="226">
        <f>H22</f>
        <v>30987.600000000002</v>
      </c>
    </row>
    <row r="22" spans="1:8" ht="36" x14ac:dyDescent="0.35">
      <c r="A22" s="342"/>
      <c r="B22" s="515" t="s">
        <v>76</v>
      </c>
      <c r="C22" s="217" t="s">
        <v>39</v>
      </c>
      <c r="D22" s="218" t="s">
        <v>45</v>
      </c>
      <c r="E22" s="218" t="s">
        <v>37</v>
      </c>
      <c r="F22" s="219" t="s">
        <v>273</v>
      </c>
      <c r="G22" s="28" t="s">
        <v>77</v>
      </c>
      <c r="H22" s="226">
        <f>'прил9 (ведом 23)'!M450</f>
        <v>30987.600000000002</v>
      </c>
    </row>
    <row r="23" spans="1:8" ht="36" x14ac:dyDescent="0.35">
      <c r="A23" s="342"/>
      <c r="B23" s="515" t="s">
        <v>208</v>
      </c>
      <c r="C23" s="217" t="s">
        <v>39</v>
      </c>
      <c r="D23" s="218" t="s">
        <v>45</v>
      </c>
      <c r="E23" s="218" t="s">
        <v>37</v>
      </c>
      <c r="F23" s="219" t="s">
        <v>274</v>
      </c>
      <c r="G23" s="28"/>
      <c r="H23" s="226">
        <f>H24+H25</f>
        <v>4440.9799999999996</v>
      </c>
    </row>
    <row r="24" spans="1:8" ht="36" x14ac:dyDescent="0.35">
      <c r="A24" s="342"/>
      <c r="B24" s="516" t="s">
        <v>203</v>
      </c>
      <c r="C24" s="217" t="s">
        <v>39</v>
      </c>
      <c r="D24" s="218" t="s">
        <v>45</v>
      </c>
      <c r="E24" s="218" t="s">
        <v>37</v>
      </c>
      <c r="F24" s="219" t="s">
        <v>274</v>
      </c>
      <c r="G24" s="28" t="s">
        <v>204</v>
      </c>
      <c r="H24" s="226">
        <f>'прил9 (ведом 23)'!M392</f>
        <v>3231.2799999999997</v>
      </c>
    </row>
    <row r="25" spans="1:8" ht="50.25" customHeight="1" x14ac:dyDescent="0.35">
      <c r="A25" s="342"/>
      <c r="B25" s="515" t="s">
        <v>76</v>
      </c>
      <c r="C25" s="217" t="s">
        <v>39</v>
      </c>
      <c r="D25" s="218" t="s">
        <v>45</v>
      </c>
      <c r="E25" s="218" t="s">
        <v>37</v>
      </c>
      <c r="F25" s="219" t="s">
        <v>274</v>
      </c>
      <c r="G25" s="28" t="s">
        <v>77</v>
      </c>
      <c r="H25" s="220">
        <f>'прил9 (ведом 23)'!M452</f>
        <v>1209.6999999999998</v>
      </c>
    </row>
    <row r="26" spans="1:8" ht="120" customHeight="1" x14ac:dyDescent="0.35">
      <c r="A26" s="342"/>
      <c r="B26" s="514" t="s">
        <v>283</v>
      </c>
      <c r="C26" s="217" t="s">
        <v>39</v>
      </c>
      <c r="D26" s="218" t="s">
        <v>45</v>
      </c>
      <c r="E26" s="218" t="s">
        <v>37</v>
      </c>
      <c r="F26" s="219" t="s">
        <v>284</v>
      </c>
      <c r="G26" s="28"/>
      <c r="H26" s="226">
        <f>SUM(H27:H28)</f>
        <v>6292.9</v>
      </c>
    </row>
    <row r="27" spans="1:8" ht="36" x14ac:dyDescent="0.35">
      <c r="A27" s="342"/>
      <c r="B27" s="514" t="s">
        <v>55</v>
      </c>
      <c r="C27" s="217" t="s">
        <v>39</v>
      </c>
      <c r="D27" s="218" t="s">
        <v>45</v>
      </c>
      <c r="E27" s="218" t="s">
        <v>37</v>
      </c>
      <c r="F27" s="219" t="s">
        <v>284</v>
      </c>
      <c r="G27" s="28" t="s">
        <v>56</v>
      </c>
      <c r="H27" s="226">
        <f>'прил9 (ведом 23)'!M609</f>
        <v>92.9</v>
      </c>
    </row>
    <row r="28" spans="1:8" ht="18" x14ac:dyDescent="0.35">
      <c r="A28" s="342"/>
      <c r="B28" s="517" t="s">
        <v>120</v>
      </c>
      <c r="C28" s="217" t="s">
        <v>39</v>
      </c>
      <c r="D28" s="218" t="s">
        <v>45</v>
      </c>
      <c r="E28" s="218" t="s">
        <v>37</v>
      </c>
      <c r="F28" s="219" t="s">
        <v>284</v>
      </c>
      <c r="G28" s="28" t="s">
        <v>121</v>
      </c>
      <c r="H28" s="226">
        <f>'прил9 (ведом 23)'!M610</f>
        <v>6200</v>
      </c>
    </row>
    <row r="29" spans="1:8" ht="162" x14ac:dyDescent="0.35">
      <c r="A29" s="342"/>
      <c r="B29" s="514" t="s">
        <v>268</v>
      </c>
      <c r="C29" s="217" t="s">
        <v>39</v>
      </c>
      <c r="D29" s="218" t="s">
        <v>45</v>
      </c>
      <c r="E29" s="218" t="s">
        <v>37</v>
      </c>
      <c r="F29" s="219" t="s">
        <v>269</v>
      </c>
      <c r="G29" s="28"/>
      <c r="H29" s="226">
        <f>H30</f>
        <v>536.4</v>
      </c>
    </row>
    <row r="30" spans="1:8" ht="36" x14ac:dyDescent="0.35">
      <c r="A30" s="342"/>
      <c r="B30" s="514" t="s">
        <v>76</v>
      </c>
      <c r="C30" s="217" t="s">
        <v>39</v>
      </c>
      <c r="D30" s="218" t="s">
        <v>45</v>
      </c>
      <c r="E30" s="218" t="s">
        <v>37</v>
      </c>
      <c r="F30" s="219" t="s">
        <v>269</v>
      </c>
      <c r="G30" s="28" t="s">
        <v>77</v>
      </c>
      <c r="H30" s="226">
        <f>'прил9 (ведом 23)'!M454</f>
        <v>536.4</v>
      </c>
    </row>
    <row r="31" spans="1:8" ht="90" x14ac:dyDescent="0.35">
      <c r="A31" s="342"/>
      <c r="B31" s="514" t="s">
        <v>345</v>
      </c>
      <c r="C31" s="217" t="s">
        <v>39</v>
      </c>
      <c r="D31" s="218" t="s">
        <v>45</v>
      </c>
      <c r="E31" s="218" t="s">
        <v>37</v>
      </c>
      <c r="F31" s="219" t="s">
        <v>270</v>
      </c>
      <c r="G31" s="28"/>
      <c r="H31" s="226">
        <f>H32</f>
        <v>251582.4</v>
      </c>
    </row>
    <row r="32" spans="1:8" ht="36" x14ac:dyDescent="0.35">
      <c r="A32" s="342"/>
      <c r="B32" s="517" t="s">
        <v>76</v>
      </c>
      <c r="C32" s="217" t="s">
        <v>39</v>
      </c>
      <c r="D32" s="218" t="s">
        <v>45</v>
      </c>
      <c r="E32" s="218" t="s">
        <v>37</v>
      </c>
      <c r="F32" s="219" t="s">
        <v>270</v>
      </c>
      <c r="G32" s="28" t="s">
        <v>77</v>
      </c>
      <c r="H32" s="226">
        <f>'прил9 (ведом 23)'!M456</f>
        <v>251582.4</v>
      </c>
    </row>
    <row r="33" spans="1:8" ht="54" x14ac:dyDescent="0.35">
      <c r="A33" s="342"/>
      <c r="B33" s="601" t="s">
        <v>697</v>
      </c>
      <c r="C33" s="696" t="s">
        <v>39</v>
      </c>
      <c r="D33" s="697" t="s">
        <v>45</v>
      </c>
      <c r="E33" s="697" t="s">
        <v>37</v>
      </c>
      <c r="F33" s="698" t="s">
        <v>696</v>
      </c>
      <c r="G33" s="10"/>
      <c r="H33" s="226">
        <f>H34</f>
        <v>4901.7</v>
      </c>
    </row>
    <row r="34" spans="1:8" ht="36" x14ac:dyDescent="0.35">
      <c r="A34" s="342"/>
      <c r="B34" s="601" t="s">
        <v>76</v>
      </c>
      <c r="C34" s="696" t="s">
        <v>39</v>
      </c>
      <c r="D34" s="697" t="s">
        <v>45</v>
      </c>
      <c r="E34" s="697" t="s">
        <v>37</v>
      </c>
      <c r="F34" s="698" t="s">
        <v>696</v>
      </c>
      <c r="G34" s="10" t="s">
        <v>77</v>
      </c>
      <c r="H34" s="226">
        <f>'прил9 (ведом 23)'!M458</f>
        <v>4901.7</v>
      </c>
    </row>
    <row r="35" spans="1:8" ht="108" x14ac:dyDescent="0.35">
      <c r="A35" s="342"/>
      <c r="B35" s="516" t="s">
        <v>505</v>
      </c>
      <c r="C35" s="217" t="s">
        <v>39</v>
      </c>
      <c r="D35" s="218" t="s">
        <v>45</v>
      </c>
      <c r="E35" s="218" t="s">
        <v>37</v>
      </c>
      <c r="F35" s="219" t="s">
        <v>504</v>
      </c>
      <c r="G35" s="28"/>
      <c r="H35" s="226">
        <f>H36</f>
        <v>85084.400000000009</v>
      </c>
    </row>
    <row r="36" spans="1:8" ht="36" x14ac:dyDescent="0.35">
      <c r="A36" s="342"/>
      <c r="B36" s="516" t="s">
        <v>203</v>
      </c>
      <c r="C36" s="217" t="s">
        <v>39</v>
      </c>
      <c r="D36" s="218" t="s">
        <v>45</v>
      </c>
      <c r="E36" s="218" t="s">
        <v>37</v>
      </c>
      <c r="F36" s="219" t="s">
        <v>504</v>
      </c>
      <c r="G36" s="28" t="s">
        <v>204</v>
      </c>
      <c r="H36" s="226">
        <f>'прил9 (ведом 23)'!M394</f>
        <v>85084.400000000009</v>
      </c>
    </row>
    <row r="37" spans="1:8" ht="162" x14ac:dyDescent="0.35">
      <c r="A37" s="342"/>
      <c r="B37" s="518" t="s">
        <v>554</v>
      </c>
      <c r="C37" s="696" t="s">
        <v>39</v>
      </c>
      <c r="D37" s="697" t="s">
        <v>45</v>
      </c>
      <c r="E37" s="697" t="s">
        <v>37</v>
      </c>
      <c r="F37" s="698" t="s">
        <v>555</v>
      </c>
      <c r="G37" s="10"/>
      <c r="H37" s="226">
        <f>H38</f>
        <v>1469.3</v>
      </c>
    </row>
    <row r="38" spans="1:8" ht="36" x14ac:dyDescent="0.35">
      <c r="A38" s="342"/>
      <c r="B38" s="518" t="s">
        <v>76</v>
      </c>
      <c r="C38" s="696" t="s">
        <v>39</v>
      </c>
      <c r="D38" s="697" t="s">
        <v>45</v>
      </c>
      <c r="E38" s="697" t="s">
        <v>37</v>
      </c>
      <c r="F38" s="698" t="s">
        <v>555</v>
      </c>
      <c r="G38" s="10" t="s">
        <v>77</v>
      </c>
      <c r="H38" s="226">
        <f>'прил9 (ведом 23)'!M460</f>
        <v>1469.3</v>
      </c>
    </row>
    <row r="39" spans="1:8" ht="18" x14ac:dyDescent="0.35">
      <c r="A39" s="342"/>
      <c r="B39" s="514" t="s">
        <v>272</v>
      </c>
      <c r="C39" s="217" t="s">
        <v>39</v>
      </c>
      <c r="D39" s="218" t="s">
        <v>45</v>
      </c>
      <c r="E39" s="218" t="s">
        <v>39</v>
      </c>
      <c r="F39" s="219" t="s">
        <v>44</v>
      </c>
      <c r="G39" s="28"/>
      <c r="H39" s="226">
        <f>H48+H51+H61+H65+H69+H40+H45+H78+H58+H56+H74+H85+H83+H81+H72</f>
        <v>888891.21530000004</v>
      </c>
    </row>
    <row r="40" spans="1:8" ht="36" x14ac:dyDescent="0.35">
      <c r="A40" s="342"/>
      <c r="B40" s="514" t="s">
        <v>466</v>
      </c>
      <c r="C40" s="217" t="s">
        <v>39</v>
      </c>
      <c r="D40" s="218" t="s">
        <v>45</v>
      </c>
      <c r="E40" s="218" t="s">
        <v>39</v>
      </c>
      <c r="F40" s="219" t="s">
        <v>91</v>
      </c>
      <c r="G40" s="28"/>
      <c r="H40" s="226">
        <f>SUM(H41:H44)</f>
        <v>78980.639999999985</v>
      </c>
    </row>
    <row r="41" spans="1:8" ht="90" x14ac:dyDescent="0.35">
      <c r="A41" s="342"/>
      <c r="B41" s="515" t="s">
        <v>49</v>
      </c>
      <c r="C41" s="217" t="s">
        <v>39</v>
      </c>
      <c r="D41" s="218" t="s">
        <v>45</v>
      </c>
      <c r="E41" s="218" t="s">
        <v>39</v>
      </c>
      <c r="F41" s="219" t="s">
        <v>91</v>
      </c>
      <c r="G41" s="28" t="s">
        <v>50</v>
      </c>
      <c r="H41" s="226">
        <f>'прил9 (ведом 23)'!M480</f>
        <v>361.1</v>
      </c>
    </row>
    <row r="42" spans="1:8" ht="36" x14ac:dyDescent="0.35">
      <c r="A42" s="342"/>
      <c r="B42" s="515" t="s">
        <v>55</v>
      </c>
      <c r="C42" s="217" t="s">
        <v>39</v>
      </c>
      <c r="D42" s="218" t="s">
        <v>45</v>
      </c>
      <c r="E42" s="218" t="s">
        <v>39</v>
      </c>
      <c r="F42" s="219" t="s">
        <v>91</v>
      </c>
      <c r="G42" s="28" t="s">
        <v>56</v>
      </c>
      <c r="H42" s="226">
        <f>'прил9 (ведом 23)'!M481</f>
        <v>7370.2400000000007</v>
      </c>
    </row>
    <row r="43" spans="1:8" ht="36" x14ac:dyDescent="0.35">
      <c r="A43" s="342"/>
      <c r="B43" s="514" t="s">
        <v>76</v>
      </c>
      <c r="C43" s="217" t="s">
        <v>39</v>
      </c>
      <c r="D43" s="218" t="s">
        <v>45</v>
      </c>
      <c r="E43" s="218" t="s">
        <v>39</v>
      </c>
      <c r="F43" s="219" t="s">
        <v>91</v>
      </c>
      <c r="G43" s="28" t="s">
        <v>77</v>
      </c>
      <c r="H43" s="226">
        <f>'прил9 (ведом 23)'!M482</f>
        <v>70750.799999999988</v>
      </c>
    </row>
    <row r="44" spans="1:8" ht="18" x14ac:dyDescent="0.35">
      <c r="A44" s="342"/>
      <c r="B44" s="514" t="s">
        <v>57</v>
      </c>
      <c r="C44" s="217" t="s">
        <v>39</v>
      </c>
      <c r="D44" s="218" t="s">
        <v>45</v>
      </c>
      <c r="E44" s="218" t="s">
        <v>39</v>
      </c>
      <c r="F44" s="219" t="s">
        <v>91</v>
      </c>
      <c r="G44" s="28" t="s">
        <v>58</v>
      </c>
      <c r="H44" s="226">
        <f>'прил9 (ведом 23)'!M483</f>
        <v>498.5</v>
      </c>
    </row>
    <row r="45" spans="1:8" ht="18" x14ac:dyDescent="0.35">
      <c r="A45" s="342"/>
      <c r="B45" s="515" t="s">
        <v>467</v>
      </c>
      <c r="C45" s="217" t="s">
        <v>39</v>
      </c>
      <c r="D45" s="218" t="s">
        <v>45</v>
      </c>
      <c r="E45" s="218" t="s">
        <v>39</v>
      </c>
      <c r="F45" s="219" t="s">
        <v>381</v>
      </c>
      <c r="G45" s="28"/>
      <c r="H45" s="226">
        <f>SUM(H46:H47)</f>
        <v>23874.365159999998</v>
      </c>
    </row>
    <row r="46" spans="1:8" ht="36" x14ac:dyDescent="0.35">
      <c r="A46" s="342"/>
      <c r="B46" s="515" t="s">
        <v>55</v>
      </c>
      <c r="C46" s="217" t="s">
        <v>39</v>
      </c>
      <c r="D46" s="218" t="s">
        <v>45</v>
      </c>
      <c r="E46" s="218" t="s">
        <v>39</v>
      </c>
      <c r="F46" s="219" t="s">
        <v>381</v>
      </c>
      <c r="G46" s="28" t="s">
        <v>56</v>
      </c>
      <c r="H46" s="226">
        <f>'прил9 (ведом 23)'!M485</f>
        <v>5386.4901600000003</v>
      </c>
    </row>
    <row r="47" spans="1:8" ht="36" x14ac:dyDescent="0.35">
      <c r="A47" s="342"/>
      <c r="B47" s="514" t="s">
        <v>76</v>
      </c>
      <c r="C47" s="217" t="s">
        <v>39</v>
      </c>
      <c r="D47" s="218" t="s">
        <v>45</v>
      </c>
      <c r="E47" s="218" t="s">
        <v>39</v>
      </c>
      <c r="F47" s="219" t="s">
        <v>381</v>
      </c>
      <c r="G47" s="28" t="s">
        <v>77</v>
      </c>
      <c r="H47" s="226">
        <f>'прил9 (ведом 23)'!M486</f>
        <v>18487.874999999996</v>
      </c>
    </row>
    <row r="48" spans="1:8" ht="36" x14ac:dyDescent="0.35">
      <c r="A48" s="342"/>
      <c r="B48" s="514" t="s">
        <v>207</v>
      </c>
      <c r="C48" s="217" t="s">
        <v>39</v>
      </c>
      <c r="D48" s="218" t="s">
        <v>45</v>
      </c>
      <c r="E48" s="218" t="s">
        <v>39</v>
      </c>
      <c r="F48" s="219" t="s">
        <v>273</v>
      </c>
      <c r="G48" s="28"/>
      <c r="H48" s="226">
        <f>SUM(H49:H50)</f>
        <v>30652.299999999996</v>
      </c>
    </row>
    <row r="49" spans="1:8" ht="36" x14ac:dyDescent="0.35">
      <c r="A49" s="342"/>
      <c r="B49" s="515" t="s">
        <v>55</v>
      </c>
      <c r="C49" s="217" t="s">
        <v>39</v>
      </c>
      <c r="D49" s="218" t="s">
        <v>45</v>
      </c>
      <c r="E49" s="218" t="s">
        <v>39</v>
      </c>
      <c r="F49" s="219" t="s">
        <v>273</v>
      </c>
      <c r="G49" s="28" t="s">
        <v>56</v>
      </c>
      <c r="H49" s="226">
        <f>'прил9 (ведом 23)'!M488</f>
        <v>4381.8999999999996</v>
      </c>
    </row>
    <row r="50" spans="1:8" ht="36" x14ac:dyDescent="0.35">
      <c r="A50" s="342"/>
      <c r="B50" s="514" t="s">
        <v>76</v>
      </c>
      <c r="C50" s="217" t="s">
        <v>39</v>
      </c>
      <c r="D50" s="218" t="s">
        <v>45</v>
      </c>
      <c r="E50" s="218" t="s">
        <v>39</v>
      </c>
      <c r="F50" s="219" t="s">
        <v>273</v>
      </c>
      <c r="G50" s="28" t="s">
        <v>77</v>
      </c>
      <c r="H50" s="226">
        <f>'прил9 (ведом 23)'!M489</f>
        <v>26270.399999999998</v>
      </c>
    </row>
    <row r="51" spans="1:8" ht="36" x14ac:dyDescent="0.35">
      <c r="A51" s="342"/>
      <c r="B51" s="514" t="s">
        <v>208</v>
      </c>
      <c r="C51" s="217" t="s">
        <v>39</v>
      </c>
      <c r="D51" s="218" t="s">
        <v>45</v>
      </c>
      <c r="E51" s="218" t="s">
        <v>39</v>
      </c>
      <c r="F51" s="219" t="s">
        <v>274</v>
      </c>
      <c r="G51" s="28"/>
      <c r="H51" s="226">
        <f>SUM(H52:H55)</f>
        <v>61868.410139999993</v>
      </c>
    </row>
    <row r="52" spans="1:8" ht="90" x14ac:dyDescent="0.35">
      <c r="A52" s="342"/>
      <c r="B52" s="518" t="s">
        <v>49</v>
      </c>
      <c r="C52" s="217" t="s">
        <v>39</v>
      </c>
      <c r="D52" s="218" t="s">
        <v>45</v>
      </c>
      <c r="E52" s="218" t="s">
        <v>39</v>
      </c>
      <c r="F52" s="219" t="s">
        <v>274</v>
      </c>
      <c r="G52" s="28" t="s">
        <v>50</v>
      </c>
      <c r="H52" s="226">
        <f>'прил9 (ведом 23)'!M491</f>
        <v>93.8</v>
      </c>
    </row>
    <row r="53" spans="1:8" ht="36" x14ac:dyDescent="0.35">
      <c r="A53" s="342"/>
      <c r="B53" s="515" t="s">
        <v>55</v>
      </c>
      <c r="C53" s="217" t="s">
        <v>39</v>
      </c>
      <c r="D53" s="218" t="s">
        <v>45</v>
      </c>
      <c r="E53" s="218" t="s">
        <v>39</v>
      </c>
      <c r="F53" s="219" t="s">
        <v>274</v>
      </c>
      <c r="G53" s="28" t="s">
        <v>56</v>
      </c>
      <c r="H53" s="226">
        <f>'прил9 (ведом 23)'!M492</f>
        <v>27664.510139999999</v>
      </c>
    </row>
    <row r="54" spans="1:8" ht="36" x14ac:dyDescent="0.35">
      <c r="A54" s="342"/>
      <c r="B54" s="516" t="s">
        <v>203</v>
      </c>
      <c r="C54" s="217" t="s">
        <v>39</v>
      </c>
      <c r="D54" s="218" t="s">
        <v>45</v>
      </c>
      <c r="E54" s="218" t="s">
        <v>39</v>
      </c>
      <c r="F54" s="219" t="s">
        <v>274</v>
      </c>
      <c r="G54" s="28" t="s">
        <v>204</v>
      </c>
      <c r="H54" s="226">
        <f>'прил9 (ведом 23)'!M400+'прил9 (ведом 23)'!M493</f>
        <v>4140.2999999999993</v>
      </c>
    </row>
    <row r="55" spans="1:8" ht="36" x14ac:dyDescent="0.35">
      <c r="A55" s="342"/>
      <c r="B55" s="514" t="s">
        <v>76</v>
      </c>
      <c r="C55" s="217" t="s">
        <v>39</v>
      </c>
      <c r="D55" s="218" t="s">
        <v>45</v>
      </c>
      <c r="E55" s="218" t="s">
        <v>39</v>
      </c>
      <c r="F55" s="219" t="s">
        <v>274</v>
      </c>
      <c r="G55" s="28" t="s">
        <v>77</v>
      </c>
      <c r="H55" s="226">
        <f>'прил9 (ведом 23)'!M494</f>
        <v>29969.8</v>
      </c>
    </row>
    <row r="56" spans="1:8" ht="54" x14ac:dyDescent="0.35">
      <c r="A56" s="342"/>
      <c r="B56" s="515" t="s">
        <v>522</v>
      </c>
      <c r="C56" s="217" t="s">
        <v>39</v>
      </c>
      <c r="D56" s="218" t="s">
        <v>45</v>
      </c>
      <c r="E56" s="218" t="s">
        <v>39</v>
      </c>
      <c r="F56" s="219" t="s">
        <v>523</v>
      </c>
      <c r="G56" s="28"/>
      <c r="H56" s="220">
        <f>H57</f>
        <v>30</v>
      </c>
    </row>
    <row r="57" spans="1:8" ht="36" x14ac:dyDescent="0.35">
      <c r="A57" s="342"/>
      <c r="B57" s="515" t="s">
        <v>76</v>
      </c>
      <c r="C57" s="217" t="s">
        <v>39</v>
      </c>
      <c r="D57" s="218" t="s">
        <v>45</v>
      </c>
      <c r="E57" s="218" t="s">
        <v>39</v>
      </c>
      <c r="F57" s="219" t="s">
        <v>523</v>
      </c>
      <c r="G57" s="28" t="s">
        <v>77</v>
      </c>
      <c r="H57" s="220">
        <f>'прил9 (ведом 23)'!M496</f>
        <v>30</v>
      </c>
    </row>
    <row r="58" spans="1:8" ht="234" x14ac:dyDescent="0.35">
      <c r="A58" s="342"/>
      <c r="B58" s="515" t="s">
        <v>606</v>
      </c>
      <c r="C58" s="217" t="s">
        <v>39</v>
      </c>
      <c r="D58" s="218" t="s">
        <v>45</v>
      </c>
      <c r="E58" s="218" t="s">
        <v>39</v>
      </c>
      <c r="F58" s="219" t="s">
        <v>524</v>
      </c>
      <c r="G58" s="28"/>
      <c r="H58" s="226">
        <f>H59+H60</f>
        <v>35518.6</v>
      </c>
    </row>
    <row r="59" spans="1:8" ht="90" x14ac:dyDescent="0.35">
      <c r="A59" s="342"/>
      <c r="B59" s="515" t="s">
        <v>49</v>
      </c>
      <c r="C59" s="217" t="s">
        <v>39</v>
      </c>
      <c r="D59" s="218" t="s">
        <v>45</v>
      </c>
      <c r="E59" s="218" t="s">
        <v>39</v>
      </c>
      <c r="F59" s="219" t="s">
        <v>524</v>
      </c>
      <c r="G59" s="28" t="s">
        <v>50</v>
      </c>
      <c r="H59" s="226">
        <f>'прил9 (ведом 23)'!M498</f>
        <v>2968.5</v>
      </c>
    </row>
    <row r="60" spans="1:8" ht="36" x14ac:dyDescent="0.35">
      <c r="A60" s="342"/>
      <c r="B60" s="515" t="s">
        <v>76</v>
      </c>
      <c r="C60" s="217" t="s">
        <v>39</v>
      </c>
      <c r="D60" s="218" t="s">
        <v>45</v>
      </c>
      <c r="E60" s="218" t="s">
        <v>39</v>
      </c>
      <c r="F60" s="219" t="s">
        <v>524</v>
      </c>
      <c r="G60" s="28" t="s">
        <v>77</v>
      </c>
      <c r="H60" s="226">
        <f>'прил9 (ведом 23)'!M499</f>
        <v>32550.1</v>
      </c>
    </row>
    <row r="61" spans="1:8" ht="162" x14ac:dyDescent="0.35">
      <c r="A61" s="342"/>
      <c r="B61" s="514" t="s">
        <v>268</v>
      </c>
      <c r="C61" s="217" t="s">
        <v>39</v>
      </c>
      <c r="D61" s="218" t="s">
        <v>45</v>
      </c>
      <c r="E61" s="218" t="s">
        <v>39</v>
      </c>
      <c r="F61" s="219" t="s">
        <v>269</v>
      </c>
      <c r="G61" s="28"/>
      <c r="H61" s="226">
        <f>SUM(H62:H64)</f>
        <v>1538.1</v>
      </c>
    </row>
    <row r="62" spans="1:8" ht="90" x14ac:dyDescent="0.35">
      <c r="A62" s="342"/>
      <c r="B62" s="515" t="s">
        <v>49</v>
      </c>
      <c r="C62" s="217" t="s">
        <v>39</v>
      </c>
      <c r="D62" s="218" t="s">
        <v>45</v>
      </c>
      <c r="E62" s="218" t="s">
        <v>39</v>
      </c>
      <c r="F62" s="219" t="s">
        <v>269</v>
      </c>
      <c r="G62" s="28" t="s">
        <v>50</v>
      </c>
      <c r="H62" s="226">
        <f>'прил9 (ведом 23)'!M501</f>
        <v>77.5</v>
      </c>
    </row>
    <row r="63" spans="1:8" ht="18" x14ac:dyDescent="0.35">
      <c r="A63" s="342"/>
      <c r="B63" s="515" t="s">
        <v>120</v>
      </c>
      <c r="C63" s="217" t="s">
        <v>39</v>
      </c>
      <c r="D63" s="218" t="s">
        <v>45</v>
      </c>
      <c r="E63" s="218" t="s">
        <v>39</v>
      </c>
      <c r="F63" s="219" t="s">
        <v>269</v>
      </c>
      <c r="G63" s="28" t="s">
        <v>121</v>
      </c>
      <c r="H63" s="226">
        <f>'прил9 (ведом 23)'!M502</f>
        <v>5.5</v>
      </c>
    </row>
    <row r="64" spans="1:8" ht="36" x14ac:dyDescent="0.35">
      <c r="A64" s="342"/>
      <c r="B64" s="514" t="s">
        <v>76</v>
      </c>
      <c r="C64" s="217" t="s">
        <v>39</v>
      </c>
      <c r="D64" s="218" t="s">
        <v>45</v>
      </c>
      <c r="E64" s="218" t="s">
        <v>39</v>
      </c>
      <c r="F64" s="219" t="s">
        <v>269</v>
      </c>
      <c r="G64" s="28" t="s">
        <v>77</v>
      </c>
      <c r="H64" s="226">
        <f>'прил9 (ведом 23)'!M503</f>
        <v>1455.1</v>
      </c>
    </row>
    <row r="65" spans="1:8" ht="90" x14ac:dyDescent="0.35">
      <c r="A65" s="342"/>
      <c r="B65" s="514" t="s">
        <v>345</v>
      </c>
      <c r="C65" s="217" t="s">
        <v>39</v>
      </c>
      <c r="D65" s="218" t="s">
        <v>45</v>
      </c>
      <c r="E65" s="218" t="s">
        <v>39</v>
      </c>
      <c r="F65" s="219" t="s">
        <v>270</v>
      </c>
      <c r="G65" s="28"/>
      <c r="H65" s="226">
        <f>SUM(H66:H68)</f>
        <v>458610.1</v>
      </c>
    </row>
    <row r="66" spans="1:8" ht="90" x14ac:dyDescent="0.35">
      <c r="A66" s="342"/>
      <c r="B66" s="514" t="s">
        <v>49</v>
      </c>
      <c r="C66" s="217" t="s">
        <v>39</v>
      </c>
      <c r="D66" s="218" t="s">
        <v>45</v>
      </c>
      <c r="E66" s="218" t="s">
        <v>39</v>
      </c>
      <c r="F66" s="219" t="s">
        <v>270</v>
      </c>
      <c r="G66" s="28" t="s">
        <v>50</v>
      </c>
      <c r="H66" s="226">
        <f>'прил9 (ведом 23)'!M505</f>
        <v>30071.8</v>
      </c>
    </row>
    <row r="67" spans="1:8" ht="36" x14ac:dyDescent="0.35">
      <c r="A67" s="342"/>
      <c r="B67" s="514" t="s">
        <v>55</v>
      </c>
      <c r="C67" s="217" t="s">
        <v>39</v>
      </c>
      <c r="D67" s="218" t="s">
        <v>45</v>
      </c>
      <c r="E67" s="218" t="s">
        <v>39</v>
      </c>
      <c r="F67" s="219" t="s">
        <v>270</v>
      </c>
      <c r="G67" s="28" t="s">
        <v>56</v>
      </c>
      <c r="H67" s="226">
        <f>'прил9 (ведом 23)'!M506</f>
        <v>2171</v>
      </c>
    </row>
    <row r="68" spans="1:8" ht="36" x14ac:dyDescent="0.35">
      <c r="A68" s="342"/>
      <c r="B68" s="514" t="s">
        <v>76</v>
      </c>
      <c r="C68" s="217" t="s">
        <v>39</v>
      </c>
      <c r="D68" s="218" t="s">
        <v>45</v>
      </c>
      <c r="E68" s="218" t="s">
        <v>39</v>
      </c>
      <c r="F68" s="219" t="s">
        <v>270</v>
      </c>
      <c r="G68" s="28" t="s">
        <v>77</v>
      </c>
      <c r="H68" s="226">
        <f>'прил9 (ведом 23)'!M507</f>
        <v>426367.3</v>
      </c>
    </row>
    <row r="69" spans="1:8" ht="72" x14ac:dyDescent="0.35">
      <c r="A69" s="342"/>
      <c r="B69" s="514" t="s">
        <v>209</v>
      </c>
      <c r="C69" s="690" t="s">
        <v>39</v>
      </c>
      <c r="D69" s="690" t="s">
        <v>45</v>
      </c>
      <c r="E69" s="690" t="s">
        <v>39</v>
      </c>
      <c r="F69" s="691" t="s">
        <v>275</v>
      </c>
      <c r="G69" s="247"/>
      <c r="H69" s="226">
        <f>SUM(H70:H71)</f>
        <v>2484.5</v>
      </c>
    </row>
    <row r="70" spans="1:8" ht="36" x14ac:dyDescent="0.35">
      <c r="A70" s="342"/>
      <c r="B70" s="515" t="s">
        <v>55</v>
      </c>
      <c r="C70" s="217" t="s">
        <v>39</v>
      </c>
      <c r="D70" s="218" t="s">
        <v>45</v>
      </c>
      <c r="E70" s="218" t="s">
        <v>39</v>
      </c>
      <c r="F70" s="219" t="s">
        <v>275</v>
      </c>
      <c r="G70" s="28" t="s">
        <v>56</v>
      </c>
      <c r="H70" s="226">
        <f>'прил9 (ведом 23)'!M509</f>
        <v>123.3</v>
      </c>
    </row>
    <row r="71" spans="1:8" ht="36" x14ac:dyDescent="0.35">
      <c r="A71" s="342"/>
      <c r="B71" s="514" t="s">
        <v>76</v>
      </c>
      <c r="C71" s="690" t="s">
        <v>39</v>
      </c>
      <c r="D71" s="690" t="s">
        <v>45</v>
      </c>
      <c r="E71" s="690" t="s">
        <v>39</v>
      </c>
      <c r="F71" s="691" t="s">
        <v>275</v>
      </c>
      <c r="G71" s="247" t="s">
        <v>77</v>
      </c>
      <c r="H71" s="226">
        <f>'прил9 (ведом 23)'!M510</f>
        <v>2361.1999999999998</v>
      </c>
    </row>
    <row r="72" spans="1:8" ht="54" x14ac:dyDescent="0.35">
      <c r="A72" s="342"/>
      <c r="B72" s="518" t="s">
        <v>697</v>
      </c>
      <c r="C72" s="696" t="s">
        <v>39</v>
      </c>
      <c r="D72" s="697" t="s">
        <v>45</v>
      </c>
      <c r="E72" s="697" t="s">
        <v>39</v>
      </c>
      <c r="F72" s="698" t="s">
        <v>696</v>
      </c>
      <c r="G72" s="10"/>
      <c r="H72" s="226">
        <f>H73</f>
        <v>22664.799999999999</v>
      </c>
    </row>
    <row r="73" spans="1:8" ht="36" x14ac:dyDescent="0.35">
      <c r="A73" s="342"/>
      <c r="B73" s="518" t="s">
        <v>76</v>
      </c>
      <c r="C73" s="696" t="s">
        <v>39</v>
      </c>
      <c r="D73" s="697" t="s">
        <v>45</v>
      </c>
      <c r="E73" s="697" t="s">
        <v>39</v>
      </c>
      <c r="F73" s="698" t="s">
        <v>696</v>
      </c>
      <c r="G73" s="10" t="s">
        <v>77</v>
      </c>
      <c r="H73" s="226">
        <f>'прил9 (ведом 23)'!M512</f>
        <v>22664.799999999999</v>
      </c>
    </row>
    <row r="74" spans="1:8" ht="126" x14ac:dyDescent="0.35">
      <c r="A74" s="342"/>
      <c r="B74" s="515" t="s">
        <v>553</v>
      </c>
      <c r="C74" s="217" t="s">
        <v>39</v>
      </c>
      <c r="D74" s="218" t="s">
        <v>45</v>
      </c>
      <c r="E74" s="218" t="s">
        <v>39</v>
      </c>
      <c r="F74" s="219" t="s">
        <v>552</v>
      </c>
      <c r="G74" s="247"/>
      <c r="H74" s="226">
        <f>SUM(H75:H77)</f>
        <v>2268.1999999999998</v>
      </c>
    </row>
    <row r="75" spans="1:8" ht="36" x14ac:dyDescent="0.35">
      <c r="A75" s="342"/>
      <c r="B75" s="515" t="s">
        <v>55</v>
      </c>
      <c r="C75" s="217" t="s">
        <v>39</v>
      </c>
      <c r="D75" s="218" t="s">
        <v>45</v>
      </c>
      <c r="E75" s="218" t="s">
        <v>39</v>
      </c>
      <c r="F75" s="219" t="s">
        <v>552</v>
      </c>
      <c r="G75" s="28" t="s">
        <v>56</v>
      </c>
      <c r="H75" s="226">
        <f>'прил9 (ведом 23)'!M514</f>
        <v>91.9</v>
      </c>
    </row>
    <row r="76" spans="1:8" ht="18" x14ac:dyDescent="0.35">
      <c r="A76" s="342"/>
      <c r="B76" s="515" t="s">
        <v>120</v>
      </c>
      <c r="C76" s="696" t="s">
        <v>39</v>
      </c>
      <c r="D76" s="697" t="s">
        <v>45</v>
      </c>
      <c r="E76" s="697" t="s">
        <v>39</v>
      </c>
      <c r="F76" s="698" t="s">
        <v>552</v>
      </c>
      <c r="G76" s="10" t="s">
        <v>121</v>
      </c>
      <c r="H76" s="226">
        <f>'прил9 (ведом 23)'!M515</f>
        <v>23.6</v>
      </c>
    </row>
    <row r="77" spans="1:8" ht="36" x14ac:dyDescent="0.35">
      <c r="A77" s="342"/>
      <c r="B77" s="515" t="s">
        <v>76</v>
      </c>
      <c r="C77" s="217" t="s">
        <v>39</v>
      </c>
      <c r="D77" s="218" t="s">
        <v>45</v>
      </c>
      <c r="E77" s="218" t="s">
        <v>39</v>
      </c>
      <c r="F77" s="219" t="s">
        <v>552</v>
      </c>
      <c r="G77" s="28" t="s">
        <v>77</v>
      </c>
      <c r="H77" s="226">
        <f>'прил9 (ведом 23)'!M516</f>
        <v>2152.6999999999998</v>
      </c>
    </row>
    <row r="78" spans="1:8" ht="72" x14ac:dyDescent="0.35">
      <c r="A78" s="342"/>
      <c r="B78" s="515" t="s">
        <v>457</v>
      </c>
      <c r="C78" s="217" t="s">
        <v>39</v>
      </c>
      <c r="D78" s="218" t="s">
        <v>45</v>
      </c>
      <c r="E78" s="218" t="s">
        <v>39</v>
      </c>
      <c r="F78" s="219" t="s">
        <v>456</v>
      </c>
      <c r="G78" s="28"/>
      <c r="H78" s="226">
        <f>H79+H80</f>
        <v>66492.899999999994</v>
      </c>
    </row>
    <row r="79" spans="1:8" ht="36" x14ac:dyDescent="0.35">
      <c r="A79" s="342"/>
      <c r="B79" s="515" t="s">
        <v>55</v>
      </c>
      <c r="C79" s="217" t="s">
        <v>39</v>
      </c>
      <c r="D79" s="218" t="s">
        <v>45</v>
      </c>
      <c r="E79" s="218" t="s">
        <v>39</v>
      </c>
      <c r="F79" s="219" t="s">
        <v>456</v>
      </c>
      <c r="G79" s="28" t="s">
        <v>56</v>
      </c>
      <c r="H79" s="226">
        <f>'прил9 (ведом 23)'!M518</f>
        <v>2004.5</v>
      </c>
    </row>
    <row r="80" spans="1:8" ht="36" x14ac:dyDescent="0.35">
      <c r="A80" s="342"/>
      <c r="B80" s="515" t="s">
        <v>76</v>
      </c>
      <c r="C80" s="217" t="s">
        <v>39</v>
      </c>
      <c r="D80" s="218" t="s">
        <v>45</v>
      </c>
      <c r="E80" s="218" t="s">
        <v>39</v>
      </c>
      <c r="F80" s="219" t="s">
        <v>456</v>
      </c>
      <c r="G80" s="28" t="s">
        <v>77</v>
      </c>
      <c r="H80" s="226">
        <f>'прил9 (ведом 23)'!M519</f>
        <v>64488.399999999994</v>
      </c>
    </row>
    <row r="81" spans="1:8" ht="36" x14ac:dyDescent="0.35">
      <c r="A81" s="342"/>
      <c r="B81" s="518" t="s">
        <v>656</v>
      </c>
      <c r="C81" s="696" t="s">
        <v>39</v>
      </c>
      <c r="D81" s="697" t="s">
        <v>45</v>
      </c>
      <c r="E81" s="697" t="s">
        <v>39</v>
      </c>
      <c r="F81" s="698" t="s">
        <v>664</v>
      </c>
      <c r="G81" s="10"/>
      <c r="H81" s="226">
        <f>H82</f>
        <v>40386.799999999996</v>
      </c>
    </row>
    <row r="82" spans="1:8" ht="36" x14ac:dyDescent="0.35">
      <c r="A82" s="342"/>
      <c r="B82" s="518" t="s">
        <v>76</v>
      </c>
      <c r="C82" s="696" t="s">
        <v>39</v>
      </c>
      <c r="D82" s="697" t="s">
        <v>45</v>
      </c>
      <c r="E82" s="697" t="s">
        <v>39</v>
      </c>
      <c r="F82" s="698" t="s">
        <v>664</v>
      </c>
      <c r="G82" s="10" t="s">
        <v>77</v>
      </c>
      <c r="H82" s="226">
        <f>'прил9 (ведом 23)'!M521</f>
        <v>40386.799999999996</v>
      </c>
    </row>
    <row r="83" spans="1:8" ht="108" x14ac:dyDescent="0.35">
      <c r="A83" s="342"/>
      <c r="B83" s="607" t="s">
        <v>505</v>
      </c>
      <c r="C83" s="374" t="s">
        <v>39</v>
      </c>
      <c r="D83" s="375" t="s">
        <v>45</v>
      </c>
      <c r="E83" s="375" t="s">
        <v>39</v>
      </c>
      <c r="F83" s="376" t="s">
        <v>504</v>
      </c>
      <c r="G83" s="434"/>
      <c r="H83" s="226">
        <f>H84</f>
        <v>47702</v>
      </c>
    </row>
    <row r="84" spans="1:8" ht="36" x14ac:dyDescent="0.35">
      <c r="A84" s="342"/>
      <c r="B84" s="607" t="s">
        <v>203</v>
      </c>
      <c r="C84" s="615" t="s">
        <v>39</v>
      </c>
      <c r="D84" s="616" t="s">
        <v>45</v>
      </c>
      <c r="E84" s="616" t="s">
        <v>39</v>
      </c>
      <c r="F84" s="617" t="s">
        <v>504</v>
      </c>
      <c r="G84" s="434" t="s">
        <v>204</v>
      </c>
      <c r="H84" s="226">
        <f>'прил9 (ведом 23)'!M402</f>
        <v>47702</v>
      </c>
    </row>
    <row r="85" spans="1:8" ht="72" x14ac:dyDescent="0.35">
      <c r="A85" s="342"/>
      <c r="B85" s="515" t="s">
        <v>550</v>
      </c>
      <c r="C85" s="217" t="s">
        <v>39</v>
      </c>
      <c r="D85" s="218" t="s">
        <v>45</v>
      </c>
      <c r="E85" s="218" t="s">
        <v>39</v>
      </c>
      <c r="F85" s="219" t="s">
        <v>549</v>
      </c>
      <c r="G85" s="28"/>
      <c r="H85" s="226">
        <f>H86+H87+H88</f>
        <v>15819.5</v>
      </c>
    </row>
    <row r="86" spans="1:8" ht="36" x14ac:dyDescent="0.35">
      <c r="A86" s="342"/>
      <c r="B86" s="515" t="s">
        <v>55</v>
      </c>
      <c r="C86" s="217" t="s">
        <v>39</v>
      </c>
      <c r="D86" s="218" t="s">
        <v>45</v>
      </c>
      <c r="E86" s="218" t="s">
        <v>39</v>
      </c>
      <c r="F86" s="219" t="s">
        <v>549</v>
      </c>
      <c r="G86" s="28" t="s">
        <v>56</v>
      </c>
      <c r="H86" s="226">
        <f>'прил9 (ведом 23)'!M523</f>
        <v>115.4</v>
      </c>
    </row>
    <row r="87" spans="1:8" ht="18" x14ac:dyDescent="0.35">
      <c r="A87" s="342"/>
      <c r="B87" s="515" t="s">
        <v>120</v>
      </c>
      <c r="C87" s="217" t="s">
        <v>39</v>
      </c>
      <c r="D87" s="218" t="s">
        <v>45</v>
      </c>
      <c r="E87" s="218" t="s">
        <v>39</v>
      </c>
      <c r="F87" s="219" t="s">
        <v>549</v>
      </c>
      <c r="G87" s="28" t="s">
        <v>121</v>
      </c>
      <c r="H87" s="226">
        <f>'прил9 (ведом 23)'!M524</f>
        <v>102.2</v>
      </c>
    </row>
    <row r="88" spans="1:8" ht="36" x14ac:dyDescent="0.35">
      <c r="A88" s="342"/>
      <c r="B88" s="515" t="s">
        <v>76</v>
      </c>
      <c r="C88" s="217" t="s">
        <v>39</v>
      </c>
      <c r="D88" s="218" t="s">
        <v>45</v>
      </c>
      <c r="E88" s="218" t="s">
        <v>39</v>
      </c>
      <c r="F88" s="219" t="s">
        <v>549</v>
      </c>
      <c r="G88" s="28" t="s">
        <v>77</v>
      </c>
      <c r="H88" s="226">
        <f>'прил9 (ведом 23)'!M525</f>
        <v>15601.9</v>
      </c>
    </row>
    <row r="89" spans="1:8" ht="36" x14ac:dyDescent="0.35">
      <c r="A89" s="342"/>
      <c r="B89" s="518" t="s">
        <v>663</v>
      </c>
      <c r="C89" s="696" t="s">
        <v>39</v>
      </c>
      <c r="D89" s="697" t="s">
        <v>45</v>
      </c>
      <c r="E89" s="697" t="s">
        <v>657</v>
      </c>
      <c r="F89" s="698" t="s">
        <v>44</v>
      </c>
      <c r="G89" s="10"/>
      <c r="H89" s="226">
        <f>H90+H93</f>
        <v>5656.9</v>
      </c>
    </row>
    <row r="90" spans="1:8" ht="72" x14ac:dyDescent="0.35">
      <c r="A90" s="342"/>
      <c r="B90" s="518" t="s">
        <v>676</v>
      </c>
      <c r="C90" s="696" t="s">
        <v>39</v>
      </c>
      <c r="D90" s="697" t="s">
        <v>45</v>
      </c>
      <c r="E90" s="697" t="s">
        <v>657</v>
      </c>
      <c r="F90" s="698" t="s">
        <v>675</v>
      </c>
      <c r="G90" s="10"/>
      <c r="H90" s="226">
        <f>H91+H92</f>
        <v>5560</v>
      </c>
    </row>
    <row r="91" spans="1:8" ht="90" x14ac:dyDescent="0.35">
      <c r="A91" s="342"/>
      <c r="B91" s="518" t="s">
        <v>49</v>
      </c>
      <c r="C91" s="696" t="s">
        <v>39</v>
      </c>
      <c r="D91" s="697" t="s">
        <v>45</v>
      </c>
      <c r="E91" s="697" t="s">
        <v>657</v>
      </c>
      <c r="F91" s="698" t="s">
        <v>675</v>
      </c>
      <c r="G91" s="10" t="s">
        <v>50</v>
      </c>
      <c r="H91" s="226">
        <f>'прил9 (ведом 23)'!M528</f>
        <v>406.82925</v>
      </c>
    </row>
    <row r="92" spans="1:8" ht="36" x14ac:dyDescent="0.35">
      <c r="A92" s="342"/>
      <c r="B92" s="518" t="s">
        <v>76</v>
      </c>
      <c r="C92" s="696" t="s">
        <v>39</v>
      </c>
      <c r="D92" s="697" t="s">
        <v>45</v>
      </c>
      <c r="E92" s="697" t="s">
        <v>657</v>
      </c>
      <c r="F92" s="698" t="s">
        <v>675</v>
      </c>
      <c r="G92" s="10" t="s">
        <v>77</v>
      </c>
      <c r="H92" s="226">
        <f>'прил9 (ведом 23)'!M529</f>
        <v>5153.1707500000002</v>
      </c>
    </row>
    <row r="93" spans="1:8" ht="90" x14ac:dyDescent="0.35">
      <c r="A93" s="342"/>
      <c r="B93" s="518" t="s">
        <v>659</v>
      </c>
      <c r="C93" s="696" t="s">
        <v>39</v>
      </c>
      <c r="D93" s="697" t="s">
        <v>45</v>
      </c>
      <c r="E93" s="697" t="s">
        <v>657</v>
      </c>
      <c r="F93" s="698" t="s">
        <v>658</v>
      </c>
      <c r="G93" s="10"/>
      <c r="H93" s="226">
        <f>H94</f>
        <v>96.9</v>
      </c>
    </row>
    <row r="94" spans="1:8" ht="36" x14ac:dyDescent="0.35">
      <c r="A94" s="342"/>
      <c r="B94" s="518" t="s">
        <v>76</v>
      </c>
      <c r="C94" s="696" t="s">
        <v>39</v>
      </c>
      <c r="D94" s="697" t="s">
        <v>45</v>
      </c>
      <c r="E94" s="697" t="s">
        <v>657</v>
      </c>
      <c r="F94" s="698" t="s">
        <v>658</v>
      </c>
      <c r="G94" s="10" t="s">
        <v>77</v>
      </c>
      <c r="H94" s="226">
        <f>'прил9 (ведом 23)'!M531</f>
        <v>96.9</v>
      </c>
    </row>
    <row r="95" spans="1:8" ht="18" x14ac:dyDescent="0.35">
      <c r="A95" s="342"/>
      <c r="B95" s="514" t="s">
        <v>210</v>
      </c>
      <c r="C95" s="217" t="s">
        <v>39</v>
      </c>
      <c r="D95" s="218" t="s">
        <v>89</v>
      </c>
      <c r="E95" s="218" t="s">
        <v>43</v>
      </c>
      <c r="F95" s="219" t="s">
        <v>44</v>
      </c>
      <c r="G95" s="247"/>
      <c r="H95" s="226">
        <f>H96+H119</f>
        <v>77981.846999999994</v>
      </c>
    </row>
    <row r="96" spans="1:8" ht="36" x14ac:dyDescent="0.35">
      <c r="A96" s="342"/>
      <c r="B96" s="514" t="s">
        <v>276</v>
      </c>
      <c r="C96" s="217" t="s">
        <v>39</v>
      </c>
      <c r="D96" s="218" t="s">
        <v>89</v>
      </c>
      <c r="E96" s="218" t="s">
        <v>37</v>
      </c>
      <c r="F96" s="219" t="s">
        <v>44</v>
      </c>
      <c r="G96" s="247"/>
      <c r="H96" s="226">
        <f>H97+H112+H104+H114+H107+H109+H116+H102</f>
        <v>77909.846999999994</v>
      </c>
    </row>
    <row r="97" spans="1:8" ht="36" x14ac:dyDescent="0.35">
      <c r="A97" s="342"/>
      <c r="B97" s="514" t="s">
        <v>466</v>
      </c>
      <c r="C97" s="217" t="s">
        <v>39</v>
      </c>
      <c r="D97" s="218" t="s">
        <v>89</v>
      </c>
      <c r="E97" s="218" t="s">
        <v>37</v>
      </c>
      <c r="F97" s="219" t="s">
        <v>91</v>
      </c>
      <c r="G97" s="28"/>
      <c r="H97" s="226">
        <f>SUM(H98:H101)</f>
        <v>52169.347000000002</v>
      </c>
    </row>
    <row r="98" spans="1:8" ht="90" x14ac:dyDescent="0.35">
      <c r="A98" s="342"/>
      <c r="B98" s="515" t="s">
        <v>49</v>
      </c>
      <c r="C98" s="217" t="s">
        <v>39</v>
      </c>
      <c r="D98" s="218" t="s">
        <v>89</v>
      </c>
      <c r="E98" s="218" t="s">
        <v>37</v>
      </c>
      <c r="F98" s="219" t="s">
        <v>91</v>
      </c>
      <c r="G98" s="28" t="s">
        <v>50</v>
      </c>
      <c r="H98" s="226">
        <f>'прил9 (ведом 23)'!M541</f>
        <v>15844.599999999999</v>
      </c>
    </row>
    <row r="99" spans="1:8" ht="36" x14ac:dyDescent="0.35">
      <c r="A99" s="342"/>
      <c r="B99" s="515" t="s">
        <v>55</v>
      </c>
      <c r="C99" s="217" t="s">
        <v>39</v>
      </c>
      <c r="D99" s="218" t="s">
        <v>89</v>
      </c>
      <c r="E99" s="218" t="s">
        <v>37</v>
      </c>
      <c r="F99" s="219" t="s">
        <v>91</v>
      </c>
      <c r="G99" s="28" t="s">
        <v>56</v>
      </c>
      <c r="H99" s="226">
        <f>'прил9 (ведом 23)'!M542</f>
        <v>1814.0260700000001</v>
      </c>
    </row>
    <row r="100" spans="1:8" ht="36" x14ac:dyDescent="0.35">
      <c r="A100" s="342"/>
      <c r="B100" s="514" t="s">
        <v>76</v>
      </c>
      <c r="C100" s="217" t="s">
        <v>39</v>
      </c>
      <c r="D100" s="218" t="s">
        <v>89</v>
      </c>
      <c r="E100" s="218" t="s">
        <v>37</v>
      </c>
      <c r="F100" s="219" t="s">
        <v>91</v>
      </c>
      <c r="G100" s="28" t="s">
        <v>77</v>
      </c>
      <c r="H100" s="226">
        <f>'прил9 (ведом 23)'!M543</f>
        <v>34308.820930000002</v>
      </c>
    </row>
    <row r="101" spans="1:8" ht="18" x14ac:dyDescent="0.35">
      <c r="A101" s="342"/>
      <c r="B101" s="515" t="s">
        <v>57</v>
      </c>
      <c r="C101" s="217" t="s">
        <v>39</v>
      </c>
      <c r="D101" s="218" t="s">
        <v>89</v>
      </c>
      <c r="E101" s="218" t="s">
        <v>37</v>
      </c>
      <c r="F101" s="219" t="s">
        <v>91</v>
      </c>
      <c r="G101" s="28" t="s">
        <v>58</v>
      </c>
      <c r="H101" s="226">
        <f>'прил9 (ведом 23)'!M544</f>
        <v>201.9</v>
      </c>
    </row>
    <row r="102" spans="1:8" ht="18" x14ac:dyDescent="0.35">
      <c r="A102" s="342"/>
      <c r="B102" s="518" t="s">
        <v>467</v>
      </c>
      <c r="C102" s="696" t="s">
        <v>39</v>
      </c>
      <c r="D102" s="697" t="s">
        <v>89</v>
      </c>
      <c r="E102" s="697" t="s">
        <v>37</v>
      </c>
      <c r="F102" s="698" t="s">
        <v>381</v>
      </c>
      <c r="G102" s="10"/>
      <c r="H102" s="226">
        <f>H103</f>
        <v>498</v>
      </c>
    </row>
    <row r="103" spans="1:8" ht="36" x14ac:dyDescent="0.35">
      <c r="A103" s="342"/>
      <c r="B103" s="518" t="s">
        <v>76</v>
      </c>
      <c r="C103" s="696" t="s">
        <v>39</v>
      </c>
      <c r="D103" s="697" t="s">
        <v>89</v>
      </c>
      <c r="E103" s="697" t="s">
        <v>37</v>
      </c>
      <c r="F103" s="698" t="s">
        <v>381</v>
      </c>
      <c r="G103" s="10" t="s">
        <v>77</v>
      </c>
      <c r="H103" s="226">
        <f>'прил9 (ведом 23)'!M546</f>
        <v>498</v>
      </c>
    </row>
    <row r="104" spans="1:8" ht="36" x14ac:dyDescent="0.35">
      <c r="A104" s="342"/>
      <c r="B104" s="515" t="s">
        <v>207</v>
      </c>
      <c r="C104" s="217" t="s">
        <v>39</v>
      </c>
      <c r="D104" s="218" t="s">
        <v>89</v>
      </c>
      <c r="E104" s="218" t="s">
        <v>37</v>
      </c>
      <c r="F104" s="219" t="s">
        <v>273</v>
      </c>
      <c r="G104" s="28"/>
      <c r="H104" s="226">
        <f>SUM(H105:H106)</f>
        <v>5240.0000000000009</v>
      </c>
    </row>
    <row r="105" spans="1:8" ht="36" x14ac:dyDescent="0.35">
      <c r="A105" s="342"/>
      <c r="B105" s="515" t="s">
        <v>55</v>
      </c>
      <c r="C105" s="217" t="s">
        <v>39</v>
      </c>
      <c r="D105" s="218" t="s">
        <v>89</v>
      </c>
      <c r="E105" s="218" t="s">
        <v>37</v>
      </c>
      <c r="F105" s="219" t="s">
        <v>273</v>
      </c>
      <c r="G105" s="28" t="s">
        <v>56</v>
      </c>
      <c r="H105" s="226">
        <f>'прил9 (ведом 23)'!M548</f>
        <v>1042.6000000000001</v>
      </c>
    </row>
    <row r="106" spans="1:8" ht="36" x14ac:dyDescent="0.35">
      <c r="A106" s="342"/>
      <c r="B106" s="519" t="s">
        <v>76</v>
      </c>
      <c r="C106" s="217" t="s">
        <v>39</v>
      </c>
      <c r="D106" s="218" t="s">
        <v>89</v>
      </c>
      <c r="E106" s="218" t="s">
        <v>37</v>
      </c>
      <c r="F106" s="219" t="s">
        <v>273</v>
      </c>
      <c r="G106" s="28" t="s">
        <v>77</v>
      </c>
      <c r="H106" s="226">
        <f>'прил9 (ведом 23)'!M549</f>
        <v>4197.4000000000005</v>
      </c>
    </row>
    <row r="107" spans="1:8" ht="36" x14ac:dyDescent="0.35">
      <c r="A107" s="342"/>
      <c r="B107" s="515" t="s">
        <v>208</v>
      </c>
      <c r="C107" s="217" t="s">
        <v>39</v>
      </c>
      <c r="D107" s="218" t="s">
        <v>89</v>
      </c>
      <c r="E107" s="218" t="s">
        <v>37</v>
      </c>
      <c r="F107" s="219" t="s">
        <v>274</v>
      </c>
      <c r="G107" s="28"/>
      <c r="H107" s="226">
        <f>H108</f>
        <v>652.70000000000005</v>
      </c>
    </row>
    <row r="108" spans="1:8" ht="36" x14ac:dyDescent="0.35">
      <c r="A108" s="342"/>
      <c r="B108" s="519" t="s">
        <v>76</v>
      </c>
      <c r="C108" s="217" t="s">
        <v>39</v>
      </c>
      <c r="D108" s="218" t="s">
        <v>89</v>
      </c>
      <c r="E108" s="218" t="s">
        <v>37</v>
      </c>
      <c r="F108" s="219" t="s">
        <v>274</v>
      </c>
      <c r="G108" s="28" t="s">
        <v>77</v>
      </c>
      <c r="H108" s="226">
        <f>'прил9 (ведом 23)'!M551</f>
        <v>652.70000000000005</v>
      </c>
    </row>
    <row r="109" spans="1:8" ht="54" x14ac:dyDescent="0.35">
      <c r="A109" s="342"/>
      <c r="B109" s="519" t="s">
        <v>530</v>
      </c>
      <c r="C109" s="217" t="s">
        <v>39</v>
      </c>
      <c r="D109" s="218" t="s">
        <v>89</v>
      </c>
      <c r="E109" s="218" t="s">
        <v>37</v>
      </c>
      <c r="F109" s="219" t="s">
        <v>529</v>
      </c>
      <c r="G109" s="28"/>
      <c r="H109" s="226">
        <f>SUM(H110:H111)</f>
        <v>6127.5</v>
      </c>
    </row>
    <row r="110" spans="1:8" ht="36" x14ac:dyDescent="0.35">
      <c r="A110" s="342"/>
      <c r="B110" s="519" t="s">
        <v>76</v>
      </c>
      <c r="C110" s="217" t="s">
        <v>39</v>
      </c>
      <c r="D110" s="218" t="s">
        <v>89</v>
      </c>
      <c r="E110" s="218" t="s">
        <v>37</v>
      </c>
      <c r="F110" s="219" t="s">
        <v>529</v>
      </c>
      <c r="G110" s="28" t="s">
        <v>77</v>
      </c>
      <c r="H110" s="226">
        <f>'прил9 (ведом 23)'!M553</f>
        <v>6072.6</v>
      </c>
    </row>
    <row r="111" spans="1:8" ht="18" x14ac:dyDescent="0.35">
      <c r="A111" s="342"/>
      <c r="B111" s="515" t="s">
        <v>57</v>
      </c>
      <c r="C111" s="217" t="s">
        <v>39</v>
      </c>
      <c r="D111" s="218" t="s">
        <v>89</v>
      </c>
      <c r="E111" s="218" t="s">
        <v>37</v>
      </c>
      <c r="F111" s="219" t="s">
        <v>529</v>
      </c>
      <c r="G111" s="28" t="s">
        <v>58</v>
      </c>
      <c r="H111" s="226">
        <f>'прил9 (ведом 23)'!M554</f>
        <v>54.9</v>
      </c>
    </row>
    <row r="112" spans="1:8" ht="162" x14ac:dyDescent="0.35">
      <c r="A112" s="342"/>
      <c r="B112" s="514" t="s">
        <v>268</v>
      </c>
      <c r="C112" s="217" t="s">
        <v>39</v>
      </c>
      <c r="D112" s="218" t="s">
        <v>89</v>
      </c>
      <c r="E112" s="218" t="s">
        <v>37</v>
      </c>
      <c r="F112" s="219" t="s">
        <v>269</v>
      </c>
      <c r="G112" s="28"/>
      <c r="H112" s="226">
        <f>H113</f>
        <v>85.6</v>
      </c>
    </row>
    <row r="113" spans="1:8" ht="36" x14ac:dyDescent="0.35">
      <c r="A113" s="342"/>
      <c r="B113" s="515" t="s">
        <v>76</v>
      </c>
      <c r="C113" s="217" t="s">
        <v>39</v>
      </c>
      <c r="D113" s="218" t="s">
        <v>89</v>
      </c>
      <c r="E113" s="218" t="s">
        <v>37</v>
      </c>
      <c r="F113" s="219" t="s">
        <v>269</v>
      </c>
      <c r="G113" s="28" t="s">
        <v>77</v>
      </c>
      <c r="H113" s="226">
        <f>'прил9 (ведом 23)'!M556</f>
        <v>85.6</v>
      </c>
    </row>
    <row r="114" spans="1:8" ht="90" x14ac:dyDescent="0.35">
      <c r="A114" s="342"/>
      <c r="B114" s="515" t="s">
        <v>345</v>
      </c>
      <c r="C114" s="217" t="s">
        <v>39</v>
      </c>
      <c r="D114" s="218" t="s">
        <v>89</v>
      </c>
      <c r="E114" s="218" t="s">
        <v>37</v>
      </c>
      <c r="F114" s="219" t="s">
        <v>270</v>
      </c>
      <c r="G114" s="28"/>
      <c r="H114" s="226">
        <f>SUM(H115:H115)</f>
        <v>11036.7</v>
      </c>
    </row>
    <row r="115" spans="1:8" ht="36" x14ac:dyDescent="0.35">
      <c r="A115" s="342"/>
      <c r="B115" s="515" t="s">
        <v>76</v>
      </c>
      <c r="C115" s="217" t="s">
        <v>39</v>
      </c>
      <c r="D115" s="218" t="s">
        <v>89</v>
      </c>
      <c r="E115" s="218" t="s">
        <v>37</v>
      </c>
      <c r="F115" s="219" t="s">
        <v>270</v>
      </c>
      <c r="G115" s="28" t="s">
        <v>77</v>
      </c>
      <c r="H115" s="226">
        <f>'прил9 (ведом 23)'!M558</f>
        <v>11036.7</v>
      </c>
    </row>
    <row r="116" spans="1:8" ht="54" x14ac:dyDescent="0.35">
      <c r="A116" s="342"/>
      <c r="B116" s="601" t="s">
        <v>697</v>
      </c>
      <c r="C116" s="696" t="s">
        <v>39</v>
      </c>
      <c r="D116" s="697" t="s">
        <v>89</v>
      </c>
      <c r="E116" s="697" t="s">
        <v>37</v>
      </c>
      <c r="F116" s="698" t="s">
        <v>696</v>
      </c>
      <c r="G116" s="10"/>
      <c r="H116" s="226">
        <f>H117+H118</f>
        <v>2100</v>
      </c>
    </row>
    <row r="117" spans="1:8" ht="36" x14ac:dyDescent="0.35">
      <c r="A117" s="342"/>
      <c r="B117" s="601" t="s">
        <v>55</v>
      </c>
      <c r="C117" s="696" t="s">
        <v>39</v>
      </c>
      <c r="D117" s="697" t="s">
        <v>89</v>
      </c>
      <c r="E117" s="697" t="s">
        <v>37</v>
      </c>
      <c r="F117" s="698" t="s">
        <v>696</v>
      </c>
      <c r="G117" s="10" t="s">
        <v>56</v>
      </c>
      <c r="H117" s="226">
        <f>'прил9 (ведом 23)'!M560</f>
        <v>400</v>
      </c>
    </row>
    <row r="118" spans="1:8" ht="36" x14ac:dyDescent="0.35">
      <c r="A118" s="342"/>
      <c r="B118" s="601" t="s">
        <v>76</v>
      </c>
      <c r="C118" s="696" t="s">
        <v>39</v>
      </c>
      <c r="D118" s="697" t="s">
        <v>89</v>
      </c>
      <c r="E118" s="697" t="s">
        <v>37</v>
      </c>
      <c r="F118" s="698" t="s">
        <v>696</v>
      </c>
      <c r="G118" s="10" t="s">
        <v>77</v>
      </c>
      <c r="H118" s="226">
        <f>'прил9 (ведом 23)'!M561</f>
        <v>1700</v>
      </c>
    </row>
    <row r="119" spans="1:8" ht="18" x14ac:dyDescent="0.35">
      <c r="A119" s="342"/>
      <c r="B119" s="515" t="s">
        <v>277</v>
      </c>
      <c r="C119" s="217" t="s">
        <v>39</v>
      </c>
      <c r="D119" s="218" t="s">
        <v>89</v>
      </c>
      <c r="E119" s="218" t="s">
        <v>39</v>
      </c>
      <c r="F119" s="219" t="s">
        <v>44</v>
      </c>
      <c r="G119" s="28"/>
      <c r="H119" s="226">
        <f>H120</f>
        <v>72</v>
      </c>
    </row>
    <row r="120" spans="1:8" ht="36" x14ac:dyDescent="0.35">
      <c r="A120" s="342"/>
      <c r="B120" s="515" t="s">
        <v>278</v>
      </c>
      <c r="C120" s="217" t="s">
        <v>39</v>
      </c>
      <c r="D120" s="218" t="s">
        <v>89</v>
      </c>
      <c r="E120" s="218" t="s">
        <v>39</v>
      </c>
      <c r="F120" s="219" t="s">
        <v>279</v>
      </c>
      <c r="G120" s="28"/>
      <c r="H120" s="226">
        <f>H121</f>
        <v>72</v>
      </c>
    </row>
    <row r="121" spans="1:8" ht="18" x14ac:dyDescent="0.35">
      <c r="A121" s="342"/>
      <c r="B121" s="515" t="s">
        <v>120</v>
      </c>
      <c r="C121" s="217" t="s">
        <v>39</v>
      </c>
      <c r="D121" s="218" t="s">
        <v>89</v>
      </c>
      <c r="E121" s="218" t="s">
        <v>39</v>
      </c>
      <c r="F121" s="219" t="s">
        <v>279</v>
      </c>
      <c r="G121" s="28" t="s">
        <v>121</v>
      </c>
      <c r="H121" s="226">
        <f>'прил9 (ведом 23)'!M572</f>
        <v>72</v>
      </c>
    </row>
    <row r="122" spans="1:8" ht="36" x14ac:dyDescent="0.35">
      <c r="A122" s="342"/>
      <c r="B122" s="514" t="s">
        <v>212</v>
      </c>
      <c r="C122" s="217" t="s">
        <v>39</v>
      </c>
      <c r="D122" s="218" t="s">
        <v>30</v>
      </c>
      <c r="E122" s="218" t="s">
        <v>43</v>
      </c>
      <c r="F122" s="219" t="s">
        <v>44</v>
      </c>
      <c r="G122" s="247"/>
      <c r="H122" s="226">
        <f>H123+H143+H148+H151+H154</f>
        <v>92796.543000000005</v>
      </c>
    </row>
    <row r="123" spans="1:8" ht="36" x14ac:dyDescent="0.35">
      <c r="A123" s="342"/>
      <c r="B123" s="514" t="s">
        <v>282</v>
      </c>
      <c r="C123" s="217" t="s">
        <v>39</v>
      </c>
      <c r="D123" s="218" t="s">
        <v>30</v>
      </c>
      <c r="E123" s="218" t="s">
        <v>37</v>
      </c>
      <c r="F123" s="219" t="s">
        <v>44</v>
      </c>
      <c r="G123" s="247"/>
      <c r="H123" s="226">
        <f>H124+H128+H141+H138+H133+H136</f>
        <v>84154.243000000002</v>
      </c>
    </row>
    <row r="124" spans="1:8" ht="36" x14ac:dyDescent="0.35">
      <c r="A124" s="342"/>
      <c r="B124" s="514" t="s">
        <v>47</v>
      </c>
      <c r="C124" s="217" t="s">
        <v>39</v>
      </c>
      <c r="D124" s="218" t="s">
        <v>30</v>
      </c>
      <c r="E124" s="218" t="s">
        <v>37</v>
      </c>
      <c r="F124" s="219" t="s">
        <v>48</v>
      </c>
      <c r="G124" s="28"/>
      <c r="H124" s="226">
        <f>SUM(H125:H127)</f>
        <v>12417.831</v>
      </c>
    </row>
    <row r="125" spans="1:8" ht="90" x14ac:dyDescent="0.35">
      <c r="A125" s="342"/>
      <c r="B125" s="514" t="s">
        <v>49</v>
      </c>
      <c r="C125" s="217" t="s">
        <v>39</v>
      </c>
      <c r="D125" s="218" t="s">
        <v>30</v>
      </c>
      <c r="E125" s="218" t="s">
        <v>37</v>
      </c>
      <c r="F125" s="219" t="s">
        <v>48</v>
      </c>
      <c r="G125" s="28" t="s">
        <v>50</v>
      </c>
      <c r="H125" s="226">
        <f>'прил9 (ведом 23)'!M576</f>
        <v>11475.4</v>
      </c>
    </row>
    <row r="126" spans="1:8" ht="36" x14ac:dyDescent="0.35">
      <c r="A126" s="342"/>
      <c r="B126" s="514" t="s">
        <v>55</v>
      </c>
      <c r="C126" s="217" t="s">
        <v>39</v>
      </c>
      <c r="D126" s="218" t="s">
        <v>30</v>
      </c>
      <c r="E126" s="218" t="s">
        <v>37</v>
      </c>
      <c r="F126" s="219" t="s">
        <v>48</v>
      </c>
      <c r="G126" s="28" t="s">
        <v>56</v>
      </c>
      <c r="H126" s="226">
        <f>'прил9 (ведом 23)'!M577</f>
        <v>925.43099999999993</v>
      </c>
    </row>
    <row r="127" spans="1:8" ht="18" x14ac:dyDescent="0.35">
      <c r="A127" s="342"/>
      <c r="B127" s="514" t="s">
        <v>57</v>
      </c>
      <c r="C127" s="217" t="s">
        <v>39</v>
      </c>
      <c r="D127" s="218" t="s">
        <v>30</v>
      </c>
      <c r="E127" s="218" t="s">
        <v>37</v>
      </c>
      <c r="F127" s="219" t="s">
        <v>48</v>
      </c>
      <c r="G127" s="28" t="s">
        <v>58</v>
      </c>
      <c r="H127" s="226">
        <f>'прил9 (ведом 23)'!M578</f>
        <v>17</v>
      </c>
    </row>
    <row r="128" spans="1:8" ht="36" x14ac:dyDescent="0.35">
      <c r="A128" s="342"/>
      <c r="B128" s="514" t="s">
        <v>466</v>
      </c>
      <c r="C128" s="217" t="s">
        <v>39</v>
      </c>
      <c r="D128" s="218" t="s">
        <v>30</v>
      </c>
      <c r="E128" s="218" t="s">
        <v>37</v>
      </c>
      <c r="F128" s="219" t="s">
        <v>91</v>
      </c>
      <c r="G128" s="28"/>
      <c r="H128" s="226">
        <f>SUM(H129:H132)</f>
        <v>61639.212</v>
      </c>
    </row>
    <row r="129" spans="1:8" ht="90" x14ac:dyDescent="0.35">
      <c r="A129" s="342"/>
      <c r="B129" s="514" t="s">
        <v>49</v>
      </c>
      <c r="C129" s="217" t="s">
        <v>39</v>
      </c>
      <c r="D129" s="218" t="s">
        <v>30</v>
      </c>
      <c r="E129" s="218" t="s">
        <v>37</v>
      </c>
      <c r="F129" s="219" t="s">
        <v>91</v>
      </c>
      <c r="G129" s="28" t="s">
        <v>50</v>
      </c>
      <c r="H129" s="226">
        <f>'прил9 (ведом 23)'!M580</f>
        <v>37351.100000000006</v>
      </c>
    </row>
    <row r="130" spans="1:8" ht="36" x14ac:dyDescent="0.35">
      <c r="A130" s="342"/>
      <c r="B130" s="514" t="s">
        <v>55</v>
      </c>
      <c r="C130" s="217" t="s">
        <v>39</v>
      </c>
      <c r="D130" s="218" t="s">
        <v>30</v>
      </c>
      <c r="E130" s="218" t="s">
        <v>37</v>
      </c>
      <c r="F130" s="219" t="s">
        <v>91</v>
      </c>
      <c r="G130" s="28" t="s">
        <v>56</v>
      </c>
      <c r="H130" s="226">
        <f>'прил9 (ведом 23)'!M581</f>
        <v>4249.3119999999999</v>
      </c>
    </row>
    <row r="131" spans="1:8" ht="36" x14ac:dyDescent="0.35">
      <c r="A131" s="342"/>
      <c r="B131" s="515" t="s">
        <v>76</v>
      </c>
      <c r="C131" s="217" t="s">
        <v>39</v>
      </c>
      <c r="D131" s="218" t="s">
        <v>30</v>
      </c>
      <c r="E131" s="218" t="s">
        <v>37</v>
      </c>
      <c r="F131" s="219" t="s">
        <v>91</v>
      </c>
      <c r="G131" s="28" t="s">
        <v>77</v>
      </c>
      <c r="H131" s="226">
        <f>'прил9 (ведом 23)'!M582</f>
        <v>20033.100000000002</v>
      </c>
    </row>
    <row r="132" spans="1:8" ht="18" x14ac:dyDescent="0.35">
      <c r="A132" s="342"/>
      <c r="B132" s="514" t="s">
        <v>57</v>
      </c>
      <c r="C132" s="217" t="s">
        <v>39</v>
      </c>
      <c r="D132" s="218" t="s">
        <v>30</v>
      </c>
      <c r="E132" s="218" t="s">
        <v>37</v>
      </c>
      <c r="F132" s="219" t="s">
        <v>91</v>
      </c>
      <c r="G132" s="28" t="s">
        <v>58</v>
      </c>
      <c r="H132" s="226">
        <f>'прил9 (ведом 23)'!M583</f>
        <v>5.7</v>
      </c>
    </row>
    <row r="133" spans="1:8" ht="36" x14ac:dyDescent="0.35">
      <c r="A133" s="342"/>
      <c r="B133" s="515" t="s">
        <v>208</v>
      </c>
      <c r="C133" s="217" t="s">
        <v>39</v>
      </c>
      <c r="D133" s="218" t="s">
        <v>30</v>
      </c>
      <c r="E133" s="218" t="s">
        <v>37</v>
      </c>
      <c r="F133" s="219" t="s">
        <v>274</v>
      </c>
      <c r="G133" s="28"/>
      <c r="H133" s="226">
        <f>H134+H135</f>
        <v>311.7</v>
      </c>
    </row>
    <row r="134" spans="1:8" ht="36" x14ac:dyDescent="0.35">
      <c r="A134" s="342"/>
      <c r="B134" s="515" t="s">
        <v>55</v>
      </c>
      <c r="C134" s="217" t="s">
        <v>39</v>
      </c>
      <c r="D134" s="218" t="s">
        <v>30</v>
      </c>
      <c r="E134" s="218" t="s">
        <v>37</v>
      </c>
      <c r="F134" s="219" t="s">
        <v>274</v>
      </c>
      <c r="G134" s="28" t="s">
        <v>56</v>
      </c>
      <c r="H134" s="226">
        <f>'прил9 (ведом 23)'!M585</f>
        <v>10</v>
      </c>
    </row>
    <row r="135" spans="1:8" ht="36" x14ac:dyDescent="0.35">
      <c r="A135" s="342"/>
      <c r="B135" s="518" t="s">
        <v>76</v>
      </c>
      <c r="C135" s="696" t="s">
        <v>39</v>
      </c>
      <c r="D135" s="697" t="s">
        <v>30</v>
      </c>
      <c r="E135" s="697" t="s">
        <v>37</v>
      </c>
      <c r="F135" s="698" t="s">
        <v>274</v>
      </c>
      <c r="G135" s="10" t="s">
        <v>77</v>
      </c>
      <c r="H135" s="226">
        <f>'прил9 (ведом 23)'!M586</f>
        <v>301.7</v>
      </c>
    </row>
    <row r="136" spans="1:8" ht="36" x14ac:dyDescent="0.35">
      <c r="A136" s="342"/>
      <c r="B136" s="515" t="s">
        <v>581</v>
      </c>
      <c r="C136" s="217" t="s">
        <v>39</v>
      </c>
      <c r="D136" s="218" t="s">
        <v>30</v>
      </c>
      <c r="E136" s="218" t="s">
        <v>37</v>
      </c>
      <c r="F136" s="219" t="s">
        <v>580</v>
      </c>
      <c r="G136" s="28"/>
      <c r="H136" s="226">
        <f>H137</f>
        <v>518.6</v>
      </c>
    </row>
    <row r="137" spans="1:8" ht="36" x14ac:dyDescent="0.35">
      <c r="A137" s="342"/>
      <c r="B137" s="515" t="s">
        <v>76</v>
      </c>
      <c r="C137" s="217" t="s">
        <v>39</v>
      </c>
      <c r="D137" s="218" t="s">
        <v>30</v>
      </c>
      <c r="E137" s="218" t="s">
        <v>37</v>
      </c>
      <c r="F137" s="219" t="s">
        <v>580</v>
      </c>
      <c r="G137" s="28" t="s">
        <v>77</v>
      </c>
      <c r="H137" s="226">
        <f>'прил9 (ведом 23)'!M588</f>
        <v>518.6</v>
      </c>
    </row>
    <row r="138" spans="1:8" ht="90" x14ac:dyDescent="0.35">
      <c r="A138" s="342"/>
      <c r="B138" s="515" t="s">
        <v>345</v>
      </c>
      <c r="C138" s="217" t="s">
        <v>39</v>
      </c>
      <c r="D138" s="218" t="s">
        <v>30</v>
      </c>
      <c r="E138" s="218" t="s">
        <v>37</v>
      </c>
      <c r="F138" s="219" t="s">
        <v>270</v>
      </c>
      <c r="G138" s="28"/>
      <c r="H138" s="226">
        <f>H139+H140</f>
        <v>7044.7000000000007</v>
      </c>
    </row>
    <row r="139" spans="1:8" ht="90" x14ac:dyDescent="0.35">
      <c r="A139" s="342"/>
      <c r="B139" s="515" t="s">
        <v>49</v>
      </c>
      <c r="C139" s="217" t="s">
        <v>39</v>
      </c>
      <c r="D139" s="218" t="s">
        <v>30</v>
      </c>
      <c r="E139" s="218" t="s">
        <v>37</v>
      </c>
      <c r="F139" s="219" t="s">
        <v>270</v>
      </c>
      <c r="G139" s="28" t="s">
        <v>50</v>
      </c>
      <c r="H139" s="226">
        <f>'прил9 (ведом 23)'!M590</f>
        <v>6762.6</v>
      </c>
    </row>
    <row r="140" spans="1:8" ht="36" x14ac:dyDescent="0.35">
      <c r="A140" s="342"/>
      <c r="B140" s="518" t="s">
        <v>55</v>
      </c>
      <c r="C140" s="696" t="s">
        <v>39</v>
      </c>
      <c r="D140" s="697" t="s">
        <v>30</v>
      </c>
      <c r="E140" s="697" t="s">
        <v>37</v>
      </c>
      <c r="F140" s="698" t="s">
        <v>270</v>
      </c>
      <c r="G140" s="10" t="s">
        <v>56</v>
      </c>
      <c r="H140" s="226">
        <f>'прил9 (ведом 23)'!M591</f>
        <v>282.10000000000002</v>
      </c>
    </row>
    <row r="141" spans="1:8" ht="216" x14ac:dyDescent="0.35">
      <c r="A141" s="342"/>
      <c r="B141" s="515" t="s">
        <v>436</v>
      </c>
      <c r="C141" s="217" t="s">
        <v>39</v>
      </c>
      <c r="D141" s="218" t="s">
        <v>30</v>
      </c>
      <c r="E141" s="218" t="s">
        <v>37</v>
      </c>
      <c r="F141" s="219" t="s">
        <v>346</v>
      </c>
      <c r="G141" s="28"/>
      <c r="H141" s="226">
        <f>SUM(H142:H142)</f>
        <v>2222.1999999999998</v>
      </c>
    </row>
    <row r="142" spans="1:8" ht="36" x14ac:dyDescent="0.35">
      <c r="A142" s="342"/>
      <c r="B142" s="514" t="s">
        <v>76</v>
      </c>
      <c r="C142" s="217" t="s">
        <v>39</v>
      </c>
      <c r="D142" s="218" t="s">
        <v>30</v>
      </c>
      <c r="E142" s="218" t="s">
        <v>37</v>
      </c>
      <c r="F142" s="219" t="s">
        <v>346</v>
      </c>
      <c r="G142" s="28" t="s">
        <v>77</v>
      </c>
      <c r="H142" s="226">
        <f>'прил9 (ведом 23)'!M535</f>
        <v>2222.1999999999998</v>
      </c>
    </row>
    <row r="143" spans="1:8" ht="36" x14ac:dyDescent="0.35">
      <c r="A143" s="342"/>
      <c r="B143" s="515" t="s">
        <v>281</v>
      </c>
      <c r="C143" s="217" t="s">
        <v>39</v>
      </c>
      <c r="D143" s="218" t="s">
        <v>30</v>
      </c>
      <c r="E143" s="218" t="s">
        <v>39</v>
      </c>
      <c r="F143" s="219" t="s">
        <v>44</v>
      </c>
      <c r="G143" s="28"/>
      <c r="H143" s="226">
        <f>H144+H146</f>
        <v>7731.7</v>
      </c>
    </row>
    <row r="144" spans="1:8" ht="36" x14ac:dyDescent="0.35">
      <c r="A144" s="342"/>
      <c r="B144" s="515" t="s">
        <v>472</v>
      </c>
      <c r="C144" s="217" t="s">
        <v>39</v>
      </c>
      <c r="D144" s="218" t="s">
        <v>30</v>
      </c>
      <c r="E144" s="218" t="s">
        <v>39</v>
      </c>
      <c r="F144" s="219" t="s">
        <v>471</v>
      </c>
      <c r="G144" s="28"/>
      <c r="H144" s="226">
        <f>H145</f>
        <v>2157</v>
      </c>
    </row>
    <row r="145" spans="1:8" ht="36" x14ac:dyDescent="0.35">
      <c r="A145" s="342"/>
      <c r="B145" s="515" t="s">
        <v>76</v>
      </c>
      <c r="C145" s="217" t="s">
        <v>39</v>
      </c>
      <c r="D145" s="218" t="s">
        <v>30</v>
      </c>
      <c r="E145" s="218" t="s">
        <v>39</v>
      </c>
      <c r="F145" s="219" t="s">
        <v>471</v>
      </c>
      <c r="G145" s="28" t="s">
        <v>77</v>
      </c>
      <c r="H145" s="226">
        <f>'прил9 (ведом 23)'!M594</f>
        <v>2157</v>
      </c>
    </row>
    <row r="146" spans="1:8" ht="108" x14ac:dyDescent="0.35">
      <c r="A146" s="342"/>
      <c r="B146" s="515" t="s">
        <v>441</v>
      </c>
      <c r="C146" s="217" t="s">
        <v>39</v>
      </c>
      <c r="D146" s="218" t="s">
        <v>30</v>
      </c>
      <c r="E146" s="218" t="s">
        <v>39</v>
      </c>
      <c r="F146" s="219" t="s">
        <v>440</v>
      </c>
      <c r="G146" s="28"/>
      <c r="H146" s="226">
        <f>H147</f>
        <v>5574.7</v>
      </c>
    </row>
    <row r="147" spans="1:8" ht="36" x14ac:dyDescent="0.35">
      <c r="A147" s="342"/>
      <c r="B147" s="515" t="s">
        <v>76</v>
      </c>
      <c r="C147" s="217" t="s">
        <v>39</v>
      </c>
      <c r="D147" s="218" t="s">
        <v>30</v>
      </c>
      <c r="E147" s="218" t="s">
        <v>39</v>
      </c>
      <c r="F147" s="219" t="s">
        <v>440</v>
      </c>
      <c r="G147" s="28" t="s">
        <v>77</v>
      </c>
      <c r="H147" s="226">
        <f>'прил9 (ведом 23)'!M596</f>
        <v>5574.7</v>
      </c>
    </row>
    <row r="148" spans="1:8" ht="36" x14ac:dyDescent="0.35">
      <c r="A148" s="342"/>
      <c r="B148" s="520" t="s">
        <v>351</v>
      </c>
      <c r="C148" s="689" t="s">
        <v>39</v>
      </c>
      <c r="D148" s="690" t="s">
        <v>30</v>
      </c>
      <c r="E148" s="690" t="s">
        <v>63</v>
      </c>
      <c r="F148" s="691" t="s">
        <v>44</v>
      </c>
      <c r="G148" s="247"/>
      <c r="H148" s="226">
        <f>H149</f>
        <v>552.6</v>
      </c>
    </row>
    <row r="149" spans="1:8" ht="54" x14ac:dyDescent="0.35">
      <c r="A149" s="342"/>
      <c r="B149" s="520" t="s">
        <v>474</v>
      </c>
      <c r="C149" s="689" t="s">
        <v>39</v>
      </c>
      <c r="D149" s="690" t="s">
        <v>30</v>
      </c>
      <c r="E149" s="690" t="s">
        <v>63</v>
      </c>
      <c r="F149" s="691" t="s">
        <v>105</v>
      </c>
      <c r="G149" s="247"/>
      <c r="H149" s="226">
        <f>H150</f>
        <v>552.6</v>
      </c>
    </row>
    <row r="150" spans="1:8" ht="36" x14ac:dyDescent="0.35">
      <c r="A150" s="342"/>
      <c r="B150" s="520" t="s">
        <v>55</v>
      </c>
      <c r="C150" s="689" t="s">
        <v>39</v>
      </c>
      <c r="D150" s="690" t="s">
        <v>30</v>
      </c>
      <c r="E150" s="690" t="s">
        <v>63</v>
      </c>
      <c r="F150" s="691" t="s">
        <v>105</v>
      </c>
      <c r="G150" s="247" t="s">
        <v>56</v>
      </c>
      <c r="H150" s="226">
        <f>'прил9 (ведом 23)'!M433</f>
        <v>552.6</v>
      </c>
    </row>
    <row r="151" spans="1:8" ht="36" x14ac:dyDescent="0.35">
      <c r="A151" s="342"/>
      <c r="B151" s="520" t="s">
        <v>470</v>
      </c>
      <c r="C151" s="689" t="s">
        <v>39</v>
      </c>
      <c r="D151" s="690" t="s">
        <v>30</v>
      </c>
      <c r="E151" s="690" t="s">
        <v>52</v>
      </c>
      <c r="F151" s="691" t="s">
        <v>44</v>
      </c>
      <c r="G151" s="247"/>
      <c r="H151" s="226">
        <f>H152</f>
        <v>24</v>
      </c>
    </row>
    <row r="152" spans="1:8" ht="18" x14ac:dyDescent="0.35">
      <c r="A152" s="342"/>
      <c r="B152" s="520" t="s">
        <v>475</v>
      </c>
      <c r="C152" s="689" t="s">
        <v>39</v>
      </c>
      <c r="D152" s="690" t="s">
        <v>30</v>
      </c>
      <c r="E152" s="690" t="s">
        <v>52</v>
      </c>
      <c r="F152" s="691" t="s">
        <v>469</v>
      </c>
      <c r="G152" s="247"/>
      <c r="H152" s="226">
        <f>H153</f>
        <v>24</v>
      </c>
    </row>
    <row r="153" spans="1:8" ht="36" x14ac:dyDescent="0.35">
      <c r="A153" s="342"/>
      <c r="B153" s="520" t="s">
        <v>55</v>
      </c>
      <c r="C153" s="689" t="s">
        <v>39</v>
      </c>
      <c r="D153" s="690" t="s">
        <v>30</v>
      </c>
      <c r="E153" s="690" t="s">
        <v>52</v>
      </c>
      <c r="F153" s="691" t="s">
        <v>469</v>
      </c>
      <c r="G153" s="247" t="s">
        <v>56</v>
      </c>
      <c r="H153" s="226">
        <f>'прил9 (ведом 23)'!M436</f>
        <v>24</v>
      </c>
    </row>
    <row r="154" spans="1:8" ht="36" x14ac:dyDescent="0.35">
      <c r="A154" s="342"/>
      <c r="B154" s="520" t="s">
        <v>473</v>
      </c>
      <c r="C154" s="689" t="s">
        <v>39</v>
      </c>
      <c r="D154" s="690" t="s">
        <v>30</v>
      </c>
      <c r="E154" s="690" t="s">
        <v>65</v>
      </c>
      <c r="F154" s="691" t="s">
        <v>44</v>
      </c>
      <c r="G154" s="247"/>
      <c r="H154" s="226">
        <f>H155</f>
        <v>334</v>
      </c>
    </row>
    <row r="155" spans="1:8" ht="36" x14ac:dyDescent="0.35">
      <c r="A155" s="342"/>
      <c r="B155" s="520" t="s">
        <v>127</v>
      </c>
      <c r="C155" s="689" t="s">
        <v>39</v>
      </c>
      <c r="D155" s="690" t="s">
        <v>30</v>
      </c>
      <c r="E155" s="690" t="s">
        <v>65</v>
      </c>
      <c r="F155" s="691" t="s">
        <v>90</v>
      </c>
      <c r="G155" s="247"/>
      <c r="H155" s="226">
        <f>H156</f>
        <v>334</v>
      </c>
    </row>
    <row r="156" spans="1:8" ht="36" x14ac:dyDescent="0.35">
      <c r="A156" s="342"/>
      <c r="B156" s="520" t="s">
        <v>55</v>
      </c>
      <c r="C156" s="689" t="s">
        <v>39</v>
      </c>
      <c r="D156" s="690" t="s">
        <v>30</v>
      </c>
      <c r="E156" s="690" t="s">
        <v>65</v>
      </c>
      <c r="F156" s="691" t="s">
        <v>90</v>
      </c>
      <c r="G156" s="247" t="s">
        <v>56</v>
      </c>
      <c r="H156" s="226">
        <f>'прил9 (ведом 23)'!M439</f>
        <v>334</v>
      </c>
    </row>
    <row r="157" spans="1:8" ht="18" x14ac:dyDescent="0.35">
      <c r="A157" s="342"/>
      <c r="B157" s="521"/>
      <c r="C157" s="689"/>
      <c r="D157" s="690"/>
      <c r="E157" s="690"/>
      <c r="F157" s="691"/>
      <c r="G157" s="247"/>
      <c r="H157" s="226"/>
    </row>
    <row r="158" spans="1:8" s="352" customFormat="1" ht="52.2" x14ac:dyDescent="0.3">
      <c r="A158" s="357">
        <v>2</v>
      </c>
      <c r="B158" s="513" t="s">
        <v>213</v>
      </c>
      <c r="C158" s="358" t="s">
        <v>63</v>
      </c>
      <c r="D158" s="358" t="s">
        <v>42</v>
      </c>
      <c r="E158" s="358" t="s">
        <v>43</v>
      </c>
      <c r="F158" s="359" t="s">
        <v>44</v>
      </c>
      <c r="G158" s="351"/>
      <c r="H158" s="263">
        <f>H159+H199+H206</f>
        <v>142184</v>
      </c>
    </row>
    <row r="159" spans="1:8" s="352" customFormat="1" ht="54" x14ac:dyDescent="0.35">
      <c r="A159" s="342"/>
      <c r="B159" s="522" t="s">
        <v>214</v>
      </c>
      <c r="C159" s="217" t="s">
        <v>63</v>
      </c>
      <c r="D159" s="218" t="s">
        <v>45</v>
      </c>
      <c r="E159" s="218" t="s">
        <v>43</v>
      </c>
      <c r="F159" s="219" t="s">
        <v>44</v>
      </c>
      <c r="G159" s="247"/>
      <c r="H159" s="226">
        <f>H160+H169+H172+H185+H196</f>
        <v>127844.70000000001</v>
      </c>
    </row>
    <row r="160" spans="1:8" s="352" customFormat="1" ht="36" x14ac:dyDescent="0.35">
      <c r="A160" s="342"/>
      <c r="B160" s="522" t="s">
        <v>276</v>
      </c>
      <c r="C160" s="217" t="s">
        <v>63</v>
      </c>
      <c r="D160" s="218" t="s">
        <v>45</v>
      </c>
      <c r="E160" s="218" t="s">
        <v>37</v>
      </c>
      <c r="F160" s="219" t="s">
        <v>44</v>
      </c>
      <c r="G160" s="247"/>
      <c r="H160" s="226">
        <f>H161+H165+H163+H167</f>
        <v>75854.8</v>
      </c>
    </row>
    <row r="161" spans="1:8" s="352" customFormat="1" ht="36" x14ac:dyDescent="0.35">
      <c r="A161" s="342"/>
      <c r="B161" s="514" t="s">
        <v>466</v>
      </c>
      <c r="C161" s="217" t="s">
        <v>63</v>
      </c>
      <c r="D161" s="218" t="s">
        <v>45</v>
      </c>
      <c r="E161" s="218" t="s">
        <v>37</v>
      </c>
      <c r="F161" s="219" t="s">
        <v>91</v>
      </c>
      <c r="G161" s="28"/>
      <c r="H161" s="226">
        <f>H162</f>
        <v>59245.7</v>
      </c>
    </row>
    <row r="162" spans="1:8" s="352" customFormat="1" ht="36" x14ac:dyDescent="0.35">
      <c r="A162" s="342"/>
      <c r="B162" s="517" t="s">
        <v>76</v>
      </c>
      <c r="C162" s="217" t="s">
        <v>63</v>
      </c>
      <c r="D162" s="218" t="s">
        <v>45</v>
      </c>
      <c r="E162" s="218" t="s">
        <v>37</v>
      </c>
      <c r="F162" s="219" t="s">
        <v>91</v>
      </c>
      <c r="G162" s="28" t="s">
        <v>77</v>
      </c>
      <c r="H162" s="226">
        <f>'прил9 (ведом 23)'!M626</f>
        <v>59245.7</v>
      </c>
    </row>
    <row r="163" spans="1:8" s="352" customFormat="1" ht="18" x14ac:dyDescent="0.35">
      <c r="A163" s="342"/>
      <c r="B163" s="523" t="s">
        <v>467</v>
      </c>
      <c r="C163" s="217" t="s">
        <v>63</v>
      </c>
      <c r="D163" s="218" t="s">
        <v>45</v>
      </c>
      <c r="E163" s="218" t="s">
        <v>37</v>
      </c>
      <c r="F163" s="219" t="s">
        <v>381</v>
      </c>
      <c r="G163" s="28"/>
      <c r="H163" s="226">
        <f>H164</f>
        <v>6735</v>
      </c>
    </row>
    <row r="164" spans="1:8" s="352" customFormat="1" ht="36" x14ac:dyDescent="0.35">
      <c r="A164" s="342"/>
      <c r="B164" s="523" t="s">
        <v>76</v>
      </c>
      <c r="C164" s="217" t="s">
        <v>63</v>
      </c>
      <c r="D164" s="218" t="s">
        <v>45</v>
      </c>
      <c r="E164" s="218" t="s">
        <v>37</v>
      </c>
      <c r="F164" s="219" t="s">
        <v>381</v>
      </c>
      <c r="G164" s="28" t="s">
        <v>77</v>
      </c>
      <c r="H164" s="226">
        <f>'прил9 (ведом 23)'!M628</f>
        <v>6735</v>
      </c>
    </row>
    <row r="165" spans="1:8" s="352" customFormat="1" ht="36" x14ac:dyDescent="0.35">
      <c r="A165" s="342"/>
      <c r="B165" s="523" t="s">
        <v>315</v>
      </c>
      <c r="C165" s="217" t="s">
        <v>63</v>
      </c>
      <c r="D165" s="218" t="s">
        <v>45</v>
      </c>
      <c r="E165" s="218" t="s">
        <v>37</v>
      </c>
      <c r="F165" s="219" t="s">
        <v>316</v>
      </c>
      <c r="G165" s="28"/>
      <c r="H165" s="226">
        <f>H166</f>
        <v>6579.5</v>
      </c>
    </row>
    <row r="166" spans="1:8" s="352" customFormat="1" ht="36" x14ac:dyDescent="0.35">
      <c r="A166" s="342"/>
      <c r="B166" s="523" t="s">
        <v>76</v>
      </c>
      <c r="C166" s="217" t="s">
        <v>63</v>
      </c>
      <c r="D166" s="218" t="s">
        <v>45</v>
      </c>
      <c r="E166" s="218" t="s">
        <v>37</v>
      </c>
      <c r="F166" s="219" t="s">
        <v>316</v>
      </c>
      <c r="G166" s="28" t="s">
        <v>77</v>
      </c>
      <c r="H166" s="226">
        <f>'прил9 (ведом 23)'!M630</f>
        <v>6579.5</v>
      </c>
    </row>
    <row r="167" spans="1:8" s="352" customFormat="1" ht="54" x14ac:dyDescent="0.35">
      <c r="A167" s="342"/>
      <c r="B167" s="601" t="s">
        <v>697</v>
      </c>
      <c r="C167" s="696" t="s">
        <v>63</v>
      </c>
      <c r="D167" s="697" t="s">
        <v>45</v>
      </c>
      <c r="E167" s="697" t="s">
        <v>37</v>
      </c>
      <c r="F167" s="698" t="s">
        <v>696</v>
      </c>
      <c r="G167" s="10"/>
      <c r="H167" s="226">
        <f>H168</f>
        <v>3294.6</v>
      </c>
    </row>
    <row r="168" spans="1:8" s="352" customFormat="1" ht="36" x14ac:dyDescent="0.35">
      <c r="A168" s="342"/>
      <c r="B168" s="525" t="s">
        <v>76</v>
      </c>
      <c r="C168" s="696" t="s">
        <v>63</v>
      </c>
      <c r="D168" s="697" t="s">
        <v>45</v>
      </c>
      <c r="E168" s="697" t="s">
        <v>37</v>
      </c>
      <c r="F168" s="698" t="s">
        <v>696</v>
      </c>
      <c r="G168" s="10" t="s">
        <v>77</v>
      </c>
      <c r="H168" s="226">
        <f>'прил9 (ведом 23)'!M632</f>
        <v>3294.6</v>
      </c>
    </row>
    <row r="169" spans="1:8" ht="18" x14ac:dyDescent="0.35">
      <c r="A169" s="414"/>
      <c r="B169" s="517" t="s">
        <v>277</v>
      </c>
      <c r="C169" s="217" t="s">
        <v>63</v>
      </c>
      <c r="D169" s="218" t="s">
        <v>45</v>
      </c>
      <c r="E169" s="218" t="s">
        <v>39</v>
      </c>
      <c r="F169" s="219" t="s">
        <v>44</v>
      </c>
      <c r="G169" s="28"/>
      <c r="H169" s="415">
        <f>H170</f>
        <v>450</v>
      </c>
    </row>
    <row r="170" spans="1:8" s="352" customFormat="1" ht="36" x14ac:dyDescent="0.35">
      <c r="A170" s="342"/>
      <c r="B170" s="517" t="s">
        <v>211</v>
      </c>
      <c r="C170" s="217" t="s">
        <v>63</v>
      </c>
      <c r="D170" s="218" t="s">
        <v>45</v>
      </c>
      <c r="E170" s="218" t="s">
        <v>39</v>
      </c>
      <c r="F170" s="219" t="s">
        <v>279</v>
      </c>
      <c r="G170" s="28"/>
      <c r="H170" s="226">
        <f>H171</f>
        <v>450</v>
      </c>
    </row>
    <row r="171" spans="1:8" s="352" customFormat="1" ht="18" x14ac:dyDescent="0.35">
      <c r="A171" s="342"/>
      <c r="B171" s="517" t="s">
        <v>120</v>
      </c>
      <c r="C171" s="217" t="s">
        <v>63</v>
      </c>
      <c r="D171" s="218" t="s">
        <v>45</v>
      </c>
      <c r="E171" s="218" t="s">
        <v>39</v>
      </c>
      <c r="F171" s="219" t="s">
        <v>279</v>
      </c>
      <c r="G171" s="28" t="s">
        <v>121</v>
      </c>
      <c r="H171" s="226">
        <f>'прил9 (ведом 23)'!M638</f>
        <v>450</v>
      </c>
    </row>
    <row r="172" spans="1:8" s="352" customFormat="1" ht="18" x14ac:dyDescent="0.35">
      <c r="A172" s="342"/>
      <c r="B172" s="514" t="s">
        <v>317</v>
      </c>
      <c r="C172" s="360" t="s">
        <v>63</v>
      </c>
      <c r="D172" s="361" t="s">
        <v>45</v>
      </c>
      <c r="E172" s="361" t="s">
        <v>63</v>
      </c>
      <c r="F172" s="362" t="s">
        <v>44</v>
      </c>
      <c r="G172" s="363"/>
      <c r="H172" s="226">
        <f>H173+H175+H177+H179+H183+H181</f>
        <v>15622.6</v>
      </c>
    </row>
    <row r="173" spans="1:8" s="352" customFormat="1" ht="36" x14ac:dyDescent="0.35">
      <c r="A173" s="342"/>
      <c r="B173" s="514" t="s">
        <v>466</v>
      </c>
      <c r="C173" s="360" t="s">
        <v>63</v>
      </c>
      <c r="D173" s="361" t="s">
        <v>45</v>
      </c>
      <c r="E173" s="361" t="s">
        <v>63</v>
      </c>
      <c r="F173" s="362" t="s">
        <v>91</v>
      </c>
      <c r="G173" s="363"/>
      <c r="H173" s="226">
        <f>H174</f>
        <v>13192.500000000002</v>
      </c>
    </row>
    <row r="174" spans="1:8" s="352" customFormat="1" ht="36" x14ac:dyDescent="0.35">
      <c r="A174" s="342"/>
      <c r="B174" s="517" t="s">
        <v>76</v>
      </c>
      <c r="C174" s="217" t="s">
        <v>63</v>
      </c>
      <c r="D174" s="218" t="s">
        <v>45</v>
      </c>
      <c r="E174" s="218" t="s">
        <v>63</v>
      </c>
      <c r="F174" s="219" t="s">
        <v>91</v>
      </c>
      <c r="G174" s="28" t="s">
        <v>77</v>
      </c>
      <c r="H174" s="226">
        <f>'прил9 (ведом 23)'!M648</f>
        <v>13192.500000000002</v>
      </c>
    </row>
    <row r="175" spans="1:8" s="352" customFormat="1" ht="18" x14ac:dyDescent="0.35">
      <c r="A175" s="342"/>
      <c r="B175" s="524" t="s">
        <v>467</v>
      </c>
      <c r="C175" s="696" t="s">
        <v>63</v>
      </c>
      <c r="D175" s="697" t="s">
        <v>45</v>
      </c>
      <c r="E175" s="697" t="s">
        <v>63</v>
      </c>
      <c r="F175" s="698" t="s">
        <v>381</v>
      </c>
      <c r="G175" s="10"/>
      <c r="H175" s="226">
        <f>H176</f>
        <v>396.3</v>
      </c>
    </row>
    <row r="176" spans="1:8" s="352" customFormat="1" ht="36" x14ac:dyDescent="0.35">
      <c r="A176" s="342"/>
      <c r="B176" s="525" t="s">
        <v>76</v>
      </c>
      <c r="C176" s="696" t="s">
        <v>63</v>
      </c>
      <c r="D176" s="697" t="s">
        <v>45</v>
      </c>
      <c r="E176" s="697" t="s">
        <v>63</v>
      </c>
      <c r="F176" s="698" t="s">
        <v>381</v>
      </c>
      <c r="G176" s="10" t="s">
        <v>77</v>
      </c>
      <c r="H176" s="226">
        <f>'прил9 (ведом 23)'!M650</f>
        <v>396.3</v>
      </c>
    </row>
    <row r="177" spans="1:8" s="352" customFormat="1" ht="36" x14ac:dyDescent="0.35">
      <c r="A177" s="342"/>
      <c r="B177" s="517" t="s">
        <v>315</v>
      </c>
      <c r="C177" s="360" t="s">
        <v>63</v>
      </c>
      <c r="D177" s="361" t="s">
        <v>45</v>
      </c>
      <c r="E177" s="361" t="s">
        <v>63</v>
      </c>
      <c r="F177" s="362" t="s">
        <v>316</v>
      </c>
      <c r="G177" s="363"/>
      <c r="H177" s="226">
        <f>H178</f>
        <v>476.59999999999997</v>
      </c>
    </row>
    <row r="178" spans="1:8" s="352" customFormat="1" ht="36" x14ac:dyDescent="0.35">
      <c r="A178" s="342"/>
      <c r="B178" s="517" t="s">
        <v>76</v>
      </c>
      <c r="C178" s="360" t="s">
        <v>63</v>
      </c>
      <c r="D178" s="361" t="s">
        <v>45</v>
      </c>
      <c r="E178" s="361" t="s">
        <v>63</v>
      </c>
      <c r="F178" s="362" t="s">
        <v>316</v>
      </c>
      <c r="G178" s="363" t="s">
        <v>77</v>
      </c>
      <c r="H178" s="226">
        <f>'прил9 (ведом 23)'!M652</f>
        <v>476.59999999999997</v>
      </c>
    </row>
    <row r="179" spans="1:8" s="352" customFormat="1" ht="54" x14ac:dyDescent="0.35">
      <c r="A179" s="342"/>
      <c r="B179" s="517" t="s">
        <v>215</v>
      </c>
      <c r="C179" s="217" t="s">
        <v>63</v>
      </c>
      <c r="D179" s="218" t="s">
        <v>45</v>
      </c>
      <c r="E179" s="218" t="s">
        <v>63</v>
      </c>
      <c r="F179" s="219" t="s">
        <v>318</v>
      </c>
      <c r="G179" s="28"/>
      <c r="H179" s="226">
        <f>H180</f>
        <v>512</v>
      </c>
    </row>
    <row r="180" spans="1:8" s="352" customFormat="1" ht="36" x14ac:dyDescent="0.35">
      <c r="A180" s="342"/>
      <c r="B180" s="517" t="s">
        <v>76</v>
      </c>
      <c r="C180" s="217" t="s">
        <v>63</v>
      </c>
      <c r="D180" s="218" t="s">
        <v>45</v>
      </c>
      <c r="E180" s="218" t="s">
        <v>63</v>
      </c>
      <c r="F180" s="219" t="s">
        <v>318</v>
      </c>
      <c r="G180" s="28" t="s">
        <v>77</v>
      </c>
      <c r="H180" s="226">
        <f>'прил9 (ведом 23)'!M654</f>
        <v>512</v>
      </c>
    </row>
    <row r="181" spans="1:8" s="352" customFormat="1" ht="54" x14ac:dyDescent="0.35">
      <c r="A181" s="342"/>
      <c r="B181" s="601" t="s">
        <v>697</v>
      </c>
      <c r="C181" s="696" t="s">
        <v>63</v>
      </c>
      <c r="D181" s="697" t="s">
        <v>45</v>
      </c>
      <c r="E181" s="697" t="s">
        <v>63</v>
      </c>
      <c r="F181" s="698" t="s">
        <v>696</v>
      </c>
      <c r="G181" s="10"/>
      <c r="H181" s="226">
        <f>H182</f>
        <v>493.8</v>
      </c>
    </row>
    <row r="182" spans="1:8" s="352" customFormat="1" ht="36" x14ac:dyDescent="0.35">
      <c r="A182" s="342"/>
      <c r="B182" s="525" t="s">
        <v>76</v>
      </c>
      <c r="C182" s="696" t="s">
        <v>63</v>
      </c>
      <c r="D182" s="697" t="s">
        <v>45</v>
      </c>
      <c r="E182" s="697" t="s">
        <v>63</v>
      </c>
      <c r="F182" s="698" t="s">
        <v>696</v>
      </c>
      <c r="G182" s="10" t="s">
        <v>77</v>
      </c>
      <c r="H182" s="226">
        <f>'прил9 (ведом 23)'!M656</f>
        <v>493.8</v>
      </c>
    </row>
    <row r="183" spans="1:8" s="352" customFormat="1" ht="18" x14ac:dyDescent="0.35">
      <c r="A183" s="342"/>
      <c r="B183" s="523" t="s">
        <v>570</v>
      </c>
      <c r="C183" s="217" t="s">
        <v>63</v>
      </c>
      <c r="D183" s="218" t="s">
        <v>45</v>
      </c>
      <c r="E183" s="218" t="s">
        <v>63</v>
      </c>
      <c r="F183" s="219" t="s">
        <v>569</v>
      </c>
      <c r="G183" s="28"/>
      <c r="H183" s="226">
        <f>H184</f>
        <v>551.4</v>
      </c>
    </row>
    <row r="184" spans="1:8" s="352" customFormat="1" ht="36" x14ac:dyDescent="0.35">
      <c r="A184" s="342"/>
      <c r="B184" s="523" t="s">
        <v>76</v>
      </c>
      <c r="C184" s="217" t="s">
        <v>63</v>
      </c>
      <c r="D184" s="218" t="s">
        <v>45</v>
      </c>
      <c r="E184" s="218" t="s">
        <v>63</v>
      </c>
      <c r="F184" s="219" t="s">
        <v>569</v>
      </c>
      <c r="G184" s="28" t="s">
        <v>77</v>
      </c>
      <c r="H184" s="226">
        <f>'прил9 (ведом 23)'!M658</f>
        <v>551.4</v>
      </c>
    </row>
    <row r="185" spans="1:8" s="352" customFormat="1" ht="36" x14ac:dyDescent="0.35">
      <c r="A185" s="342"/>
      <c r="B185" s="517" t="s">
        <v>319</v>
      </c>
      <c r="C185" s="360" t="s">
        <v>63</v>
      </c>
      <c r="D185" s="361" t="s">
        <v>45</v>
      </c>
      <c r="E185" s="361" t="s">
        <v>52</v>
      </c>
      <c r="F185" s="219" t="s">
        <v>44</v>
      </c>
      <c r="G185" s="28"/>
      <c r="H185" s="226">
        <f>H186+H190+H194+H192</f>
        <v>35616.699999999997</v>
      </c>
    </row>
    <row r="186" spans="1:8" s="352" customFormat="1" ht="36" x14ac:dyDescent="0.35">
      <c r="A186" s="342"/>
      <c r="B186" s="514" t="s">
        <v>466</v>
      </c>
      <c r="C186" s="360" t="s">
        <v>63</v>
      </c>
      <c r="D186" s="361" t="s">
        <v>45</v>
      </c>
      <c r="E186" s="361" t="s">
        <v>52</v>
      </c>
      <c r="F186" s="362" t="s">
        <v>91</v>
      </c>
      <c r="G186" s="363"/>
      <c r="H186" s="226">
        <f>SUM(H187:H189)</f>
        <v>15027.199999999999</v>
      </c>
    </row>
    <row r="187" spans="1:8" s="352" customFormat="1" ht="90" x14ac:dyDescent="0.35">
      <c r="A187" s="342"/>
      <c r="B187" s="515" t="s">
        <v>49</v>
      </c>
      <c r="C187" s="217" t="s">
        <v>63</v>
      </c>
      <c r="D187" s="218" t="s">
        <v>45</v>
      </c>
      <c r="E187" s="218" t="s">
        <v>52</v>
      </c>
      <c r="F187" s="219" t="s">
        <v>91</v>
      </c>
      <c r="G187" s="28" t="s">
        <v>50</v>
      </c>
      <c r="H187" s="226">
        <f>'прил9 (ведом 23)'!M661</f>
        <v>13755.099999999999</v>
      </c>
    </row>
    <row r="188" spans="1:8" s="352" customFormat="1" ht="36" x14ac:dyDescent="0.35">
      <c r="A188" s="342"/>
      <c r="B188" s="515" t="s">
        <v>55</v>
      </c>
      <c r="C188" s="217" t="s">
        <v>63</v>
      </c>
      <c r="D188" s="218" t="s">
        <v>45</v>
      </c>
      <c r="E188" s="218" t="s">
        <v>52</v>
      </c>
      <c r="F188" s="219" t="s">
        <v>91</v>
      </c>
      <c r="G188" s="28" t="s">
        <v>56</v>
      </c>
      <c r="H188" s="226">
        <f>'прил9 (ведом 23)'!M662</f>
        <v>1225.0999999999999</v>
      </c>
    </row>
    <row r="189" spans="1:8" s="352" customFormat="1" ht="18" x14ac:dyDescent="0.35">
      <c r="A189" s="342"/>
      <c r="B189" s="515" t="s">
        <v>57</v>
      </c>
      <c r="C189" s="217" t="s">
        <v>63</v>
      </c>
      <c r="D189" s="218" t="s">
        <v>45</v>
      </c>
      <c r="E189" s="218" t="s">
        <v>52</v>
      </c>
      <c r="F189" s="219" t="s">
        <v>91</v>
      </c>
      <c r="G189" s="28" t="s">
        <v>58</v>
      </c>
      <c r="H189" s="226">
        <f>'прил9 (ведом 23)'!M663</f>
        <v>47</v>
      </c>
    </row>
    <row r="190" spans="1:8" s="352" customFormat="1" ht="36" x14ac:dyDescent="0.35">
      <c r="A190" s="342"/>
      <c r="B190" s="525" t="s">
        <v>76</v>
      </c>
      <c r="C190" s="696" t="s">
        <v>63</v>
      </c>
      <c r="D190" s="697" t="s">
        <v>45</v>
      </c>
      <c r="E190" s="697" t="s">
        <v>52</v>
      </c>
      <c r="F190" s="698" t="s">
        <v>381</v>
      </c>
      <c r="G190" s="10"/>
      <c r="H190" s="226">
        <f>H191</f>
        <v>833.3</v>
      </c>
    </row>
    <row r="191" spans="1:8" s="352" customFormat="1" ht="36" x14ac:dyDescent="0.35">
      <c r="A191" s="342"/>
      <c r="B191" s="518" t="s">
        <v>55</v>
      </c>
      <c r="C191" s="696" t="s">
        <v>63</v>
      </c>
      <c r="D191" s="697" t="s">
        <v>45</v>
      </c>
      <c r="E191" s="697" t="s">
        <v>52</v>
      </c>
      <c r="F191" s="698" t="s">
        <v>381</v>
      </c>
      <c r="G191" s="10" t="s">
        <v>56</v>
      </c>
      <c r="H191" s="226">
        <f>'прил9 (ведом 23)'!M665</f>
        <v>833.3</v>
      </c>
    </row>
    <row r="192" spans="1:8" s="352" customFormat="1" ht="54" x14ac:dyDescent="0.35">
      <c r="A192" s="342"/>
      <c r="B192" s="601" t="s">
        <v>697</v>
      </c>
      <c r="C192" s="696" t="s">
        <v>63</v>
      </c>
      <c r="D192" s="697" t="s">
        <v>45</v>
      </c>
      <c r="E192" s="697" t="s">
        <v>52</v>
      </c>
      <c r="F192" s="698" t="s">
        <v>696</v>
      </c>
      <c r="G192" s="10"/>
      <c r="H192" s="226">
        <f>H193</f>
        <v>1656.2</v>
      </c>
    </row>
    <row r="193" spans="1:8" s="352" customFormat="1" ht="36" x14ac:dyDescent="0.35">
      <c r="A193" s="342"/>
      <c r="B193" s="518" t="s">
        <v>55</v>
      </c>
      <c r="C193" s="696" t="s">
        <v>63</v>
      </c>
      <c r="D193" s="697" t="s">
        <v>45</v>
      </c>
      <c r="E193" s="697" t="s">
        <v>52</v>
      </c>
      <c r="F193" s="698" t="s">
        <v>696</v>
      </c>
      <c r="G193" s="10" t="s">
        <v>56</v>
      </c>
      <c r="H193" s="226">
        <f>'прил9 (ведом 23)'!M667</f>
        <v>1656.2</v>
      </c>
    </row>
    <row r="194" spans="1:8" s="352" customFormat="1" ht="90" x14ac:dyDescent="0.35">
      <c r="A194" s="342"/>
      <c r="B194" s="601" t="s">
        <v>628</v>
      </c>
      <c r="C194" s="696" t="s">
        <v>63</v>
      </c>
      <c r="D194" s="697" t="s">
        <v>45</v>
      </c>
      <c r="E194" s="697" t="s">
        <v>52</v>
      </c>
      <c r="F194" s="698" t="s">
        <v>629</v>
      </c>
      <c r="G194" s="10"/>
      <c r="H194" s="226">
        <f>H195</f>
        <v>18100</v>
      </c>
    </row>
    <row r="195" spans="1:8" s="352" customFormat="1" ht="36" x14ac:dyDescent="0.35">
      <c r="A195" s="342"/>
      <c r="B195" s="601" t="s">
        <v>55</v>
      </c>
      <c r="C195" s="696" t="s">
        <v>63</v>
      </c>
      <c r="D195" s="697" t="s">
        <v>45</v>
      </c>
      <c r="E195" s="697" t="s">
        <v>52</v>
      </c>
      <c r="F195" s="698" t="s">
        <v>629</v>
      </c>
      <c r="G195" s="10" t="s">
        <v>56</v>
      </c>
      <c r="H195" s="226">
        <f>'прил9 (ведом 23)'!M669</f>
        <v>18100</v>
      </c>
    </row>
    <row r="196" spans="1:8" s="352" customFormat="1" ht="36" x14ac:dyDescent="0.35">
      <c r="A196" s="342"/>
      <c r="B196" s="523" t="s">
        <v>281</v>
      </c>
      <c r="C196" s="217" t="s">
        <v>63</v>
      </c>
      <c r="D196" s="218" t="s">
        <v>45</v>
      </c>
      <c r="E196" s="218" t="s">
        <v>65</v>
      </c>
      <c r="F196" s="219" t="s">
        <v>44</v>
      </c>
      <c r="G196" s="28"/>
      <c r="H196" s="226">
        <f>H197</f>
        <v>300.60000000000002</v>
      </c>
    </row>
    <row r="197" spans="1:8" s="352" customFormat="1" ht="36" x14ac:dyDescent="0.35">
      <c r="A197" s="342"/>
      <c r="B197" s="523" t="s">
        <v>472</v>
      </c>
      <c r="C197" s="217" t="s">
        <v>63</v>
      </c>
      <c r="D197" s="218" t="s">
        <v>45</v>
      </c>
      <c r="E197" s="218" t="s">
        <v>65</v>
      </c>
      <c r="F197" s="219" t="s">
        <v>471</v>
      </c>
      <c r="G197" s="28"/>
      <c r="H197" s="226">
        <f>H198</f>
        <v>300.60000000000002</v>
      </c>
    </row>
    <row r="198" spans="1:8" s="352" customFormat="1" ht="36" x14ac:dyDescent="0.35">
      <c r="A198" s="342"/>
      <c r="B198" s="523" t="s">
        <v>76</v>
      </c>
      <c r="C198" s="217" t="s">
        <v>63</v>
      </c>
      <c r="D198" s="218" t="s">
        <v>45</v>
      </c>
      <c r="E198" s="218" t="s">
        <v>65</v>
      </c>
      <c r="F198" s="219" t="s">
        <v>471</v>
      </c>
      <c r="G198" s="28" t="s">
        <v>77</v>
      </c>
      <c r="H198" s="226">
        <f>'прил9 (ведом 23)'!M641</f>
        <v>300.60000000000002</v>
      </c>
    </row>
    <row r="199" spans="1:8" ht="36" x14ac:dyDescent="0.35">
      <c r="A199" s="342"/>
      <c r="B199" s="514" t="s">
        <v>326</v>
      </c>
      <c r="C199" s="360" t="s">
        <v>63</v>
      </c>
      <c r="D199" s="361" t="s">
        <v>89</v>
      </c>
      <c r="E199" s="361" t="s">
        <v>43</v>
      </c>
      <c r="F199" s="219" t="s">
        <v>44</v>
      </c>
      <c r="G199" s="363"/>
      <c r="H199" s="226">
        <f>H200</f>
        <v>2763.5000000000005</v>
      </c>
    </row>
    <row r="200" spans="1:8" ht="90" x14ac:dyDescent="0.35">
      <c r="A200" s="342"/>
      <c r="B200" s="517" t="s">
        <v>320</v>
      </c>
      <c r="C200" s="360" t="s">
        <v>63</v>
      </c>
      <c r="D200" s="361" t="s">
        <v>89</v>
      </c>
      <c r="E200" s="361" t="s">
        <v>63</v>
      </c>
      <c r="F200" s="219" t="s">
        <v>44</v>
      </c>
      <c r="G200" s="363"/>
      <c r="H200" s="226">
        <f>H201+H204</f>
        <v>2763.5000000000005</v>
      </c>
    </row>
    <row r="201" spans="1:8" ht="36" x14ac:dyDescent="0.35">
      <c r="A201" s="342"/>
      <c r="B201" s="517" t="s">
        <v>315</v>
      </c>
      <c r="C201" s="360" t="s">
        <v>63</v>
      </c>
      <c r="D201" s="361" t="s">
        <v>89</v>
      </c>
      <c r="E201" s="361" t="s">
        <v>63</v>
      </c>
      <c r="F201" s="362" t="s">
        <v>316</v>
      </c>
      <c r="G201" s="247"/>
      <c r="H201" s="226">
        <f>SUM(H202:H203)</f>
        <v>2721.3940000000002</v>
      </c>
    </row>
    <row r="202" spans="1:8" ht="36" x14ac:dyDescent="0.35">
      <c r="A202" s="342"/>
      <c r="B202" s="514" t="s">
        <v>55</v>
      </c>
      <c r="C202" s="217" t="s">
        <v>63</v>
      </c>
      <c r="D202" s="218" t="s">
        <v>89</v>
      </c>
      <c r="E202" s="218" t="s">
        <v>63</v>
      </c>
      <c r="F202" s="219" t="s">
        <v>316</v>
      </c>
      <c r="G202" s="247" t="s">
        <v>56</v>
      </c>
      <c r="H202" s="226">
        <f>'прил9 (ведом 23)'!M682+'прил9 (ведом 23)'!M673</f>
        <v>2275</v>
      </c>
    </row>
    <row r="203" spans="1:8" ht="36" x14ac:dyDescent="0.35">
      <c r="A203" s="342"/>
      <c r="B203" s="517" t="s">
        <v>76</v>
      </c>
      <c r="C203" s="217" t="s">
        <v>63</v>
      </c>
      <c r="D203" s="218" t="s">
        <v>89</v>
      </c>
      <c r="E203" s="218" t="s">
        <v>63</v>
      </c>
      <c r="F203" s="219" t="s">
        <v>316</v>
      </c>
      <c r="G203" s="28" t="s">
        <v>77</v>
      </c>
      <c r="H203" s="226">
        <f>'прил9 (ведом 23)'!M674</f>
        <v>446.39400000000001</v>
      </c>
    </row>
    <row r="204" spans="1:8" ht="36" x14ac:dyDescent="0.35">
      <c r="A204" s="342"/>
      <c r="B204" s="523" t="s">
        <v>412</v>
      </c>
      <c r="C204" s="217" t="s">
        <v>63</v>
      </c>
      <c r="D204" s="218" t="s">
        <v>89</v>
      </c>
      <c r="E204" s="218" t="s">
        <v>63</v>
      </c>
      <c r="F204" s="219" t="s">
        <v>413</v>
      </c>
      <c r="G204" s="28"/>
      <c r="H204" s="226">
        <f>H205</f>
        <v>42.106000000000002</v>
      </c>
    </row>
    <row r="205" spans="1:8" ht="36" x14ac:dyDescent="0.35">
      <c r="A205" s="342"/>
      <c r="B205" s="523" t="s">
        <v>76</v>
      </c>
      <c r="C205" s="217" t="s">
        <v>63</v>
      </c>
      <c r="D205" s="218" t="s">
        <v>89</v>
      </c>
      <c r="E205" s="218" t="s">
        <v>63</v>
      </c>
      <c r="F205" s="219" t="s">
        <v>413</v>
      </c>
      <c r="G205" s="28" t="s">
        <v>77</v>
      </c>
      <c r="H205" s="226">
        <f>'прил9 (ведом 23)'!M676</f>
        <v>42.106000000000002</v>
      </c>
    </row>
    <row r="206" spans="1:8" s="352" customFormat="1" ht="36" x14ac:dyDescent="0.35">
      <c r="A206" s="342"/>
      <c r="B206" s="514" t="s">
        <v>216</v>
      </c>
      <c r="C206" s="217" t="s">
        <v>63</v>
      </c>
      <c r="D206" s="218" t="s">
        <v>30</v>
      </c>
      <c r="E206" s="218" t="s">
        <v>43</v>
      </c>
      <c r="F206" s="219" t="s">
        <v>44</v>
      </c>
      <c r="G206" s="247"/>
      <c r="H206" s="226">
        <f>H207+H216</f>
        <v>11575.800000000001</v>
      </c>
    </row>
    <row r="207" spans="1:8" s="352" customFormat="1" ht="36" x14ac:dyDescent="0.35">
      <c r="A207" s="342"/>
      <c r="B207" s="514" t="s">
        <v>282</v>
      </c>
      <c r="C207" s="217" t="s">
        <v>63</v>
      </c>
      <c r="D207" s="218" t="s">
        <v>30</v>
      </c>
      <c r="E207" s="218" t="s">
        <v>37</v>
      </c>
      <c r="F207" s="219" t="s">
        <v>44</v>
      </c>
      <c r="G207" s="28"/>
      <c r="H207" s="226">
        <f>H208+H212</f>
        <v>11521.7</v>
      </c>
    </row>
    <row r="208" spans="1:8" ht="36" x14ac:dyDescent="0.35">
      <c r="A208" s="342"/>
      <c r="B208" s="514" t="s">
        <v>47</v>
      </c>
      <c r="C208" s="217" t="s">
        <v>63</v>
      </c>
      <c r="D208" s="218" t="s">
        <v>30</v>
      </c>
      <c r="E208" s="218" t="s">
        <v>37</v>
      </c>
      <c r="F208" s="219" t="s">
        <v>48</v>
      </c>
      <c r="G208" s="363"/>
      <c r="H208" s="226">
        <f>SUM(H209:H211)</f>
        <v>3487.2000000000003</v>
      </c>
    </row>
    <row r="209" spans="1:8" ht="90" x14ac:dyDescent="0.35">
      <c r="A209" s="342"/>
      <c r="B209" s="514" t="s">
        <v>49</v>
      </c>
      <c r="C209" s="217" t="s">
        <v>63</v>
      </c>
      <c r="D209" s="218" t="s">
        <v>30</v>
      </c>
      <c r="E209" s="218" t="s">
        <v>37</v>
      </c>
      <c r="F209" s="219" t="s">
        <v>48</v>
      </c>
      <c r="G209" s="363" t="s">
        <v>50</v>
      </c>
      <c r="H209" s="226">
        <f>'прил9 (ведом 23)'!M686</f>
        <v>3193.9</v>
      </c>
    </row>
    <row r="210" spans="1:8" ht="36" x14ac:dyDescent="0.35">
      <c r="A210" s="342"/>
      <c r="B210" s="514" t="s">
        <v>55</v>
      </c>
      <c r="C210" s="217" t="s">
        <v>63</v>
      </c>
      <c r="D210" s="218" t="s">
        <v>30</v>
      </c>
      <c r="E210" s="218" t="s">
        <v>37</v>
      </c>
      <c r="F210" s="219" t="s">
        <v>48</v>
      </c>
      <c r="G210" s="363" t="s">
        <v>56</v>
      </c>
      <c r="H210" s="226">
        <f>'прил9 (ведом 23)'!M687</f>
        <v>284.8</v>
      </c>
    </row>
    <row r="211" spans="1:8" ht="18" x14ac:dyDescent="0.35">
      <c r="A211" s="342"/>
      <c r="B211" s="514" t="s">
        <v>57</v>
      </c>
      <c r="C211" s="217" t="s">
        <v>63</v>
      </c>
      <c r="D211" s="218" t="s">
        <v>30</v>
      </c>
      <c r="E211" s="218" t="s">
        <v>37</v>
      </c>
      <c r="F211" s="219" t="s">
        <v>48</v>
      </c>
      <c r="G211" s="28" t="s">
        <v>58</v>
      </c>
      <c r="H211" s="226">
        <f>'прил9 (ведом 23)'!M688</f>
        <v>8.5</v>
      </c>
    </row>
    <row r="212" spans="1:8" ht="36" x14ac:dyDescent="0.35">
      <c r="A212" s="342"/>
      <c r="B212" s="514" t="s">
        <v>466</v>
      </c>
      <c r="C212" s="217" t="s">
        <v>63</v>
      </c>
      <c r="D212" s="218" t="s">
        <v>30</v>
      </c>
      <c r="E212" s="218" t="s">
        <v>37</v>
      </c>
      <c r="F212" s="219" t="s">
        <v>91</v>
      </c>
      <c r="G212" s="28"/>
      <c r="H212" s="226">
        <f>SUM(H213:H215)</f>
        <v>8034.5000000000009</v>
      </c>
    </row>
    <row r="213" spans="1:8" ht="90" x14ac:dyDescent="0.35">
      <c r="A213" s="342"/>
      <c r="B213" s="514" t="s">
        <v>49</v>
      </c>
      <c r="C213" s="217" t="s">
        <v>63</v>
      </c>
      <c r="D213" s="218" t="s">
        <v>30</v>
      </c>
      <c r="E213" s="218" t="s">
        <v>37</v>
      </c>
      <c r="F213" s="219" t="s">
        <v>91</v>
      </c>
      <c r="G213" s="363" t="s">
        <v>50</v>
      </c>
      <c r="H213" s="226">
        <f>'прил9 (ведом 23)'!M690</f>
        <v>7283.1</v>
      </c>
    </row>
    <row r="214" spans="1:8" ht="36" x14ac:dyDescent="0.35">
      <c r="A214" s="342"/>
      <c r="B214" s="514" t="s">
        <v>55</v>
      </c>
      <c r="C214" s="217" t="s">
        <v>63</v>
      </c>
      <c r="D214" s="218" t="s">
        <v>30</v>
      </c>
      <c r="E214" s="218" t="s">
        <v>37</v>
      </c>
      <c r="F214" s="219" t="s">
        <v>91</v>
      </c>
      <c r="G214" s="363" t="s">
        <v>56</v>
      </c>
      <c r="H214" s="226">
        <f>'прил9 (ведом 23)'!M691</f>
        <v>749.80000000000007</v>
      </c>
    </row>
    <row r="215" spans="1:8" ht="18" x14ac:dyDescent="0.35">
      <c r="A215" s="342"/>
      <c r="B215" s="514" t="s">
        <v>57</v>
      </c>
      <c r="C215" s="217" t="s">
        <v>63</v>
      </c>
      <c r="D215" s="218" t="s">
        <v>30</v>
      </c>
      <c r="E215" s="218" t="s">
        <v>37</v>
      </c>
      <c r="F215" s="219" t="s">
        <v>91</v>
      </c>
      <c r="G215" s="28" t="s">
        <v>58</v>
      </c>
      <c r="H215" s="226">
        <f>'прил9 (ведом 23)'!M692</f>
        <v>1.6</v>
      </c>
    </row>
    <row r="216" spans="1:8" ht="36" x14ac:dyDescent="0.35">
      <c r="A216" s="342"/>
      <c r="B216" s="515" t="s">
        <v>351</v>
      </c>
      <c r="C216" s="217" t="s">
        <v>63</v>
      </c>
      <c r="D216" s="218" t="s">
        <v>30</v>
      </c>
      <c r="E216" s="218" t="s">
        <v>39</v>
      </c>
      <c r="F216" s="219" t="s">
        <v>44</v>
      </c>
      <c r="G216" s="158"/>
      <c r="H216" s="226">
        <f>H217</f>
        <v>54.1</v>
      </c>
    </row>
    <row r="217" spans="1:8" ht="54" x14ac:dyDescent="0.35">
      <c r="A217" s="342"/>
      <c r="B217" s="515" t="s">
        <v>352</v>
      </c>
      <c r="C217" s="217" t="s">
        <v>63</v>
      </c>
      <c r="D217" s="218" t="s">
        <v>30</v>
      </c>
      <c r="E217" s="218" t="s">
        <v>39</v>
      </c>
      <c r="F217" s="219" t="s">
        <v>105</v>
      </c>
      <c r="G217" s="158"/>
      <c r="H217" s="226">
        <f>H218</f>
        <v>54.1</v>
      </c>
    </row>
    <row r="218" spans="1:8" ht="36" x14ac:dyDescent="0.35">
      <c r="A218" s="342"/>
      <c r="B218" s="515" t="s">
        <v>55</v>
      </c>
      <c r="C218" s="217" t="s">
        <v>63</v>
      </c>
      <c r="D218" s="218" t="s">
        <v>30</v>
      </c>
      <c r="E218" s="218" t="s">
        <v>39</v>
      </c>
      <c r="F218" s="219" t="s">
        <v>105</v>
      </c>
      <c r="G218" s="28" t="s">
        <v>56</v>
      </c>
      <c r="H218" s="226">
        <f>'прил9 (ведом 23)'!M619</f>
        <v>54.1</v>
      </c>
    </row>
    <row r="219" spans="1:8" ht="18" x14ac:dyDescent="0.35">
      <c r="A219" s="342"/>
      <c r="B219" s="521"/>
      <c r="C219" s="364"/>
      <c r="D219" s="364"/>
      <c r="E219" s="308"/>
      <c r="F219" s="365"/>
      <c r="G219" s="247"/>
      <c r="H219" s="226"/>
    </row>
    <row r="220" spans="1:8" s="352" customFormat="1" ht="52.2" x14ac:dyDescent="0.3">
      <c r="A220" s="357">
        <v>3</v>
      </c>
      <c r="B220" s="526" t="s">
        <v>217</v>
      </c>
      <c r="C220" s="358" t="s">
        <v>52</v>
      </c>
      <c r="D220" s="358" t="s">
        <v>42</v>
      </c>
      <c r="E220" s="358" t="s">
        <v>43</v>
      </c>
      <c r="F220" s="359" t="s">
        <v>44</v>
      </c>
      <c r="G220" s="351"/>
      <c r="H220" s="263">
        <f>H221+H231+H264</f>
        <v>154308.5</v>
      </c>
    </row>
    <row r="221" spans="1:8" ht="18" x14ac:dyDescent="0.35">
      <c r="A221" s="342"/>
      <c r="B221" s="522" t="s">
        <v>218</v>
      </c>
      <c r="C221" s="217" t="s">
        <v>52</v>
      </c>
      <c r="D221" s="218" t="s">
        <v>45</v>
      </c>
      <c r="E221" s="218" t="s">
        <v>43</v>
      </c>
      <c r="F221" s="219" t="s">
        <v>44</v>
      </c>
      <c r="G221" s="247"/>
      <c r="H221" s="226">
        <f>H222+H225+H228</f>
        <v>4240.6000000000004</v>
      </c>
    </row>
    <row r="222" spans="1:8" ht="18" x14ac:dyDescent="0.35">
      <c r="A222" s="342"/>
      <c r="B222" s="514" t="s">
        <v>277</v>
      </c>
      <c r="C222" s="217" t="s">
        <v>52</v>
      </c>
      <c r="D222" s="218" t="s">
        <v>45</v>
      </c>
      <c r="E222" s="218" t="s">
        <v>37</v>
      </c>
      <c r="F222" s="219" t="s">
        <v>44</v>
      </c>
      <c r="G222" s="247"/>
      <c r="H222" s="226">
        <f>H223</f>
        <v>378</v>
      </c>
    </row>
    <row r="223" spans="1:8" ht="36" x14ac:dyDescent="0.35">
      <c r="A223" s="342"/>
      <c r="B223" s="514" t="s">
        <v>278</v>
      </c>
      <c r="C223" s="217" t="s">
        <v>52</v>
      </c>
      <c r="D223" s="218" t="s">
        <v>45</v>
      </c>
      <c r="E223" s="218" t="s">
        <v>37</v>
      </c>
      <c r="F223" s="219" t="s">
        <v>279</v>
      </c>
      <c r="G223" s="28"/>
      <c r="H223" s="226">
        <f>H224</f>
        <v>378</v>
      </c>
    </row>
    <row r="224" spans="1:8" ht="18" x14ac:dyDescent="0.35">
      <c r="A224" s="342"/>
      <c r="B224" s="514" t="s">
        <v>120</v>
      </c>
      <c r="C224" s="217" t="s">
        <v>52</v>
      </c>
      <c r="D224" s="218" t="s">
        <v>45</v>
      </c>
      <c r="E224" s="218" t="s">
        <v>37</v>
      </c>
      <c r="F224" s="219" t="s">
        <v>279</v>
      </c>
      <c r="G224" s="28" t="s">
        <v>121</v>
      </c>
      <c r="H224" s="226">
        <f>'прил9 (ведом 23)'!M708+'прил9 (ведом 23)'!M742</f>
        <v>378</v>
      </c>
    </row>
    <row r="225" spans="1:8" ht="54" x14ac:dyDescent="0.35">
      <c r="A225" s="342"/>
      <c r="B225" s="514" t="s">
        <v>291</v>
      </c>
      <c r="C225" s="217" t="s">
        <v>52</v>
      </c>
      <c r="D225" s="218" t="s">
        <v>45</v>
      </c>
      <c r="E225" s="218" t="s">
        <v>39</v>
      </c>
      <c r="F225" s="219" t="s">
        <v>44</v>
      </c>
      <c r="G225" s="28"/>
      <c r="H225" s="226">
        <f>H226</f>
        <v>910.6</v>
      </c>
    </row>
    <row r="226" spans="1:8" ht="36" x14ac:dyDescent="0.35">
      <c r="A226" s="342"/>
      <c r="B226" s="514" t="s">
        <v>219</v>
      </c>
      <c r="C226" s="217" t="s">
        <v>52</v>
      </c>
      <c r="D226" s="218" t="s">
        <v>45</v>
      </c>
      <c r="E226" s="218" t="s">
        <v>39</v>
      </c>
      <c r="F226" s="219" t="s">
        <v>292</v>
      </c>
      <c r="G226" s="28"/>
      <c r="H226" s="226">
        <f>SUM(H227:H227)</f>
        <v>910.6</v>
      </c>
    </row>
    <row r="227" spans="1:8" ht="36" x14ac:dyDescent="0.35">
      <c r="A227" s="342"/>
      <c r="B227" s="514" t="s">
        <v>55</v>
      </c>
      <c r="C227" s="217" t="s">
        <v>52</v>
      </c>
      <c r="D227" s="218" t="s">
        <v>45</v>
      </c>
      <c r="E227" s="218" t="s">
        <v>39</v>
      </c>
      <c r="F227" s="219" t="s">
        <v>292</v>
      </c>
      <c r="G227" s="28" t="s">
        <v>56</v>
      </c>
      <c r="H227" s="226">
        <f>'прил9 (ведом 23)'!M729</f>
        <v>910.6</v>
      </c>
    </row>
    <row r="228" spans="1:8" ht="18" x14ac:dyDescent="0.35">
      <c r="A228" s="342"/>
      <c r="B228" s="518" t="s">
        <v>490</v>
      </c>
      <c r="C228" s="696" t="s">
        <v>52</v>
      </c>
      <c r="D228" s="697" t="s">
        <v>45</v>
      </c>
      <c r="E228" s="697" t="s">
        <v>489</v>
      </c>
      <c r="F228" s="698" t="s">
        <v>44</v>
      </c>
      <c r="G228" s="10"/>
      <c r="H228" s="226">
        <f>H229</f>
        <v>2952</v>
      </c>
    </row>
    <row r="229" spans="1:8" ht="36" x14ac:dyDescent="0.35">
      <c r="A229" s="342"/>
      <c r="B229" s="518" t="s">
        <v>491</v>
      </c>
      <c r="C229" s="696" t="s">
        <v>52</v>
      </c>
      <c r="D229" s="697" t="s">
        <v>45</v>
      </c>
      <c r="E229" s="697" t="s">
        <v>489</v>
      </c>
      <c r="F229" s="698" t="s">
        <v>501</v>
      </c>
      <c r="G229" s="10"/>
      <c r="H229" s="226">
        <f>H230</f>
        <v>2952</v>
      </c>
    </row>
    <row r="230" spans="1:8" ht="36" x14ac:dyDescent="0.35">
      <c r="A230" s="342"/>
      <c r="B230" s="518" t="s">
        <v>55</v>
      </c>
      <c r="C230" s="696" t="s">
        <v>52</v>
      </c>
      <c r="D230" s="697" t="s">
        <v>45</v>
      </c>
      <c r="E230" s="697" t="s">
        <v>489</v>
      </c>
      <c r="F230" s="698" t="s">
        <v>501</v>
      </c>
      <c r="G230" s="10" t="s">
        <v>56</v>
      </c>
      <c r="H230" s="226">
        <f>'прил9 (ведом 23)'!M732</f>
        <v>2952</v>
      </c>
    </row>
    <row r="231" spans="1:8" ht="18" x14ac:dyDescent="0.35">
      <c r="A231" s="342"/>
      <c r="B231" s="514" t="s">
        <v>220</v>
      </c>
      <c r="C231" s="217" t="s">
        <v>52</v>
      </c>
      <c r="D231" s="218" t="s">
        <v>89</v>
      </c>
      <c r="E231" s="218" t="s">
        <v>43</v>
      </c>
      <c r="F231" s="219" t="s">
        <v>44</v>
      </c>
      <c r="G231" s="247"/>
      <c r="H231" s="226">
        <f>H232+H237+H254+H257</f>
        <v>75791.400000000009</v>
      </c>
    </row>
    <row r="232" spans="1:8" ht="36" x14ac:dyDescent="0.35">
      <c r="A232" s="342"/>
      <c r="B232" s="514" t="s">
        <v>282</v>
      </c>
      <c r="C232" s="217" t="s">
        <v>52</v>
      </c>
      <c r="D232" s="218" t="s">
        <v>89</v>
      </c>
      <c r="E232" s="218" t="s">
        <v>37</v>
      </c>
      <c r="F232" s="219" t="s">
        <v>44</v>
      </c>
      <c r="G232" s="28"/>
      <c r="H232" s="226">
        <f>H233</f>
        <v>2971.1000000000004</v>
      </c>
    </row>
    <row r="233" spans="1:8" ht="36" x14ac:dyDescent="0.35">
      <c r="A233" s="342"/>
      <c r="B233" s="514" t="s">
        <v>47</v>
      </c>
      <c r="C233" s="217" t="s">
        <v>52</v>
      </c>
      <c r="D233" s="218" t="s">
        <v>89</v>
      </c>
      <c r="E233" s="218" t="s">
        <v>37</v>
      </c>
      <c r="F233" s="219" t="s">
        <v>48</v>
      </c>
      <c r="G233" s="28"/>
      <c r="H233" s="226">
        <f>SUM(H234:H236)</f>
        <v>2971.1000000000004</v>
      </c>
    </row>
    <row r="234" spans="1:8" ht="90" x14ac:dyDescent="0.35">
      <c r="A234" s="342"/>
      <c r="B234" s="514" t="s">
        <v>49</v>
      </c>
      <c r="C234" s="217" t="s">
        <v>52</v>
      </c>
      <c r="D234" s="218" t="s">
        <v>89</v>
      </c>
      <c r="E234" s="218" t="s">
        <v>37</v>
      </c>
      <c r="F234" s="219" t="s">
        <v>48</v>
      </c>
      <c r="G234" s="28" t="s">
        <v>50</v>
      </c>
      <c r="H234" s="226">
        <f>'прил9 (ведом 23)'!M764</f>
        <v>2910.9</v>
      </c>
    </row>
    <row r="235" spans="1:8" ht="36" x14ac:dyDescent="0.35">
      <c r="A235" s="342"/>
      <c r="B235" s="514" t="s">
        <v>55</v>
      </c>
      <c r="C235" s="217" t="s">
        <v>52</v>
      </c>
      <c r="D235" s="218" t="s">
        <v>89</v>
      </c>
      <c r="E235" s="218" t="s">
        <v>37</v>
      </c>
      <c r="F235" s="219" t="s">
        <v>48</v>
      </c>
      <c r="G235" s="28" t="s">
        <v>56</v>
      </c>
      <c r="H235" s="226">
        <f>'прил9 (ведом 23)'!M765</f>
        <v>58.3</v>
      </c>
    </row>
    <row r="236" spans="1:8" ht="18" x14ac:dyDescent="0.35">
      <c r="A236" s="342"/>
      <c r="B236" s="514" t="s">
        <v>57</v>
      </c>
      <c r="C236" s="217" t="s">
        <v>52</v>
      </c>
      <c r="D236" s="218" t="s">
        <v>89</v>
      </c>
      <c r="E236" s="218" t="s">
        <v>37</v>
      </c>
      <c r="F236" s="219" t="s">
        <v>48</v>
      </c>
      <c r="G236" s="28" t="s">
        <v>58</v>
      </c>
      <c r="H236" s="226">
        <f>'прил9 (ведом 23)'!M766</f>
        <v>1.9</v>
      </c>
    </row>
    <row r="237" spans="1:8" ht="18" x14ac:dyDescent="0.35">
      <c r="A237" s="342"/>
      <c r="B237" s="514" t="s">
        <v>361</v>
      </c>
      <c r="C237" s="217" t="s">
        <v>52</v>
      </c>
      <c r="D237" s="218" t="s">
        <v>89</v>
      </c>
      <c r="E237" s="218" t="s">
        <v>39</v>
      </c>
      <c r="F237" s="219" t="s">
        <v>44</v>
      </c>
      <c r="G237" s="28"/>
      <c r="H237" s="226">
        <f>H238+H250+H242+H244+H252+H248+H246</f>
        <v>68179.899999999994</v>
      </c>
    </row>
    <row r="238" spans="1:8" ht="36" x14ac:dyDescent="0.35">
      <c r="A238" s="342"/>
      <c r="B238" s="514" t="s">
        <v>466</v>
      </c>
      <c r="C238" s="217" t="s">
        <v>52</v>
      </c>
      <c r="D238" s="218" t="s">
        <v>89</v>
      </c>
      <c r="E238" s="218" t="s">
        <v>39</v>
      </c>
      <c r="F238" s="219" t="s">
        <v>91</v>
      </c>
      <c r="G238" s="28"/>
      <c r="H238" s="226">
        <f>SUM(H239:H241)</f>
        <v>33624.700000000004</v>
      </c>
    </row>
    <row r="239" spans="1:8" ht="90" x14ac:dyDescent="0.35">
      <c r="A239" s="342"/>
      <c r="B239" s="514" t="s">
        <v>49</v>
      </c>
      <c r="C239" s="217" t="s">
        <v>52</v>
      </c>
      <c r="D239" s="218" t="s">
        <v>89</v>
      </c>
      <c r="E239" s="218" t="s">
        <v>39</v>
      </c>
      <c r="F239" s="219" t="s">
        <v>91</v>
      </c>
      <c r="G239" s="28" t="s">
        <v>50</v>
      </c>
      <c r="H239" s="226">
        <f>'прил9 (ведом 23)'!M712+'прил9 (ведом 23)'!M746</f>
        <v>20965.600000000002</v>
      </c>
    </row>
    <row r="240" spans="1:8" ht="36" x14ac:dyDescent="0.35">
      <c r="A240" s="342"/>
      <c r="B240" s="514" t="s">
        <v>55</v>
      </c>
      <c r="C240" s="217" t="s">
        <v>52</v>
      </c>
      <c r="D240" s="218" t="s">
        <v>89</v>
      </c>
      <c r="E240" s="218" t="s">
        <v>39</v>
      </c>
      <c r="F240" s="219" t="s">
        <v>91</v>
      </c>
      <c r="G240" s="28" t="s">
        <v>56</v>
      </c>
      <c r="H240" s="226">
        <f>'прил9 (ведом 23)'!M713+'прил9 (ведом 23)'!M747</f>
        <v>11493</v>
      </c>
    </row>
    <row r="241" spans="1:8" ht="18" x14ac:dyDescent="0.35">
      <c r="A241" s="342"/>
      <c r="B241" s="514" t="s">
        <v>57</v>
      </c>
      <c r="C241" s="217" t="s">
        <v>52</v>
      </c>
      <c r="D241" s="218" t="s">
        <v>89</v>
      </c>
      <c r="E241" s="218" t="s">
        <v>39</v>
      </c>
      <c r="F241" s="219" t="s">
        <v>91</v>
      </c>
      <c r="G241" s="28" t="s">
        <v>58</v>
      </c>
      <c r="H241" s="226">
        <f>'прил9 (ведом 23)'!M714+'прил9 (ведом 23)'!M748</f>
        <v>1166.0999999999999</v>
      </c>
    </row>
    <row r="242" spans="1:8" ht="50.25" customHeight="1" x14ac:dyDescent="0.35">
      <c r="A242" s="342"/>
      <c r="B242" s="515" t="s">
        <v>219</v>
      </c>
      <c r="C242" s="217" t="s">
        <v>52</v>
      </c>
      <c r="D242" s="218" t="s">
        <v>89</v>
      </c>
      <c r="E242" s="218" t="s">
        <v>39</v>
      </c>
      <c r="F242" s="219" t="s">
        <v>292</v>
      </c>
      <c r="G242" s="28"/>
      <c r="H242" s="226">
        <f>H243</f>
        <v>2043.2999999999997</v>
      </c>
    </row>
    <row r="243" spans="1:8" ht="36" x14ac:dyDescent="0.35">
      <c r="A243" s="342"/>
      <c r="B243" s="515" t="s">
        <v>55</v>
      </c>
      <c r="C243" s="217" t="s">
        <v>52</v>
      </c>
      <c r="D243" s="218" t="s">
        <v>89</v>
      </c>
      <c r="E243" s="218" t="s">
        <v>39</v>
      </c>
      <c r="F243" s="219" t="s">
        <v>292</v>
      </c>
      <c r="G243" s="28" t="s">
        <v>56</v>
      </c>
      <c r="H243" s="226">
        <f>'прил9 (ведом 23)'!M716+'прил9 (ведом 23)'!M750</f>
        <v>2043.2999999999997</v>
      </c>
    </row>
    <row r="244" spans="1:8" ht="180" x14ac:dyDescent="0.35">
      <c r="A244" s="342"/>
      <c r="B244" s="515" t="s">
        <v>437</v>
      </c>
      <c r="C244" s="217" t="s">
        <v>52</v>
      </c>
      <c r="D244" s="218" t="s">
        <v>89</v>
      </c>
      <c r="E244" s="218" t="s">
        <v>39</v>
      </c>
      <c r="F244" s="219" t="s">
        <v>390</v>
      </c>
      <c r="G244" s="28"/>
      <c r="H244" s="226">
        <f>H245</f>
        <v>187.5</v>
      </c>
    </row>
    <row r="245" spans="1:8" ht="90" x14ac:dyDescent="0.35">
      <c r="A245" s="342"/>
      <c r="B245" s="515" t="s">
        <v>49</v>
      </c>
      <c r="C245" s="217" t="s">
        <v>52</v>
      </c>
      <c r="D245" s="218" t="s">
        <v>89</v>
      </c>
      <c r="E245" s="218" t="s">
        <v>39</v>
      </c>
      <c r="F245" s="219" t="s">
        <v>390</v>
      </c>
      <c r="G245" s="28" t="s">
        <v>50</v>
      </c>
      <c r="H245" s="226">
        <f>'прил9 (ведом 23)'!M752</f>
        <v>187.5</v>
      </c>
    </row>
    <row r="246" spans="1:8" ht="54" x14ac:dyDescent="0.35">
      <c r="A246" s="342"/>
      <c r="B246" s="601" t="s">
        <v>697</v>
      </c>
      <c r="C246" s="696" t="s">
        <v>52</v>
      </c>
      <c r="D246" s="697" t="s">
        <v>89</v>
      </c>
      <c r="E246" s="697" t="s">
        <v>39</v>
      </c>
      <c r="F246" s="698" t="s">
        <v>696</v>
      </c>
      <c r="G246" s="10"/>
      <c r="H246" s="226">
        <f>H247</f>
        <v>388.9</v>
      </c>
    </row>
    <row r="247" spans="1:8" ht="36" x14ac:dyDescent="0.35">
      <c r="A247" s="342"/>
      <c r="B247" s="518" t="s">
        <v>55</v>
      </c>
      <c r="C247" s="696" t="s">
        <v>52</v>
      </c>
      <c r="D247" s="697" t="s">
        <v>89</v>
      </c>
      <c r="E247" s="697" t="s">
        <v>39</v>
      </c>
      <c r="F247" s="698" t="s">
        <v>696</v>
      </c>
      <c r="G247" s="10" t="s">
        <v>56</v>
      </c>
      <c r="H247" s="226">
        <f>'прил9 (ведом 23)'!M754</f>
        <v>388.9</v>
      </c>
    </row>
    <row r="248" spans="1:8" ht="72" x14ac:dyDescent="0.35">
      <c r="A248" s="342"/>
      <c r="B248" s="518" t="s">
        <v>740</v>
      </c>
      <c r="C248" s="696" t="s">
        <v>52</v>
      </c>
      <c r="D248" s="697" t="s">
        <v>89</v>
      </c>
      <c r="E248" s="697" t="s">
        <v>39</v>
      </c>
      <c r="F248" s="698" t="s">
        <v>739</v>
      </c>
      <c r="G248" s="10"/>
      <c r="H248" s="226">
        <f>H249</f>
        <v>24812</v>
      </c>
    </row>
    <row r="249" spans="1:8" ht="36" x14ac:dyDescent="0.35">
      <c r="A249" s="342"/>
      <c r="B249" s="518" t="s">
        <v>55</v>
      </c>
      <c r="C249" s="696" t="s">
        <v>52</v>
      </c>
      <c r="D249" s="697" t="s">
        <v>89</v>
      </c>
      <c r="E249" s="697" t="s">
        <v>39</v>
      </c>
      <c r="F249" s="698" t="s">
        <v>739</v>
      </c>
      <c r="G249" s="10" t="s">
        <v>56</v>
      </c>
      <c r="H249" s="226">
        <f>'прил9 (ведом 23)'!M736</f>
        <v>24812</v>
      </c>
    </row>
    <row r="250" spans="1:8" ht="54" x14ac:dyDescent="0.35">
      <c r="A250" s="342"/>
      <c r="B250" s="515" t="s">
        <v>439</v>
      </c>
      <c r="C250" s="217" t="s">
        <v>52</v>
      </c>
      <c r="D250" s="218" t="s">
        <v>89</v>
      </c>
      <c r="E250" s="218" t="s">
        <v>39</v>
      </c>
      <c r="F250" s="219" t="s">
        <v>410</v>
      </c>
      <c r="G250" s="28"/>
      <c r="H250" s="226">
        <f>H251</f>
        <v>2003.5</v>
      </c>
    </row>
    <row r="251" spans="1:8" ht="90" x14ac:dyDescent="0.35">
      <c r="A251" s="342"/>
      <c r="B251" s="515" t="s">
        <v>49</v>
      </c>
      <c r="C251" s="217" t="s">
        <v>52</v>
      </c>
      <c r="D251" s="218" t="s">
        <v>89</v>
      </c>
      <c r="E251" s="218" t="s">
        <v>39</v>
      </c>
      <c r="F251" s="219" t="s">
        <v>410</v>
      </c>
      <c r="G251" s="28" t="s">
        <v>50</v>
      </c>
      <c r="H251" s="226">
        <f>'прил9 (ведом 23)'!M756</f>
        <v>2003.5</v>
      </c>
    </row>
    <row r="252" spans="1:8" ht="144" x14ac:dyDescent="0.35">
      <c r="A252" s="342"/>
      <c r="B252" s="515" t="s">
        <v>579</v>
      </c>
      <c r="C252" s="217" t="s">
        <v>52</v>
      </c>
      <c r="D252" s="218" t="s">
        <v>89</v>
      </c>
      <c r="E252" s="218" t="s">
        <v>39</v>
      </c>
      <c r="F252" s="219" t="s">
        <v>578</v>
      </c>
      <c r="G252" s="28"/>
      <c r="H252" s="226">
        <f>H253</f>
        <v>5120</v>
      </c>
    </row>
    <row r="253" spans="1:8" ht="36" x14ac:dyDescent="0.35">
      <c r="A253" s="342"/>
      <c r="B253" s="515" t="s">
        <v>55</v>
      </c>
      <c r="C253" s="217" t="s">
        <v>52</v>
      </c>
      <c r="D253" s="218" t="s">
        <v>89</v>
      </c>
      <c r="E253" s="218" t="s">
        <v>39</v>
      </c>
      <c r="F253" s="219" t="s">
        <v>578</v>
      </c>
      <c r="G253" s="28" t="s">
        <v>56</v>
      </c>
      <c r="H253" s="226">
        <f>'прил9 (ведом 23)'!M758</f>
        <v>5120</v>
      </c>
    </row>
    <row r="254" spans="1:8" ht="36" x14ac:dyDescent="0.35">
      <c r="A254" s="342"/>
      <c r="B254" s="515" t="s">
        <v>351</v>
      </c>
      <c r="C254" s="217" t="s">
        <v>52</v>
      </c>
      <c r="D254" s="218" t="s">
        <v>89</v>
      </c>
      <c r="E254" s="218" t="s">
        <v>63</v>
      </c>
      <c r="F254" s="219" t="s">
        <v>44</v>
      </c>
      <c r="G254" s="28"/>
      <c r="H254" s="226">
        <f>H255</f>
        <v>60.8</v>
      </c>
    </row>
    <row r="255" spans="1:8" ht="54" x14ac:dyDescent="0.35">
      <c r="A255" s="342"/>
      <c r="B255" s="527" t="s">
        <v>352</v>
      </c>
      <c r="C255" s="217" t="s">
        <v>52</v>
      </c>
      <c r="D255" s="218" t="s">
        <v>89</v>
      </c>
      <c r="E255" s="218" t="s">
        <v>63</v>
      </c>
      <c r="F255" s="219" t="s">
        <v>105</v>
      </c>
      <c r="G255" s="28"/>
      <c r="H255" s="226">
        <f>H256</f>
        <v>60.8</v>
      </c>
    </row>
    <row r="256" spans="1:8" ht="36" x14ac:dyDescent="0.35">
      <c r="A256" s="342"/>
      <c r="B256" s="515" t="s">
        <v>55</v>
      </c>
      <c r="C256" s="217" t="s">
        <v>52</v>
      </c>
      <c r="D256" s="218" t="s">
        <v>89</v>
      </c>
      <c r="E256" s="218" t="s">
        <v>63</v>
      </c>
      <c r="F256" s="219" t="s">
        <v>105</v>
      </c>
      <c r="G256" s="28" t="s">
        <v>56</v>
      </c>
      <c r="H256" s="226">
        <f>'прил9 (ведом 23)'!M701</f>
        <v>60.8</v>
      </c>
    </row>
    <row r="257" spans="1:8" ht="18" x14ac:dyDescent="0.35">
      <c r="A257" s="342"/>
      <c r="B257" s="515" t="s">
        <v>566</v>
      </c>
      <c r="C257" s="217" t="s">
        <v>52</v>
      </c>
      <c r="D257" s="218" t="s">
        <v>89</v>
      </c>
      <c r="E257" s="218" t="s">
        <v>52</v>
      </c>
      <c r="F257" s="219" t="s">
        <v>44</v>
      </c>
      <c r="G257" s="28"/>
      <c r="H257" s="226">
        <f>H258+H262</f>
        <v>4579.5999999999995</v>
      </c>
    </row>
    <row r="258" spans="1:8" ht="36" x14ac:dyDescent="0.35">
      <c r="A258" s="342"/>
      <c r="B258" s="515" t="s">
        <v>466</v>
      </c>
      <c r="C258" s="217" t="s">
        <v>52</v>
      </c>
      <c r="D258" s="218" t="s">
        <v>89</v>
      </c>
      <c r="E258" s="218" t="s">
        <v>52</v>
      </c>
      <c r="F258" s="219" t="s">
        <v>91</v>
      </c>
      <c r="G258" s="28"/>
      <c r="H258" s="226">
        <f>H259+H260+H261</f>
        <v>3677.2999999999997</v>
      </c>
    </row>
    <row r="259" spans="1:8" ht="90" x14ac:dyDescent="0.35">
      <c r="A259" s="342"/>
      <c r="B259" s="515" t="s">
        <v>49</v>
      </c>
      <c r="C259" s="217" t="s">
        <v>52</v>
      </c>
      <c r="D259" s="218" t="s">
        <v>89</v>
      </c>
      <c r="E259" s="218" t="s">
        <v>52</v>
      </c>
      <c r="F259" s="219" t="s">
        <v>91</v>
      </c>
      <c r="G259" s="28" t="s">
        <v>50</v>
      </c>
      <c r="H259" s="226">
        <f>'прил9 (ведом 23)'!M719</f>
        <v>2045</v>
      </c>
    </row>
    <row r="260" spans="1:8" ht="36" x14ac:dyDescent="0.35">
      <c r="A260" s="342"/>
      <c r="B260" s="515" t="s">
        <v>55</v>
      </c>
      <c r="C260" s="217" t="s">
        <v>52</v>
      </c>
      <c r="D260" s="218" t="s">
        <v>89</v>
      </c>
      <c r="E260" s="218" t="s">
        <v>52</v>
      </c>
      <c r="F260" s="219" t="s">
        <v>91</v>
      </c>
      <c r="G260" s="28" t="s">
        <v>56</v>
      </c>
      <c r="H260" s="226">
        <f>'прил9 (ведом 23)'!M720</f>
        <v>1623.6</v>
      </c>
    </row>
    <row r="261" spans="1:8" ht="18" x14ac:dyDescent="0.35">
      <c r="A261" s="342"/>
      <c r="B261" s="515" t="s">
        <v>57</v>
      </c>
      <c r="C261" s="217" t="s">
        <v>52</v>
      </c>
      <c r="D261" s="218" t="s">
        <v>89</v>
      </c>
      <c r="E261" s="218" t="s">
        <v>52</v>
      </c>
      <c r="F261" s="219" t="s">
        <v>91</v>
      </c>
      <c r="G261" s="28" t="s">
        <v>58</v>
      </c>
      <c r="H261" s="226">
        <f>'прил9 (ведом 23)'!M721</f>
        <v>8.6999999999999993</v>
      </c>
    </row>
    <row r="262" spans="1:8" ht="36" x14ac:dyDescent="0.35">
      <c r="A262" s="342"/>
      <c r="B262" s="515" t="s">
        <v>219</v>
      </c>
      <c r="C262" s="217" t="s">
        <v>52</v>
      </c>
      <c r="D262" s="218" t="s">
        <v>89</v>
      </c>
      <c r="E262" s="218" t="s">
        <v>52</v>
      </c>
      <c r="F262" s="219" t="s">
        <v>292</v>
      </c>
      <c r="G262" s="28"/>
      <c r="H262" s="226">
        <f>H263</f>
        <v>902.3</v>
      </c>
    </row>
    <row r="263" spans="1:8" ht="36" x14ac:dyDescent="0.35">
      <c r="A263" s="342"/>
      <c r="B263" s="515" t="s">
        <v>55</v>
      </c>
      <c r="C263" s="217" t="s">
        <v>52</v>
      </c>
      <c r="D263" s="218" t="s">
        <v>89</v>
      </c>
      <c r="E263" s="218" t="s">
        <v>52</v>
      </c>
      <c r="F263" s="219" t="s">
        <v>292</v>
      </c>
      <c r="G263" s="28" t="s">
        <v>56</v>
      </c>
      <c r="H263" s="226">
        <f>'прил9 (ведом 23)'!M723</f>
        <v>902.3</v>
      </c>
    </row>
    <row r="264" spans="1:8" ht="18" x14ac:dyDescent="0.35">
      <c r="A264" s="342"/>
      <c r="B264" s="515" t="s">
        <v>339</v>
      </c>
      <c r="C264" s="217" t="s">
        <v>52</v>
      </c>
      <c r="D264" s="218" t="s">
        <v>31</v>
      </c>
      <c r="E264" s="218" t="s">
        <v>43</v>
      </c>
      <c r="F264" s="219" t="s">
        <v>44</v>
      </c>
      <c r="G264" s="28"/>
      <c r="H264" s="226">
        <f>H265</f>
        <v>74276.5</v>
      </c>
    </row>
    <row r="265" spans="1:8" ht="54" x14ac:dyDescent="0.35">
      <c r="A265" s="342"/>
      <c r="B265" s="515" t="s">
        <v>411</v>
      </c>
      <c r="C265" s="217" t="s">
        <v>52</v>
      </c>
      <c r="D265" s="218" t="s">
        <v>31</v>
      </c>
      <c r="E265" s="218" t="s">
        <v>63</v>
      </c>
      <c r="F265" s="219" t="s">
        <v>44</v>
      </c>
      <c r="G265" s="28"/>
      <c r="H265" s="226">
        <f>H266+H268</f>
        <v>74276.5</v>
      </c>
    </row>
    <row r="266" spans="1:8" ht="36" x14ac:dyDescent="0.35">
      <c r="A266" s="342"/>
      <c r="B266" s="515" t="s">
        <v>219</v>
      </c>
      <c r="C266" s="217" t="s">
        <v>52</v>
      </c>
      <c r="D266" s="218" t="s">
        <v>31</v>
      </c>
      <c r="E266" s="218" t="s">
        <v>63</v>
      </c>
      <c r="F266" s="219" t="s">
        <v>292</v>
      </c>
      <c r="G266" s="28"/>
      <c r="H266" s="226">
        <f>H267</f>
        <v>695.20000000000016</v>
      </c>
    </row>
    <row r="267" spans="1:8" ht="36" x14ac:dyDescent="0.35">
      <c r="A267" s="342"/>
      <c r="B267" s="515" t="s">
        <v>203</v>
      </c>
      <c r="C267" s="217" t="s">
        <v>52</v>
      </c>
      <c r="D267" s="218" t="s">
        <v>31</v>
      </c>
      <c r="E267" s="218" t="s">
        <v>63</v>
      </c>
      <c r="F267" s="219" t="s">
        <v>292</v>
      </c>
      <c r="G267" s="28" t="s">
        <v>204</v>
      </c>
      <c r="H267" s="226">
        <f>'прил9 (ведом 23)'!M422</f>
        <v>695.20000000000016</v>
      </c>
    </row>
    <row r="268" spans="1:8" ht="108" x14ac:dyDescent="0.35">
      <c r="A268" s="342"/>
      <c r="B268" s="515" t="s">
        <v>505</v>
      </c>
      <c r="C268" s="370" t="s">
        <v>52</v>
      </c>
      <c r="D268" s="370" t="s">
        <v>31</v>
      </c>
      <c r="E268" s="370" t="s">
        <v>63</v>
      </c>
      <c r="F268" s="371" t="s">
        <v>504</v>
      </c>
      <c r="G268" s="28"/>
      <c r="H268" s="226">
        <f>H269</f>
        <v>73581.3</v>
      </c>
    </row>
    <row r="269" spans="1:8" ht="36" x14ac:dyDescent="0.35">
      <c r="A269" s="342"/>
      <c r="B269" s="515" t="s">
        <v>203</v>
      </c>
      <c r="C269" s="370" t="s">
        <v>52</v>
      </c>
      <c r="D269" s="370" t="s">
        <v>31</v>
      </c>
      <c r="E269" s="370" t="s">
        <v>63</v>
      </c>
      <c r="F269" s="371" t="s">
        <v>504</v>
      </c>
      <c r="G269" s="28" t="s">
        <v>204</v>
      </c>
      <c r="H269" s="226">
        <f>'прил9 (ведом 23)'!M424</f>
        <v>73581.3</v>
      </c>
    </row>
    <row r="270" spans="1:8" s="352" customFormat="1" ht="52.2" x14ac:dyDescent="0.3">
      <c r="A270" s="357">
        <v>4</v>
      </c>
      <c r="B270" s="513" t="s">
        <v>221</v>
      </c>
      <c r="C270" s="349" t="s">
        <v>65</v>
      </c>
      <c r="D270" s="349" t="s">
        <v>42</v>
      </c>
      <c r="E270" s="349" t="s">
        <v>43</v>
      </c>
      <c r="F270" s="350" t="s">
        <v>44</v>
      </c>
      <c r="G270" s="351"/>
      <c r="H270" s="263">
        <f>H271+H279</f>
        <v>9664.369999999999</v>
      </c>
    </row>
    <row r="271" spans="1:8" s="352" customFormat="1" ht="18" x14ac:dyDescent="0.35">
      <c r="A271" s="342"/>
      <c r="B271" s="514" t="s">
        <v>222</v>
      </c>
      <c r="C271" s="217" t="s">
        <v>65</v>
      </c>
      <c r="D271" s="218" t="s">
        <v>45</v>
      </c>
      <c r="E271" s="218" t="s">
        <v>43</v>
      </c>
      <c r="F271" s="219" t="s">
        <v>44</v>
      </c>
      <c r="G271" s="247"/>
      <c r="H271" s="226">
        <f>H272</f>
        <v>5816.9699999999993</v>
      </c>
    </row>
    <row r="272" spans="1:8" s="352" customFormat="1" ht="72" x14ac:dyDescent="0.35">
      <c r="A272" s="342"/>
      <c r="B272" s="514" t="s">
        <v>287</v>
      </c>
      <c r="C272" s="217" t="s">
        <v>65</v>
      </c>
      <c r="D272" s="218" t="s">
        <v>45</v>
      </c>
      <c r="E272" s="218" t="s">
        <v>37</v>
      </c>
      <c r="F272" s="219" t="s">
        <v>44</v>
      </c>
      <c r="G272" s="28"/>
      <c r="H272" s="226">
        <f>H273+H277</f>
        <v>5816.9699999999993</v>
      </c>
    </row>
    <row r="273" spans="1:8" ht="36" x14ac:dyDescent="0.35">
      <c r="A273" s="342"/>
      <c r="B273" s="514" t="s">
        <v>466</v>
      </c>
      <c r="C273" s="217" t="s">
        <v>65</v>
      </c>
      <c r="D273" s="218" t="s">
        <v>45</v>
      </c>
      <c r="E273" s="218" t="s">
        <v>37</v>
      </c>
      <c r="F273" s="219" t="s">
        <v>91</v>
      </c>
      <c r="G273" s="28"/>
      <c r="H273" s="226">
        <f>H274+H275+H276</f>
        <v>4263.7</v>
      </c>
    </row>
    <row r="274" spans="1:8" ht="90" x14ac:dyDescent="0.35">
      <c r="A274" s="342"/>
      <c r="B274" s="514" t="s">
        <v>49</v>
      </c>
      <c r="C274" s="217" t="s">
        <v>65</v>
      </c>
      <c r="D274" s="218" t="s">
        <v>45</v>
      </c>
      <c r="E274" s="218" t="s">
        <v>37</v>
      </c>
      <c r="F274" s="219" t="s">
        <v>91</v>
      </c>
      <c r="G274" s="28" t="s">
        <v>50</v>
      </c>
      <c r="H274" s="226">
        <f>'прил9 (ведом 23)'!M788</f>
        <v>3877.2999999999997</v>
      </c>
    </row>
    <row r="275" spans="1:8" ht="36" x14ac:dyDescent="0.35">
      <c r="A275" s="342"/>
      <c r="B275" s="514" t="s">
        <v>55</v>
      </c>
      <c r="C275" s="217" t="s">
        <v>65</v>
      </c>
      <c r="D275" s="218" t="s">
        <v>45</v>
      </c>
      <c r="E275" s="218" t="s">
        <v>37</v>
      </c>
      <c r="F275" s="219" t="s">
        <v>91</v>
      </c>
      <c r="G275" s="28" t="s">
        <v>56</v>
      </c>
      <c r="H275" s="226">
        <f>'прил9 (ведом 23)'!M789</f>
        <v>343.7</v>
      </c>
    </row>
    <row r="276" spans="1:8" ht="18" x14ac:dyDescent="0.35">
      <c r="A276" s="342"/>
      <c r="B276" s="515" t="s">
        <v>57</v>
      </c>
      <c r="C276" s="217" t="s">
        <v>65</v>
      </c>
      <c r="D276" s="218" t="s">
        <v>45</v>
      </c>
      <c r="E276" s="218" t="s">
        <v>37</v>
      </c>
      <c r="F276" s="219" t="s">
        <v>91</v>
      </c>
      <c r="G276" s="28" t="s">
        <v>58</v>
      </c>
      <c r="H276" s="226">
        <f>'прил9 (ведом 23)'!M790</f>
        <v>42.7</v>
      </c>
    </row>
    <row r="277" spans="1:8" ht="36" x14ac:dyDescent="0.35">
      <c r="A277" s="342"/>
      <c r="B277" s="514" t="s">
        <v>288</v>
      </c>
      <c r="C277" s="217" t="s">
        <v>65</v>
      </c>
      <c r="D277" s="218" t="s">
        <v>45</v>
      </c>
      <c r="E277" s="218" t="s">
        <v>37</v>
      </c>
      <c r="F277" s="219" t="s">
        <v>289</v>
      </c>
      <c r="G277" s="28"/>
      <c r="H277" s="226">
        <f>H278</f>
        <v>1553.27</v>
      </c>
    </row>
    <row r="278" spans="1:8" ht="36" x14ac:dyDescent="0.35">
      <c r="A278" s="342"/>
      <c r="B278" s="514" t="s">
        <v>55</v>
      </c>
      <c r="C278" s="217" t="s">
        <v>65</v>
      </c>
      <c r="D278" s="218" t="s">
        <v>45</v>
      </c>
      <c r="E278" s="218" t="s">
        <v>37</v>
      </c>
      <c r="F278" s="219" t="s">
        <v>289</v>
      </c>
      <c r="G278" s="28" t="s">
        <v>56</v>
      </c>
      <c r="H278" s="226">
        <f>'прил9 (ведом 23)'!M792</f>
        <v>1553.27</v>
      </c>
    </row>
    <row r="279" spans="1:8" s="352" customFormat="1" ht="30.75" customHeight="1" x14ac:dyDescent="0.35">
      <c r="A279" s="342"/>
      <c r="B279" s="514" t="s">
        <v>220</v>
      </c>
      <c r="C279" s="217" t="s">
        <v>65</v>
      </c>
      <c r="D279" s="218" t="s">
        <v>89</v>
      </c>
      <c r="E279" s="218" t="s">
        <v>43</v>
      </c>
      <c r="F279" s="219" t="s">
        <v>44</v>
      </c>
      <c r="G279" s="28"/>
      <c r="H279" s="226">
        <f>H280+H285+H288+H291</f>
        <v>3847.4</v>
      </c>
    </row>
    <row r="280" spans="1:8" s="352" customFormat="1" ht="36" x14ac:dyDescent="0.35">
      <c r="A280" s="342"/>
      <c r="B280" s="514" t="s">
        <v>282</v>
      </c>
      <c r="C280" s="217" t="s">
        <v>65</v>
      </c>
      <c r="D280" s="218" t="s">
        <v>89</v>
      </c>
      <c r="E280" s="218" t="s">
        <v>37</v>
      </c>
      <c r="F280" s="219" t="s">
        <v>44</v>
      </c>
      <c r="G280" s="28"/>
      <c r="H280" s="226">
        <f>H281</f>
        <v>3608.8</v>
      </c>
    </row>
    <row r="281" spans="1:8" s="352" customFormat="1" ht="36" x14ac:dyDescent="0.35">
      <c r="A281" s="342"/>
      <c r="B281" s="514" t="s">
        <v>47</v>
      </c>
      <c r="C281" s="217" t="s">
        <v>65</v>
      </c>
      <c r="D281" s="218" t="s">
        <v>89</v>
      </c>
      <c r="E281" s="218" t="s">
        <v>37</v>
      </c>
      <c r="F281" s="219" t="s">
        <v>48</v>
      </c>
      <c r="G281" s="28"/>
      <c r="H281" s="226">
        <f>SUM(H282:H284)</f>
        <v>3608.8</v>
      </c>
    </row>
    <row r="282" spans="1:8" s="352" customFormat="1" ht="90" x14ac:dyDescent="0.35">
      <c r="A282" s="342"/>
      <c r="B282" s="514" t="s">
        <v>49</v>
      </c>
      <c r="C282" s="217" t="s">
        <v>65</v>
      </c>
      <c r="D282" s="218" t="s">
        <v>89</v>
      </c>
      <c r="E282" s="218" t="s">
        <v>37</v>
      </c>
      <c r="F282" s="219" t="s">
        <v>48</v>
      </c>
      <c r="G282" s="28" t="s">
        <v>50</v>
      </c>
      <c r="H282" s="226">
        <f>'прил9 (ведом 23)'!M798</f>
        <v>3222.8</v>
      </c>
    </row>
    <row r="283" spans="1:8" ht="36" x14ac:dyDescent="0.35">
      <c r="A283" s="342"/>
      <c r="B283" s="514" t="s">
        <v>55</v>
      </c>
      <c r="C283" s="217" t="s">
        <v>65</v>
      </c>
      <c r="D283" s="218" t="s">
        <v>89</v>
      </c>
      <c r="E283" s="218" t="s">
        <v>37</v>
      </c>
      <c r="F283" s="219" t="s">
        <v>48</v>
      </c>
      <c r="G283" s="28" t="s">
        <v>56</v>
      </c>
      <c r="H283" s="226">
        <f>'прил9 (ведом 23)'!M799</f>
        <v>384.7</v>
      </c>
    </row>
    <row r="284" spans="1:8" ht="18" x14ac:dyDescent="0.35">
      <c r="A284" s="342"/>
      <c r="B284" s="514" t="s">
        <v>57</v>
      </c>
      <c r="C284" s="217" t="s">
        <v>65</v>
      </c>
      <c r="D284" s="218" t="s">
        <v>89</v>
      </c>
      <c r="E284" s="218" t="s">
        <v>37</v>
      </c>
      <c r="F284" s="219" t="s">
        <v>48</v>
      </c>
      <c r="G284" s="28" t="s">
        <v>58</v>
      </c>
      <c r="H284" s="226">
        <f>'прил9 (ведом 23)'!M800</f>
        <v>1.3</v>
      </c>
    </row>
    <row r="285" spans="1:8" ht="36" x14ac:dyDescent="0.35">
      <c r="A285" s="342"/>
      <c r="B285" s="527" t="s">
        <v>351</v>
      </c>
      <c r="C285" s="218" t="s">
        <v>65</v>
      </c>
      <c r="D285" s="218" t="s">
        <v>89</v>
      </c>
      <c r="E285" s="218" t="s">
        <v>39</v>
      </c>
      <c r="F285" s="219" t="s">
        <v>44</v>
      </c>
      <c r="G285" s="28"/>
      <c r="H285" s="226">
        <f>H286</f>
        <v>179.6</v>
      </c>
    </row>
    <row r="286" spans="1:8" ht="54" x14ac:dyDescent="0.35">
      <c r="A286" s="342"/>
      <c r="B286" s="527" t="s">
        <v>352</v>
      </c>
      <c r="C286" s="217" t="s">
        <v>65</v>
      </c>
      <c r="D286" s="218" t="s">
        <v>89</v>
      </c>
      <c r="E286" s="218" t="s">
        <v>39</v>
      </c>
      <c r="F286" s="219" t="s">
        <v>105</v>
      </c>
      <c r="G286" s="28"/>
      <c r="H286" s="226">
        <f>H287</f>
        <v>179.6</v>
      </c>
    </row>
    <row r="287" spans="1:8" ht="36" x14ac:dyDescent="0.35">
      <c r="A287" s="342"/>
      <c r="B287" s="527" t="s">
        <v>55</v>
      </c>
      <c r="C287" s="217" t="s">
        <v>65</v>
      </c>
      <c r="D287" s="218" t="s">
        <v>89</v>
      </c>
      <c r="E287" s="218" t="s">
        <v>39</v>
      </c>
      <c r="F287" s="219" t="s">
        <v>105</v>
      </c>
      <c r="G287" s="28" t="s">
        <v>56</v>
      </c>
      <c r="H287" s="226">
        <f>'прил9 (ведом 23)'!M775</f>
        <v>179.6</v>
      </c>
    </row>
    <row r="288" spans="1:8" ht="36" x14ac:dyDescent="0.35">
      <c r="A288" s="342"/>
      <c r="B288" s="515" t="s">
        <v>470</v>
      </c>
      <c r="C288" s="218" t="s">
        <v>65</v>
      </c>
      <c r="D288" s="218" t="s">
        <v>89</v>
      </c>
      <c r="E288" s="218" t="s">
        <v>63</v>
      </c>
      <c r="F288" s="219" t="s">
        <v>44</v>
      </c>
      <c r="G288" s="28"/>
      <c r="H288" s="226">
        <f>H289</f>
        <v>14.8</v>
      </c>
    </row>
    <row r="289" spans="1:8" ht="18" x14ac:dyDescent="0.35">
      <c r="A289" s="342"/>
      <c r="B289" s="515" t="s">
        <v>468</v>
      </c>
      <c r="C289" s="218" t="s">
        <v>65</v>
      </c>
      <c r="D289" s="218" t="s">
        <v>89</v>
      </c>
      <c r="E289" s="218" t="s">
        <v>63</v>
      </c>
      <c r="F289" s="219" t="s">
        <v>469</v>
      </c>
      <c r="G289" s="28"/>
      <c r="H289" s="226">
        <f>H290</f>
        <v>14.8</v>
      </c>
    </row>
    <row r="290" spans="1:8" ht="36" x14ac:dyDescent="0.35">
      <c r="A290" s="342"/>
      <c r="B290" s="527" t="s">
        <v>55</v>
      </c>
      <c r="C290" s="218" t="s">
        <v>65</v>
      </c>
      <c r="D290" s="218" t="s">
        <v>89</v>
      </c>
      <c r="E290" s="218" t="s">
        <v>63</v>
      </c>
      <c r="F290" s="219" t="s">
        <v>469</v>
      </c>
      <c r="G290" s="28" t="s">
        <v>56</v>
      </c>
      <c r="H290" s="226">
        <f>'прил9 (ведом 23)'!M778</f>
        <v>14.8</v>
      </c>
    </row>
    <row r="291" spans="1:8" ht="36" x14ac:dyDescent="0.35">
      <c r="A291" s="342"/>
      <c r="B291" s="527" t="s">
        <v>473</v>
      </c>
      <c r="C291" s="218" t="s">
        <v>65</v>
      </c>
      <c r="D291" s="218" t="s">
        <v>89</v>
      </c>
      <c r="E291" s="218" t="s">
        <v>52</v>
      </c>
      <c r="F291" s="691" t="s">
        <v>44</v>
      </c>
      <c r="G291" s="247"/>
      <c r="H291" s="226">
        <f>H292</f>
        <v>44.2</v>
      </c>
    </row>
    <row r="292" spans="1:8" ht="36" x14ac:dyDescent="0.35">
      <c r="A292" s="342"/>
      <c r="B292" s="528" t="s">
        <v>127</v>
      </c>
      <c r="C292" s="218" t="s">
        <v>65</v>
      </c>
      <c r="D292" s="218" t="s">
        <v>89</v>
      </c>
      <c r="E292" s="218" t="s">
        <v>52</v>
      </c>
      <c r="F292" s="366" t="s">
        <v>90</v>
      </c>
      <c r="G292" s="247"/>
      <c r="H292" s="226">
        <f>H293</f>
        <v>44.2</v>
      </c>
    </row>
    <row r="293" spans="1:8" ht="36" x14ac:dyDescent="0.35">
      <c r="A293" s="342"/>
      <c r="B293" s="527" t="s">
        <v>55</v>
      </c>
      <c r="C293" s="218" t="s">
        <v>65</v>
      </c>
      <c r="D293" s="218" t="s">
        <v>89</v>
      </c>
      <c r="E293" s="218" t="s">
        <v>52</v>
      </c>
      <c r="F293" s="691" t="s">
        <v>90</v>
      </c>
      <c r="G293" s="247" t="s">
        <v>56</v>
      </c>
      <c r="H293" s="226">
        <f>'прил9 (ведом 23)'!M781</f>
        <v>44.2</v>
      </c>
    </row>
    <row r="294" spans="1:8" ht="18" x14ac:dyDescent="0.35">
      <c r="A294" s="342"/>
      <c r="B294" s="527"/>
      <c r="C294" s="217"/>
      <c r="D294" s="218"/>
      <c r="E294" s="218"/>
      <c r="F294" s="691"/>
      <c r="G294" s="247"/>
      <c r="H294" s="226"/>
    </row>
    <row r="295" spans="1:8" s="352" customFormat="1" ht="52.2" x14ac:dyDescent="0.3">
      <c r="A295" s="357">
        <v>5</v>
      </c>
      <c r="B295" s="513" t="s">
        <v>80</v>
      </c>
      <c r="C295" s="358" t="s">
        <v>81</v>
      </c>
      <c r="D295" s="358" t="s">
        <v>42</v>
      </c>
      <c r="E295" s="358" t="s">
        <v>43</v>
      </c>
      <c r="F295" s="359" t="s">
        <v>44</v>
      </c>
      <c r="G295" s="351"/>
      <c r="H295" s="263">
        <f>H306+H296+H320+H329</f>
        <v>24847.047999999992</v>
      </c>
    </row>
    <row r="296" spans="1:8" ht="54" x14ac:dyDescent="0.35">
      <c r="A296" s="342"/>
      <c r="B296" s="522" t="s">
        <v>82</v>
      </c>
      <c r="C296" s="217" t="s">
        <v>81</v>
      </c>
      <c r="D296" s="218" t="s">
        <v>45</v>
      </c>
      <c r="E296" s="218" t="s">
        <v>43</v>
      </c>
      <c r="F296" s="219" t="s">
        <v>44</v>
      </c>
      <c r="G296" s="247"/>
      <c r="H296" s="226">
        <f>H297</f>
        <v>9493.3999999999978</v>
      </c>
    </row>
    <row r="297" spans="1:8" ht="72" x14ac:dyDescent="0.35">
      <c r="A297" s="342"/>
      <c r="B297" s="514" t="s">
        <v>83</v>
      </c>
      <c r="C297" s="217" t="s">
        <v>81</v>
      </c>
      <c r="D297" s="218" t="s">
        <v>45</v>
      </c>
      <c r="E297" s="218" t="s">
        <v>37</v>
      </c>
      <c r="F297" s="219" t="s">
        <v>44</v>
      </c>
      <c r="G297" s="28"/>
      <c r="H297" s="226">
        <f>H298+H300+H302+H304</f>
        <v>9493.3999999999978</v>
      </c>
    </row>
    <row r="298" spans="1:8" ht="36" x14ac:dyDescent="0.35">
      <c r="A298" s="342"/>
      <c r="B298" s="522" t="s">
        <v>452</v>
      </c>
      <c r="C298" s="217" t="s">
        <v>81</v>
      </c>
      <c r="D298" s="218" t="s">
        <v>45</v>
      </c>
      <c r="E298" s="218" t="s">
        <v>37</v>
      </c>
      <c r="F298" s="219" t="s">
        <v>84</v>
      </c>
      <c r="G298" s="28"/>
      <c r="H298" s="226">
        <f>H299</f>
        <v>298.39999999999998</v>
      </c>
    </row>
    <row r="299" spans="1:8" ht="36" x14ac:dyDescent="0.35">
      <c r="A299" s="342"/>
      <c r="B299" s="514" t="s">
        <v>55</v>
      </c>
      <c r="C299" s="217" t="s">
        <v>81</v>
      </c>
      <c r="D299" s="218" t="s">
        <v>45</v>
      </c>
      <c r="E299" s="218" t="s">
        <v>37</v>
      </c>
      <c r="F299" s="219" t="s">
        <v>84</v>
      </c>
      <c r="G299" s="28" t="s">
        <v>56</v>
      </c>
      <c r="H299" s="226">
        <f>'прил9 (ведом 23)'!M100</f>
        <v>298.39999999999998</v>
      </c>
    </row>
    <row r="300" spans="1:8" ht="36" x14ac:dyDescent="0.35">
      <c r="A300" s="342"/>
      <c r="B300" s="514" t="s">
        <v>85</v>
      </c>
      <c r="C300" s="217" t="s">
        <v>81</v>
      </c>
      <c r="D300" s="218" t="s">
        <v>45</v>
      </c>
      <c r="E300" s="218" t="s">
        <v>37</v>
      </c>
      <c r="F300" s="219" t="s">
        <v>86</v>
      </c>
      <c r="G300" s="28"/>
      <c r="H300" s="226">
        <f>H301</f>
        <v>63.9</v>
      </c>
    </row>
    <row r="301" spans="1:8" ht="36" x14ac:dyDescent="0.35">
      <c r="A301" s="342"/>
      <c r="B301" s="514" t="s">
        <v>55</v>
      </c>
      <c r="C301" s="217" t="s">
        <v>81</v>
      </c>
      <c r="D301" s="218" t="s">
        <v>45</v>
      </c>
      <c r="E301" s="218" t="s">
        <v>37</v>
      </c>
      <c r="F301" s="219" t="s">
        <v>86</v>
      </c>
      <c r="G301" s="28" t="s">
        <v>56</v>
      </c>
      <c r="H301" s="226">
        <f>'прил9 (ведом 23)'!M102</f>
        <v>63.9</v>
      </c>
    </row>
    <row r="302" spans="1:8" ht="126" x14ac:dyDescent="0.35">
      <c r="A302" s="342"/>
      <c r="B302" s="518" t="s">
        <v>678</v>
      </c>
      <c r="C302" s="217" t="s">
        <v>81</v>
      </c>
      <c r="D302" s="218" t="s">
        <v>45</v>
      </c>
      <c r="E302" s="218" t="s">
        <v>37</v>
      </c>
      <c r="F302" s="219" t="s">
        <v>329</v>
      </c>
      <c r="G302" s="28"/>
      <c r="H302" s="226">
        <f>H303</f>
        <v>9118.7999999999993</v>
      </c>
    </row>
    <row r="303" spans="1:8" ht="18" x14ac:dyDescent="0.35">
      <c r="A303" s="342"/>
      <c r="B303" s="514" t="s">
        <v>123</v>
      </c>
      <c r="C303" s="217" t="s">
        <v>81</v>
      </c>
      <c r="D303" s="218" t="s">
        <v>45</v>
      </c>
      <c r="E303" s="218" t="s">
        <v>37</v>
      </c>
      <c r="F303" s="219" t="s">
        <v>329</v>
      </c>
      <c r="G303" s="28" t="s">
        <v>124</v>
      </c>
      <c r="H303" s="226">
        <f>'прил9 (ведом 23)'!M104</f>
        <v>9118.7999999999993</v>
      </c>
    </row>
    <row r="304" spans="1:8" ht="72" x14ac:dyDescent="0.35">
      <c r="A304" s="342"/>
      <c r="B304" s="514" t="s">
        <v>677</v>
      </c>
      <c r="C304" s="217" t="s">
        <v>81</v>
      </c>
      <c r="D304" s="218" t="s">
        <v>45</v>
      </c>
      <c r="E304" s="218" t="s">
        <v>37</v>
      </c>
      <c r="F304" s="219" t="s">
        <v>330</v>
      </c>
      <c r="G304" s="28"/>
      <c r="H304" s="226">
        <f>H305</f>
        <v>12.3</v>
      </c>
    </row>
    <row r="305" spans="1:8" ht="18" x14ac:dyDescent="0.35">
      <c r="A305" s="342"/>
      <c r="B305" s="514" t="s">
        <v>123</v>
      </c>
      <c r="C305" s="217" t="s">
        <v>81</v>
      </c>
      <c r="D305" s="218" t="s">
        <v>45</v>
      </c>
      <c r="E305" s="218" t="s">
        <v>37</v>
      </c>
      <c r="F305" s="219" t="s">
        <v>330</v>
      </c>
      <c r="G305" s="28" t="s">
        <v>124</v>
      </c>
      <c r="H305" s="226">
        <f>'прил9 (ведом 23)'!M106</f>
        <v>12.3</v>
      </c>
    </row>
    <row r="306" spans="1:8" ht="36" x14ac:dyDescent="0.35">
      <c r="A306" s="342"/>
      <c r="B306" s="529" t="s">
        <v>125</v>
      </c>
      <c r="C306" s="217" t="s">
        <v>81</v>
      </c>
      <c r="D306" s="218" t="s">
        <v>89</v>
      </c>
      <c r="E306" s="218" t="s">
        <v>43</v>
      </c>
      <c r="F306" s="219" t="s">
        <v>44</v>
      </c>
      <c r="G306" s="247"/>
      <c r="H306" s="226">
        <f>H307+H317</f>
        <v>3300.2999999999997</v>
      </c>
    </row>
    <row r="307" spans="1:8" ht="36" x14ac:dyDescent="0.35">
      <c r="A307" s="342"/>
      <c r="B307" s="514" t="s">
        <v>271</v>
      </c>
      <c r="C307" s="217" t="s">
        <v>81</v>
      </c>
      <c r="D307" s="218" t="s">
        <v>89</v>
      </c>
      <c r="E307" s="218" t="s">
        <v>37</v>
      </c>
      <c r="F307" s="219" t="s">
        <v>44</v>
      </c>
      <c r="G307" s="28"/>
      <c r="H307" s="226">
        <f>H308+H310+H313+H315</f>
        <v>2071.6999999999998</v>
      </c>
    </row>
    <row r="308" spans="1:8" ht="18" x14ac:dyDescent="0.35">
      <c r="A308" s="342"/>
      <c r="B308" s="518" t="s">
        <v>467</v>
      </c>
      <c r="C308" s="696" t="s">
        <v>81</v>
      </c>
      <c r="D308" s="697" t="s">
        <v>89</v>
      </c>
      <c r="E308" s="697" t="s">
        <v>37</v>
      </c>
      <c r="F308" s="698" t="s">
        <v>381</v>
      </c>
      <c r="G308" s="10"/>
      <c r="H308" s="226">
        <f>H309</f>
        <v>518.29999999999995</v>
      </c>
    </row>
    <row r="309" spans="1:8" ht="36" x14ac:dyDescent="0.35">
      <c r="A309" s="342"/>
      <c r="B309" s="518" t="s">
        <v>76</v>
      </c>
      <c r="C309" s="696" t="s">
        <v>81</v>
      </c>
      <c r="D309" s="697" t="s">
        <v>89</v>
      </c>
      <c r="E309" s="697" t="s">
        <v>37</v>
      </c>
      <c r="F309" s="698" t="s">
        <v>381</v>
      </c>
      <c r="G309" s="10" t="s">
        <v>77</v>
      </c>
      <c r="H309" s="226">
        <f>'прил9 (ведом 23)'!M465</f>
        <v>518.29999999999995</v>
      </c>
    </row>
    <row r="310" spans="1:8" ht="36" x14ac:dyDescent="0.35">
      <c r="A310" s="342"/>
      <c r="B310" s="514" t="s">
        <v>127</v>
      </c>
      <c r="C310" s="217" t="s">
        <v>81</v>
      </c>
      <c r="D310" s="218" t="s">
        <v>89</v>
      </c>
      <c r="E310" s="218" t="s">
        <v>37</v>
      </c>
      <c r="F310" s="219" t="s">
        <v>90</v>
      </c>
      <c r="G310" s="28"/>
      <c r="H310" s="226">
        <f>SUM(H311:H312)</f>
        <v>231.70000000000002</v>
      </c>
    </row>
    <row r="311" spans="1:8" ht="36" x14ac:dyDescent="0.35">
      <c r="A311" s="342"/>
      <c r="B311" s="514" t="s">
        <v>55</v>
      </c>
      <c r="C311" s="217" t="s">
        <v>81</v>
      </c>
      <c r="D311" s="218" t="s">
        <v>89</v>
      </c>
      <c r="E311" s="218" t="s">
        <v>37</v>
      </c>
      <c r="F311" s="219" t="s">
        <v>90</v>
      </c>
      <c r="G311" s="28" t="s">
        <v>56</v>
      </c>
      <c r="H311" s="226">
        <f>'прил9 (ведом 23)'!M112</f>
        <v>21.8</v>
      </c>
    </row>
    <row r="312" spans="1:8" ht="36" x14ac:dyDescent="0.35">
      <c r="A312" s="342"/>
      <c r="B312" s="514" t="s">
        <v>76</v>
      </c>
      <c r="C312" s="217" t="s">
        <v>81</v>
      </c>
      <c r="D312" s="218" t="s">
        <v>89</v>
      </c>
      <c r="E312" s="218" t="s">
        <v>37</v>
      </c>
      <c r="F312" s="219" t="s">
        <v>90</v>
      </c>
      <c r="G312" s="28" t="s">
        <v>77</v>
      </c>
      <c r="H312" s="226">
        <f>'прил9 (ведом 23)'!M467</f>
        <v>209.9</v>
      </c>
    </row>
    <row r="313" spans="1:8" ht="72" x14ac:dyDescent="0.35">
      <c r="A313" s="342"/>
      <c r="B313" s="514" t="s">
        <v>677</v>
      </c>
      <c r="C313" s="217" t="s">
        <v>81</v>
      </c>
      <c r="D313" s="218" t="s">
        <v>89</v>
      </c>
      <c r="E313" s="218" t="s">
        <v>37</v>
      </c>
      <c r="F313" s="219" t="s">
        <v>330</v>
      </c>
      <c r="G313" s="28"/>
      <c r="H313" s="226">
        <f>H314</f>
        <v>121.8</v>
      </c>
    </row>
    <row r="314" spans="1:8" ht="18" x14ac:dyDescent="0.35">
      <c r="A314" s="342"/>
      <c r="B314" s="529" t="s">
        <v>123</v>
      </c>
      <c r="C314" s="217" t="s">
        <v>81</v>
      </c>
      <c r="D314" s="218" t="s">
        <v>89</v>
      </c>
      <c r="E314" s="218" t="s">
        <v>37</v>
      </c>
      <c r="F314" s="219" t="s">
        <v>330</v>
      </c>
      <c r="G314" s="28" t="s">
        <v>124</v>
      </c>
      <c r="H314" s="226">
        <f>'прил9 (ведом 23)'!M114</f>
        <v>121.8</v>
      </c>
    </row>
    <row r="315" spans="1:8" ht="18" x14ac:dyDescent="0.35">
      <c r="A315" s="342"/>
      <c r="B315" s="515" t="s">
        <v>429</v>
      </c>
      <c r="C315" s="217" t="s">
        <v>81</v>
      </c>
      <c r="D315" s="218" t="s">
        <v>89</v>
      </c>
      <c r="E315" s="218" t="s">
        <v>37</v>
      </c>
      <c r="F315" s="219" t="s">
        <v>430</v>
      </c>
      <c r="G315" s="28"/>
      <c r="H315" s="220">
        <f>H316</f>
        <v>1199.9000000000001</v>
      </c>
    </row>
    <row r="316" spans="1:8" ht="49.5" customHeight="1" x14ac:dyDescent="0.35">
      <c r="A316" s="342"/>
      <c r="B316" s="515" t="s">
        <v>76</v>
      </c>
      <c r="C316" s="217" t="s">
        <v>81</v>
      </c>
      <c r="D316" s="218" t="s">
        <v>89</v>
      </c>
      <c r="E316" s="218" t="s">
        <v>37</v>
      </c>
      <c r="F316" s="219" t="s">
        <v>430</v>
      </c>
      <c r="G316" s="28" t="s">
        <v>77</v>
      </c>
      <c r="H316" s="220">
        <f>'прил9 (ведом 23)'!M469+'прил9 (ведом 23)'!M566</f>
        <v>1199.9000000000001</v>
      </c>
    </row>
    <row r="317" spans="1:8" ht="54" x14ac:dyDescent="0.35">
      <c r="A317" s="342"/>
      <c r="B317" s="530" t="s">
        <v>126</v>
      </c>
      <c r="C317" s="217" t="s">
        <v>81</v>
      </c>
      <c r="D317" s="218" t="s">
        <v>89</v>
      </c>
      <c r="E317" s="218" t="s">
        <v>39</v>
      </c>
      <c r="F317" s="219" t="s">
        <v>44</v>
      </c>
      <c r="G317" s="28"/>
      <c r="H317" s="226">
        <f>H318</f>
        <v>1228.5999999999999</v>
      </c>
    </row>
    <row r="318" spans="1:8" ht="36" x14ac:dyDescent="0.35">
      <c r="A318" s="342"/>
      <c r="B318" s="530" t="s">
        <v>127</v>
      </c>
      <c r="C318" s="217" t="s">
        <v>81</v>
      </c>
      <c r="D318" s="218" t="s">
        <v>89</v>
      </c>
      <c r="E318" s="218" t="s">
        <v>39</v>
      </c>
      <c r="F318" s="219" t="s">
        <v>90</v>
      </c>
      <c r="G318" s="28"/>
      <c r="H318" s="226">
        <f>H319</f>
        <v>1228.5999999999999</v>
      </c>
    </row>
    <row r="319" spans="1:8" ht="36" x14ac:dyDescent="0.35">
      <c r="A319" s="342"/>
      <c r="B319" s="514" t="s">
        <v>55</v>
      </c>
      <c r="C319" s="217" t="s">
        <v>81</v>
      </c>
      <c r="D319" s="218" t="s">
        <v>89</v>
      </c>
      <c r="E319" s="218" t="s">
        <v>39</v>
      </c>
      <c r="F319" s="219" t="s">
        <v>90</v>
      </c>
      <c r="G319" s="28" t="s">
        <v>56</v>
      </c>
      <c r="H319" s="226">
        <f>'прил9 (ведом 23)'!M117</f>
        <v>1228.5999999999999</v>
      </c>
    </row>
    <row r="320" spans="1:8" ht="54" x14ac:dyDescent="0.35">
      <c r="A320" s="342"/>
      <c r="B320" s="531" t="s">
        <v>368</v>
      </c>
      <c r="C320" s="217" t="s">
        <v>81</v>
      </c>
      <c r="D320" s="218" t="s">
        <v>30</v>
      </c>
      <c r="E320" s="218" t="s">
        <v>43</v>
      </c>
      <c r="F320" s="219" t="s">
        <v>44</v>
      </c>
      <c r="G320" s="28"/>
      <c r="H320" s="226">
        <f>H321+H326</f>
        <v>12031.547999999997</v>
      </c>
    </row>
    <row r="321" spans="1:8" ht="65.25" customHeight="1" x14ac:dyDescent="0.35">
      <c r="A321" s="342"/>
      <c r="B321" s="530" t="s">
        <v>323</v>
      </c>
      <c r="C321" s="217" t="s">
        <v>81</v>
      </c>
      <c r="D321" s="218" t="s">
        <v>30</v>
      </c>
      <c r="E321" s="218" t="s">
        <v>37</v>
      </c>
      <c r="F321" s="219" t="s">
        <v>44</v>
      </c>
      <c r="G321" s="28"/>
      <c r="H321" s="226">
        <f>H322</f>
        <v>11554.647999999997</v>
      </c>
    </row>
    <row r="322" spans="1:8" ht="36" x14ac:dyDescent="0.35">
      <c r="A322" s="342"/>
      <c r="B322" s="514" t="s">
        <v>466</v>
      </c>
      <c r="C322" s="217" t="s">
        <v>81</v>
      </c>
      <c r="D322" s="218" t="s">
        <v>30</v>
      </c>
      <c r="E322" s="218" t="s">
        <v>37</v>
      </c>
      <c r="F322" s="219" t="s">
        <v>91</v>
      </c>
      <c r="G322" s="28"/>
      <c r="H322" s="226">
        <f>SUM(H323:H325)</f>
        <v>11554.647999999997</v>
      </c>
    </row>
    <row r="323" spans="1:8" s="352" customFormat="1" ht="90" x14ac:dyDescent="0.35">
      <c r="A323" s="342"/>
      <c r="B323" s="514" t="s">
        <v>49</v>
      </c>
      <c r="C323" s="217" t="s">
        <v>81</v>
      </c>
      <c r="D323" s="218" t="s">
        <v>30</v>
      </c>
      <c r="E323" s="218" t="s">
        <v>37</v>
      </c>
      <c r="F323" s="219" t="s">
        <v>91</v>
      </c>
      <c r="G323" s="28" t="s">
        <v>50</v>
      </c>
      <c r="H323" s="226">
        <f>'прил9 (ведом 23)'!M121</f>
        <v>8701.2999999999993</v>
      </c>
    </row>
    <row r="324" spans="1:8" ht="36" x14ac:dyDescent="0.35">
      <c r="A324" s="342"/>
      <c r="B324" s="514" t="s">
        <v>55</v>
      </c>
      <c r="C324" s="217" t="s">
        <v>81</v>
      </c>
      <c r="D324" s="218" t="s">
        <v>30</v>
      </c>
      <c r="E324" s="218" t="s">
        <v>37</v>
      </c>
      <c r="F324" s="219" t="s">
        <v>91</v>
      </c>
      <c r="G324" s="28" t="s">
        <v>56</v>
      </c>
      <c r="H324" s="226">
        <f>'прил9 (ведом 23)'!M122</f>
        <v>2850.0479999999998</v>
      </c>
    </row>
    <row r="325" spans="1:8" s="352" customFormat="1" ht="18" x14ac:dyDescent="0.35">
      <c r="A325" s="342"/>
      <c r="B325" s="514" t="s">
        <v>57</v>
      </c>
      <c r="C325" s="217" t="s">
        <v>81</v>
      </c>
      <c r="D325" s="218" t="s">
        <v>30</v>
      </c>
      <c r="E325" s="218" t="s">
        <v>37</v>
      </c>
      <c r="F325" s="219" t="s">
        <v>91</v>
      </c>
      <c r="G325" s="28" t="s">
        <v>58</v>
      </c>
      <c r="H325" s="226">
        <f>'прил9 (ведом 23)'!M123</f>
        <v>3.3</v>
      </c>
    </row>
    <row r="326" spans="1:8" s="352" customFormat="1" ht="36" x14ac:dyDescent="0.35">
      <c r="A326" s="342"/>
      <c r="B326" s="514" t="s">
        <v>576</v>
      </c>
      <c r="C326" s="217" t="s">
        <v>81</v>
      </c>
      <c r="D326" s="218" t="s">
        <v>30</v>
      </c>
      <c r="E326" s="218" t="s">
        <v>39</v>
      </c>
      <c r="F326" s="219" t="s">
        <v>44</v>
      </c>
      <c r="G326" s="28"/>
      <c r="H326" s="226">
        <f>H327</f>
        <v>476.9</v>
      </c>
    </row>
    <row r="327" spans="1:8" s="352" customFormat="1" ht="36" x14ac:dyDescent="0.35">
      <c r="A327" s="342"/>
      <c r="B327" s="514" t="s">
        <v>85</v>
      </c>
      <c r="C327" s="217" t="s">
        <v>81</v>
      </c>
      <c r="D327" s="218" t="s">
        <v>30</v>
      </c>
      <c r="E327" s="218" t="s">
        <v>39</v>
      </c>
      <c r="F327" s="219" t="s">
        <v>86</v>
      </c>
      <c r="G327" s="28"/>
      <c r="H327" s="226">
        <f>H328</f>
        <v>476.9</v>
      </c>
    </row>
    <row r="328" spans="1:8" s="352" customFormat="1" ht="36" x14ac:dyDescent="0.35">
      <c r="A328" s="342"/>
      <c r="B328" s="514" t="s">
        <v>55</v>
      </c>
      <c r="C328" s="217" t="s">
        <v>81</v>
      </c>
      <c r="D328" s="218" t="s">
        <v>30</v>
      </c>
      <c r="E328" s="218" t="s">
        <v>39</v>
      </c>
      <c r="F328" s="219" t="s">
        <v>86</v>
      </c>
      <c r="G328" s="28" t="s">
        <v>56</v>
      </c>
      <c r="H328" s="226">
        <f>'прил9 (ведом 23)'!M126</f>
        <v>476.9</v>
      </c>
    </row>
    <row r="329" spans="1:8" s="352" customFormat="1" ht="54" x14ac:dyDescent="0.35">
      <c r="A329" s="342"/>
      <c r="B329" s="532" t="s">
        <v>492</v>
      </c>
      <c r="C329" s="696" t="s">
        <v>81</v>
      </c>
      <c r="D329" s="697" t="s">
        <v>31</v>
      </c>
      <c r="E329" s="697" t="s">
        <v>43</v>
      </c>
      <c r="F329" s="698" t="s">
        <v>44</v>
      </c>
      <c r="G329" s="10"/>
      <c r="H329" s="226">
        <f>H330</f>
        <v>21.8</v>
      </c>
    </row>
    <row r="330" spans="1:8" s="352" customFormat="1" ht="54" x14ac:dyDescent="0.35">
      <c r="A330" s="342"/>
      <c r="B330" s="533" t="s">
        <v>493</v>
      </c>
      <c r="C330" s="696" t="s">
        <v>81</v>
      </c>
      <c r="D330" s="697" t="s">
        <v>31</v>
      </c>
      <c r="E330" s="697" t="s">
        <v>37</v>
      </c>
      <c r="F330" s="698" t="s">
        <v>44</v>
      </c>
      <c r="G330" s="10"/>
      <c r="H330" s="226">
        <f>H331</f>
        <v>21.8</v>
      </c>
    </row>
    <row r="331" spans="1:8" s="352" customFormat="1" ht="36" x14ac:dyDescent="0.35">
      <c r="A331" s="342"/>
      <c r="B331" s="534" t="s">
        <v>85</v>
      </c>
      <c r="C331" s="696" t="s">
        <v>81</v>
      </c>
      <c r="D331" s="697" t="s">
        <v>31</v>
      </c>
      <c r="E331" s="697" t="s">
        <v>37</v>
      </c>
      <c r="F331" s="698" t="s">
        <v>86</v>
      </c>
      <c r="G331" s="10"/>
      <c r="H331" s="226">
        <f>H332</f>
        <v>21.8</v>
      </c>
    </row>
    <row r="332" spans="1:8" s="352" customFormat="1" ht="36" x14ac:dyDescent="0.35">
      <c r="A332" s="342"/>
      <c r="B332" s="535" t="s">
        <v>55</v>
      </c>
      <c r="C332" s="696" t="s">
        <v>81</v>
      </c>
      <c r="D332" s="697" t="s">
        <v>31</v>
      </c>
      <c r="E332" s="697" t="s">
        <v>37</v>
      </c>
      <c r="F332" s="698" t="s">
        <v>86</v>
      </c>
      <c r="G332" s="10" t="s">
        <v>56</v>
      </c>
      <c r="H332" s="226">
        <f>'прил9 (ведом 23)'!M130</f>
        <v>21.8</v>
      </c>
    </row>
    <row r="333" spans="1:8" ht="18" x14ac:dyDescent="0.35">
      <c r="A333" s="367"/>
      <c r="B333" s="517"/>
      <c r="C333" s="368"/>
      <c r="D333" s="690"/>
      <c r="E333" s="690"/>
      <c r="F333" s="691"/>
      <c r="G333" s="247"/>
      <c r="H333" s="226"/>
    </row>
    <row r="334" spans="1:8" s="352" customFormat="1" ht="52.2" x14ac:dyDescent="0.3">
      <c r="A334" s="357">
        <v>6</v>
      </c>
      <c r="B334" s="526" t="s">
        <v>223</v>
      </c>
      <c r="C334" s="349" t="s">
        <v>224</v>
      </c>
      <c r="D334" s="349" t="s">
        <v>42</v>
      </c>
      <c r="E334" s="349" t="s">
        <v>43</v>
      </c>
      <c r="F334" s="350" t="s">
        <v>44</v>
      </c>
      <c r="G334" s="351"/>
      <c r="H334" s="263">
        <f>H335</f>
        <v>49643.299999999996</v>
      </c>
    </row>
    <row r="335" spans="1:8" ht="31.5" customHeight="1" x14ac:dyDescent="0.35">
      <c r="A335" s="342"/>
      <c r="B335" s="514" t="s">
        <v>339</v>
      </c>
      <c r="C335" s="369" t="s">
        <v>224</v>
      </c>
      <c r="D335" s="370" t="s">
        <v>45</v>
      </c>
      <c r="E335" s="218" t="s">
        <v>43</v>
      </c>
      <c r="F335" s="219" t="s">
        <v>44</v>
      </c>
      <c r="G335" s="28"/>
      <c r="H335" s="226">
        <f>H336+H343+H348+H354+H351</f>
        <v>49643.299999999996</v>
      </c>
    </row>
    <row r="336" spans="1:8" ht="46.5" customHeight="1" x14ac:dyDescent="0.35">
      <c r="A336" s="342"/>
      <c r="B336" s="514" t="s">
        <v>303</v>
      </c>
      <c r="C336" s="369" t="s">
        <v>224</v>
      </c>
      <c r="D336" s="370" t="s">
        <v>45</v>
      </c>
      <c r="E336" s="218" t="s">
        <v>37</v>
      </c>
      <c r="F336" s="219" t="s">
        <v>44</v>
      </c>
      <c r="G336" s="28"/>
      <c r="H336" s="226">
        <f>H337+H341</f>
        <v>30471.999999999996</v>
      </c>
    </row>
    <row r="337" spans="1:8" ht="36" x14ac:dyDescent="0.35">
      <c r="A337" s="342"/>
      <c r="B337" s="514" t="s">
        <v>47</v>
      </c>
      <c r="C337" s="369" t="s">
        <v>224</v>
      </c>
      <c r="D337" s="370" t="s">
        <v>45</v>
      </c>
      <c r="E337" s="218" t="s">
        <v>37</v>
      </c>
      <c r="F337" s="219" t="s">
        <v>48</v>
      </c>
      <c r="G337" s="28"/>
      <c r="H337" s="226">
        <f>SUM(H338:H340)</f>
        <v>30356.399999999998</v>
      </c>
    </row>
    <row r="338" spans="1:8" ht="90" x14ac:dyDescent="0.35">
      <c r="A338" s="342"/>
      <c r="B338" s="514" t="s">
        <v>49</v>
      </c>
      <c r="C338" s="369" t="s">
        <v>224</v>
      </c>
      <c r="D338" s="370" t="s">
        <v>45</v>
      </c>
      <c r="E338" s="218" t="s">
        <v>37</v>
      </c>
      <c r="F338" s="219" t="s">
        <v>48</v>
      </c>
      <c r="G338" s="28" t="s">
        <v>50</v>
      </c>
      <c r="H338" s="226">
        <f>'прил9 (ведом 23)'!M261</f>
        <v>29637.3</v>
      </c>
    </row>
    <row r="339" spans="1:8" ht="36" x14ac:dyDescent="0.35">
      <c r="A339" s="342"/>
      <c r="B339" s="514" t="s">
        <v>55</v>
      </c>
      <c r="C339" s="369" t="s">
        <v>224</v>
      </c>
      <c r="D339" s="370" t="s">
        <v>45</v>
      </c>
      <c r="E339" s="218" t="s">
        <v>37</v>
      </c>
      <c r="F339" s="219" t="s">
        <v>48</v>
      </c>
      <c r="G339" s="28" t="s">
        <v>56</v>
      </c>
      <c r="H339" s="226">
        <f>'прил9 (ведом 23)'!M262</f>
        <v>714.5</v>
      </c>
    </row>
    <row r="340" spans="1:8" ht="18" x14ac:dyDescent="0.35">
      <c r="A340" s="342"/>
      <c r="B340" s="514" t="s">
        <v>57</v>
      </c>
      <c r="C340" s="369" t="s">
        <v>224</v>
      </c>
      <c r="D340" s="370" t="s">
        <v>45</v>
      </c>
      <c r="E340" s="218" t="s">
        <v>37</v>
      </c>
      <c r="F340" s="219" t="s">
        <v>48</v>
      </c>
      <c r="G340" s="28" t="s">
        <v>58</v>
      </c>
      <c r="H340" s="226">
        <f>'прил9 (ведом 23)'!M263</f>
        <v>4.5999999999999996</v>
      </c>
    </row>
    <row r="341" spans="1:8" ht="36" x14ac:dyDescent="0.35">
      <c r="A341" s="342"/>
      <c r="B341" s="515" t="s">
        <v>534</v>
      </c>
      <c r="C341" s="369" t="s">
        <v>224</v>
      </c>
      <c r="D341" s="370" t="s">
        <v>45</v>
      </c>
      <c r="E341" s="218" t="s">
        <v>37</v>
      </c>
      <c r="F341" s="219" t="s">
        <v>533</v>
      </c>
      <c r="G341" s="28"/>
      <c r="H341" s="226">
        <f>H342</f>
        <v>115.6</v>
      </c>
    </row>
    <row r="342" spans="1:8" ht="36" x14ac:dyDescent="0.35">
      <c r="A342" s="342"/>
      <c r="B342" s="515" t="s">
        <v>55</v>
      </c>
      <c r="C342" s="369" t="s">
        <v>224</v>
      </c>
      <c r="D342" s="370" t="s">
        <v>45</v>
      </c>
      <c r="E342" s="218" t="s">
        <v>37</v>
      </c>
      <c r="F342" s="219" t="s">
        <v>533</v>
      </c>
      <c r="G342" s="28" t="s">
        <v>56</v>
      </c>
      <c r="H342" s="226">
        <f>'прил9 (ведом 23)'!M282</f>
        <v>115.6</v>
      </c>
    </row>
    <row r="343" spans="1:8" ht="18" x14ac:dyDescent="0.35">
      <c r="A343" s="342"/>
      <c r="B343" s="514" t="s">
        <v>304</v>
      </c>
      <c r="C343" s="369" t="s">
        <v>224</v>
      </c>
      <c r="D343" s="370" t="s">
        <v>45</v>
      </c>
      <c r="E343" s="218" t="s">
        <v>39</v>
      </c>
      <c r="F343" s="219" t="s">
        <v>44</v>
      </c>
      <c r="G343" s="28"/>
      <c r="H343" s="226">
        <f>H344+H346</f>
        <v>15000</v>
      </c>
    </row>
    <row r="344" spans="1:8" ht="36" x14ac:dyDescent="0.35">
      <c r="A344" s="342"/>
      <c r="B344" s="515" t="s">
        <v>258</v>
      </c>
      <c r="C344" s="369" t="s">
        <v>224</v>
      </c>
      <c r="D344" s="370" t="s">
        <v>45</v>
      </c>
      <c r="E344" s="218" t="s">
        <v>39</v>
      </c>
      <c r="F344" s="219" t="s">
        <v>406</v>
      </c>
      <c r="G344" s="28"/>
      <c r="H344" s="226">
        <f>H345</f>
        <v>7500</v>
      </c>
    </row>
    <row r="345" spans="1:8" ht="18" x14ac:dyDescent="0.35">
      <c r="A345" s="342"/>
      <c r="B345" s="515" t="s">
        <v>123</v>
      </c>
      <c r="C345" s="369" t="s">
        <v>224</v>
      </c>
      <c r="D345" s="370" t="s">
        <v>45</v>
      </c>
      <c r="E345" s="218" t="s">
        <v>39</v>
      </c>
      <c r="F345" s="219" t="s">
        <v>406</v>
      </c>
      <c r="G345" s="28" t="s">
        <v>124</v>
      </c>
      <c r="H345" s="226">
        <f>'прил9 (ведом 23)'!M289</f>
        <v>7500</v>
      </c>
    </row>
    <row r="346" spans="1:8" ht="54" x14ac:dyDescent="0.35">
      <c r="A346" s="342"/>
      <c r="B346" s="601" t="s">
        <v>750</v>
      </c>
      <c r="C346" s="25" t="s">
        <v>224</v>
      </c>
      <c r="D346" s="26" t="s">
        <v>45</v>
      </c>
      <c r="E346" s="697" t="s">
        <v>39</v>
      </c>
      <c r="F346" s="698" t="s">
        <v>751</v>
      </c>
      <c r="G346" s="10"/>
      <c r="H346" s="226">
        <f>H347</f>
        <v>7500</v>
      </c>
    </row>
    <row r="347" spans="1:8" ht="18" x14ac:dyDescent="0.35">
      <c r="A347" s="342"/>
      <c r="B347" s="601" t="s">
        <v>123</v>
      </c>
      <c r="C347" s="25" t="s">
        <v>224</v>
      </c>
      <c r="D347" s="26" t="s">
        <v>45</v>
      </c>
      <c r="E347" s="697" t="s">
        <v>39</v>
      </c>
      <c r="F347" s="698" t="s">
        <v>751</v>
      </c>
      <c r="G347" s="10" t="s">
        <v>124</v>
      </c>
      <c r="H347" s="226">
        <f>'прил9 (ведом 23)'!M295</f>
        <v>7500</v>
      </c>
    </row>
    <row r="348" spans="1:8" ht="36" x14ac:dyDescent="0.35">
      <c r="A348" s="342"/>
      <c r="B348" s="514" t="s">
        <v>351</v>
      </c>
      <c r="C348" s="369" t="s">
        <v>224</v>
      </c>
      <c r="D348" s="370" t="s">
        <v>45</v>
      </c>
      <c r="E348" s="218" t="s">
        <v>63</v>
      </c>
      <c r="F348" s="219" t="s">
        <v>44</v>
      </c>
      <c r="G348" s="28"/>
      <c r="H348" s="226">
        <f>H349</f>
        <v>3427.9</v>
      </c>
    </row>
    <row r="349" spans="1:8" ht="54" x14ac:dyDescent="0.35">
      <c r="A349" s="342"/>
      <c r="B349" s="514" t="s">
        <v>352</v>
      </c>
      <c r="C349" s="369" t="s">
        <v>224</v>
      </c>
      <c r="D349" s="370" t="s">
        <v>45</v>
      </c>
      <c r="E349" s="218" t="s">
        <v>63</v>
      </c>
      <c r="F349" s="219" t="s">
        <v>105</v>
      </c>
      <c r="G349" s="28"/>
      <c r="H349" s="226">
        <f>H350</f>
        <v>3427.9</v>
      </c>
    </row>
    <row r="350" spans="1:8" ht="36" x14ac:dyDescent="0.35">
      <c r="A350" s="342"/>
      <c r="B350" s="514" t="s">
        <v>55</v>
      </c>
      <c r="C350" s="369" t="s">
        <v>224</v>
      </c>
      <c r="D350" s="370" t="s">
        <v>45</v>
      </c>
      <c r="E350" s="218" t="s">
        <v>63</v>
      </c>
      <c r="F350" s="219" t="s">
        <v>105</v>
      </c>
      <c r="G350" s="28" t="s">
        <v>56</v>
      </c>
      <c r="H350" s="226">
        <f>'прил9 (ведом 23)'!M272</f>
        <v>3427.9</v>
      </c>
    </row>
    <row r="351" spans="1:8" ht="54" x14ac:dyDescent="0.35">
      <c r="A351" s="342"/>
      <c r="B351" s="601" t="s">
        <v>661</v>
      </c>
      <c r="C351" s="25" t="s">
        <v>224</v>
      </c>
      <c r="D351" s="26" t="s">
        <v>45</v>
      </c>
      <c r="E351" s="697" t="s">
        <v>52</v>
      </c>
      <c r="F351" s="698" t="s">
        <v>44</v>
      </c>
      <c r="G351" s="10"/>
      <c r="H351" s="226">
        <f>H352</f>
        <v>726.2</v>
      </c>
    </row>
    <row r="352" spans="1:8" ht="36" x14ac:dyDescent="0.35">
      <c r="A352" s="342"/>
      <c r="B352" s="601" t="s">
        <v>660</v>
      </c>
      <c r="C352" s="25" t="s">
        <v>224</v>
      </c>
      <c r="D352" s="26" t="s">
        <v>45</v>
      </c>
      <c r="E352" s="697" t="s">
        <v>52</v>
      </c>
      <c r="F352" s="698" t="s">
        <v>662</v>
      </c>
      <c r="G352" s="10"/>
      <c r="H352" s="226">
        <f>H353</f>
        <v>726.2</v>
      </c>
    </row>
    <row r="353" spans="1:8" ht="90" x14ac:dyDescent="0.35">
      <c r="A353" s="342"/>
      <c r="B353" s="601" t="s">
        <v>49</v>
      </c>
      <c r="C353" s="25" t="s">
        <v>224</v>
      </c>
      <c r="D353" s="26" t="s">
        <v>45</v>
      </c>
      <c r="E353" s="697" t="s">
        <v>52</v>
      </c>
      <c r="F353" s="698" t="s">
        <v>662</v>
      </c>
      <c r="G353" s="10" t="s">
        <v>50</v>
      </c>
      <c r="H353" s="226">
        <f>'прил9 (ведом 23)'!M266</f>
        <v>726.2</v>
      </c>
    </row>
    <row r="354" spans="1:8" ht="36" x14ac:dyDescent="0.35">
      <c r="A354" s="342"/>
      <c r="B354" s="515" t="s">
        <v>470</v>
      </c>
      <c r="C354" s="369" t="s">
        <v>224</v>
      </c>
      <c r="D354" s="370" t="s">
        <v>45</v>
      </c>
      <c r="E354" s="218" t="s">
        <v>65</v>
      </c>
      <c r="F354" s="219" t="s">
        <v>44</v>
      </c>
      <c r="G354" s="28"/>
      <c r="H354" s="226">
        <f>H355</f>
        <v>17.2</v>
      </c>
    </row>
    <row r="355" spans="1:8" ht="18" x14ac:dyDescent="0.35">
      <c r="A355" s="342"/>
      <c r="B355" s="515" t="s">
        <v>468</v>
      </c>
      <c r="C355" s="369" t="s">
        <v>224</v>
      </c>
      <c r="D355" s="370" t="s">
        <v>45</v>
      </c>
      <c r="E355" s="218" t="s">
        <v>65</v>
      </c>
      <c r="F355" s="219" t="s">
        <v>469</v>
      </c>
      <c r="G355" s="28"/>
      <c r="H355" s="226">
        <f>H356</f>
        <v>17.2</v>
      </c>
    </row>
    <row r="356" spans="1:8" ht="36" x14ac:dyDescent="0.35">
      <c r="A356" s="342"/>
      <c r="B356" s="515" t="s">
        <v>55</v>
      </c>
      <c r="C356" s="369" t="s">
        <v>224</v>
      </c>
      <c r="D356" s="370" t="s">
        <v>45</v>
      </c>
      <c r="E356" s="218" t="s">
        <v>65</v>
      </c>
      <c r="F356" s="219" t="s">
        <v>469</v>
      </c>
      <c r="G356" s="28" t="s">
        <v>56</v>
      </c>
      <c r="H356" s="226">
        <f>'прил9 (ведом 23)'!M275</f>
        <v>17.2</v>
      </c>
    </row>
    <row r="357" spans="1:8" ht="18" x14ac:dyDescent="0.35">
      <c r="A357" s="342"/>
      <c r="B357" s="514"/>
      <c r="C357" s="370"/>
      <c r="D357" s="370"/>
      <c r="E357" s="370"/>
      <c r="F357" s="371"/>
      <c r="G357" s="28"/>
      <c r="H357" s="226"/>
    </row>
    <row r="358" spans="1:8" s="352" customFormat="1" ht="52.2" x14ac:dyDescent="0.3">
      <c r="A358" s="348">
        <v>7</v>
      </c>
      <c r="B358" s="536" t="s">
        <v>225</v>
      </c>
      <c r="C358" s="372" t="s">
        <v>226</v>
      </c>
      <c r="D358" s="358" t="s">
        <v>42</v>
      </c>
      <c r="E358" s="358" t="s">
        <v>43</v>
      </c>
      <c r="F358" s="359" t="s">
        <v>44</v>
      </c>
      <c r="G358" s="373"/>
      <c r="H358" s="263">
        <f>H359+H368+H390</f>
        <v>56571.123999999996</v>
      </c>
    </row>
    <row r="359" spans="1:8" ht="36" x14ac:dyDescent="0.35">
      <c r="A359" s="367"/>
      <c r="B359" s="537" t="s">
        <v>227</v>
      </c>
      <c r="C359" s="416" t="s">
        <v>226</v>
      </c>
      <c r="D359" s="381" t="s">
        <v>45</v>
      </c>
      <c r="E359" s="381" t="s">
        <v>43</v>
      </c>
      <c r="F359" s="382" t="s">
        <v>44</v>
      </c>
      <c r="G359" s="692"/>
      <c r="H359" s="226">
        <f>H360+H365</f>
        <v>4687.7979999999998</v>
      </c>
    </row>
    <row r="360" spans="1:8" ht="72" x14ac:dyDescent="0.35">
      <c r="A360" s="367"/>
      <c r="B360" s="537" t="s">
        <v>297</v>
      </c>
      <c r="C360" s="394" t="s">
        <v>226</v>
      </c>
      <c r="D360" s="368" t="s">
        <v>45</v>
      </c>
      <c r="E360" s="368" t="s">
        <v>37</v>
      </c>
      <c r="F360" s="378" t="s">
        <v>44</v>
      </c>
      <c r="G360" s="379"/>
      <c r="H360" s="226">
        <f>H361+H363</f>
        <v>1876.2</v>
      </c>
    </row>
    <row r="361" spans="1:8" ht="54" x14ac:dyDescent="0.35">
      <c r="A361" s="367"/>
      <c r="B361" s="537" t="s">
        <v>228</v>
      </c>
      <c r="C361" s="394" t="s">
        <v>226</v>
      </c>
      <c r="D361" s="368" t="s">
        <v>45</v>
      </c>
      <c r="E361" s="368" t="s">
        <v>37</v>
      </c>
      <c r="F361" s="378" t="s">
        <v>298</v>
      </c>
      <c r="G361" s="379"/>
      <c r="H361" s="226">
        <f>H362</f>
        <v>798</v>
      </c>
    </row>
    <row r="362" spans="1:8" ht="36" x14ac:dyDescent="0.35">
      <c r="A362" s="367"/>
      <c r="B362" s="514" t="s">
        <v>55</v>
      </c>
      <c r="C362" s="394" t="s">
        <v>226</v>
      </c>
      <c r="D362" s="368" t="s">
        <v>45</v>
      </c>
      <c r="E362" s="368" t="s">
        <v>37</v>
      </c>
      <c r="F362" s="378" t="s">
        <v>298</v>
      </c>
      <c r="G362" s="379" t="s">
        <v>56</v>
      </c>
      <c r="H362" s="226">
        <f>'прил9 (ведом 23)'!M322</f>
        <v>798</v>
      </c>
    </row>
    <row r="363" spans="1:8" ht="25.5" customHeight="1" x14ac:dyDescent="0.35">
      <c r="A363" s="367"/>
      <c r="B363" s="538" t="s">
        <v>372</v>
      </c>
      <c r="C363" s="360" t="s">
        <v>226</v>
      </c>
      <c r="D363" s="368" t="s">
        <v>45</v>
      </c>
      <c r="E363" s="368" t="s">
        <v>37</v>
      </c>
      <c r="F363" s="378" t="s">
        <v>371</v>
      </c>
      <c r="G363" s="379"/>
      <c r="H363" s="226">
        <f>H364</f>
        <v>1078.2</v>
      </c>
    </row>
    <row r="364" spans="1:8" ht="36" x14ac:dyDescent="0.35">
      <c r="A364" s="367"/>
      <c r="B364" s="515" t="s">
        <v>55</v>
      </c>
      <c r="C364" s="360" t="s">
        <v>226</v>
      </c>
      <c r="D364" s="368" t="s">
        <v>45</v>
      </c>
      <c r="E364" s="368" t="s">
        <v>37</v>
      </c>
      <c r="F364" s="378" t="s">
        <v>371</v>
      </c>
      <c r="G364" s="379" t="s">
        <v>56</v>
      </c>
      <c r="H364" s="226">
        <f>'прил9 (ведом 23)'!M374</f>
        <v>1078.2</v>
      </c>
    </row>
    <row r="365" spans="1:8" ht="36" x14ac:dyDescent="0.35">
      <c r="A365" s="367"/>
      <c r="B365" s="514" t="s">
        <v>338</v>
      </c>
      <c r="C365" s="394" t="s">
        <v>226</v>
      </c>
      <c r="D365" s="368" t="s">
        <v>45</v>
      </c>
      <c r="E365" s="368" t="s">
        <v>39</v>
      </c>
      <c r="F365" s="378" t="s">
        <v>44</v>
      </c>
      <c r="G365" s="379"/>
      <c r="H365" s="226">
        <f>H366</f>
        <v>2811.598</v>
      </c>
    </row>
    <row r="366" spans="1:8" ht="36" x14ac:dyDescent="0.35">
      <c r="A366" s="367"/>
      <c r="B366" s="514" t="s">
        <v>337</v>
      </c>
      <c r="C366" s="394" t="s">
        <v>226</v>
      </c>
      <c r="D366" s="368" t="s">
        <v>45</v>
      </c>
      <c r="E366" s="368" t="s">
        <v>39</v>
      </c>
      <c r="F366" s="378" t="s">
        <v>336</v>
      </c>
      <c r="G366" s="379"/>
      <c r="H366" s="226">
        <f>SUM(H367:H367)</f>
        <v>2811.598</v>
      </c>
    </row>
    <row r="367" spans="1:8" ht="36" x14ac:dyDescent="0.35">
      <c r="A367" s="367"/>
      <c r="B367" s="514" t="s">
        <v>55</v>
      </c>
      <c r="C367" s="394" t="s">
        <v>226</v>
      </c>
      <c r="D367" s="368" t="s">
        <v>45</v>
      </c>
      <c r="E367" s="368" t="s">
        <v>39</v>
      </c>
      <c r="F367" s="378" t="s">
        <v>336</v>
      </c>
      <c r="G367" s="379" t="s">
        <v>56</v>
      </c>
      <c r="H367" s="226">
        <f>'прил9 (ведом 23)'!M325</f>
        <v>2811.598</v>
      </c>
    </row>
    <row r="368" spans="1:8" ht="36" x14ac:dyDescent="0.35">
      <c r="A368" s="367"/>
      <c r="B368" s="537" t="s">
        <v>229</v>
      </c>
      <c r="C368" s="360" t="s">
        <v>226</v>
      </c>
      <c r="D368" s="368" t="s">
        <v>89</v>
      </c>
      <c r="E368" s="368" t="s">
        <v>43</v>
      </c>
      <c r="F368" s="378" t="s">
        <v>44</v>
      </c>
      <c r="G368" s="379"/>
      <c r="H368" s="226">
        <f>H369+H384+H387</f>
        <v>27900.403000000002</v>
      </c>
    </row>
    <row r="369" spans="1:8" ht="72" x14ac:dyDescent="0.35">
      <c r="A369" s="367"/>
      <c r="B369" s="537" t="s">
        <v>301</v>
      </c>
      <c r="C369" s="360" t="s">
        <v>226</v>
      </c>
      <c r="D369" s="368" t="s">
        <v>89</v>
      </c>
      <c r="E369" s="368" t="s">
        <v>37</v>
      </c>
      <c r="F369" s="378" t="s">
        <v>44</v>
      </c>
      <c r="G369" s="379"/>
      <c r="H369" s="226">
        <f>H370+H374+H378+H380+H382</f>
        <v>27007.600000000002</v>
      </c>
    </row>
    <row r="370" spans="1:8" ht="36" x14ac:dyDescent="0.35">
      <c r="A370" s="367"/>
      <c r="B370" s="537" t="s">
        <v>47</v>
      </c>
      <c r="C370" s="360" t="s">
        <v>226</v>
      </c>
      <c r="D370" s="368" t="s">
        <v>89</v>
      </c>
      <c r="E370" s="368" t="s">
        <v>37</v>
      </c>
      <c r="F370" s="378" t="s">
        <v>48</v>
      </c>
      <c r="G370" s="379"/>
      <c r="H370" s="226">
        <f>SUM(H371:H373)</f>
        <v>15663.300000000001</v>
      </c>
    </row>
    <row r="371" spans="1:8" ht="90" x14ac:dyDescent="0.35">
      <c r="A371" s="367"/>
      <c r="B371" s="537" t="s">
        <v>49</v>
      </c>
      <c r="C371" s="360" t="s">
        <v>226</v>
      </c>
      <c r="D371" s="368" t="s">
        <v>89</v>
      </c>
      <c r="E371" s="368" t="s">
        <v>37</v>
      </c>
      <c r="F371" s="378" t="s">
        <v>48</v>
      </c>
      <c r="G371" s="379" t="s">
        <v>50</v>
      </c>
      <c r="H371" s="226">
        <f>'прил9 (ведом 23)'!M329</f>
        <v>15310.1</v>
      </c>
    </row>
    <row r="372" spans="1:8" ht="36" x14ac:dyDescent="0.35">
      <c r="A372" s="367"/>
      <c r="B372" s="514" t="s">
        <v>55</v>
      </c>
      <c r="C372" s="360" t="s">
        <v>226</v>
      </c>
      <c r="D372" s="368" t="s">
        <v>89</v>
      </c>
      <c r="E372" s="368" t="s">
        <v>37</v>
      </c>
      <c r="F372" s="378" t="s">
        <v>48</v>
      </c>
      <c r="G372" s="379" t="s">
        <v>56</v>
      </c>
      <c r="H372" s="226">
        <f>'прил9 (ведом 23)'!M330</f>
        <v>352</v>
      </c>
    </row>
    <row r="373" spans="1:8" ht="18" x14ac:dyDescent="0.35">
      <c r="A373" s="367"/>
      <c r="B373" s="537" t="s">
        <v>57</v>
      </c>
      <c r="C373" s="360" t="s">
        <v>226</v>
      </c>
      <c r="D373" s="368" t="s">
        <v>89</v>
      </c>
      <c r="E373" s="368" t="s">
        <v>37</v>
      </c>
      <c r="F373" s="378" t="s">
        <v>48</v>
      </c>
      <c r="G373" s="379" t="s">
        <v>58</v>
      </c>
      <c r="H373" s="226">
        <f>'прил9 (ведом 23)'!M331</f>
        <v>1.2</v>
      </c>
    </row>
    <row r="374" spans="1:8" ht="36" x14ac:dyDescent="0.35">
      <c r="A374" s="367"/>
      <c r="B374" s="514" t="s">
        <v>466</v>
      </c>
      <c r="C374" s="360" t="s">
        <v>226</v>
      </c>
      <c r="D374" s="368" t="s">
        <v>89</v>
      </c>
      <c r="E374" s="368" t="s">
        <v>37</v>
      </c>
      <c r="F374" s="378" t="s">
        <v>91</v>
      </c>
      <c r="G374" s="379"/>
      <c r="H374" s="226">
        <f>SUM(H375:H377)</f>
        <v>10033.300000000001</v>
      </c>
    </row>
    <row r="375" spans="1:8" ht="90" x14ac:dyDescent="0.35">
      <c r="A375" s="367"/>
      <c r="B375" s="537" t="s">
        <v>49</v>
      </c>
      <c r="C375" s="360" t="s">
        <v>226</v>
      </c>
      <c r="D375" s="368" t="s">
        <v>89</v>
      </c>
      <c r="E375" s="368" t="s">
        <v>37</v>
      </c>
      <c r="F375" s="378" t="s">
        <v>91</v>
      </c>
      <c r="G375" s="379" t="s">
        <v>50</v>
      </c>
      <c r="H375" s="226">
        <f>'прил9 (ведом 23)'!M333</f>
        <v>9350.4</v>
      </c>
    </row>
    <row r="376" spans="1:8" ht="36" x14ac:dyDescent="0.35">
      <c r="A376" s="367"/>
      <c r="B376" s="514" t="s">
        <v>55</v>
      </c>
      <c r="C376" s="380" t="s">
        <v>226</v>
      </c>
      <c r="D376" s="381" t="s">
        <v>89</v>
      </c>
      <c r="E376" s="381" t="s">
        <v>37</v>
      </c>
      <c r="F376" s="382" t="s">
        <v>91</v>
      </c>
      <c r="G376" s="379" t="s">
        <v>56</v>
      </c>
      <c r="H376" s="226">
        <f>'прил9 (ведом 23)'!M334</f>
        <v>660.19999999999993</v>
      </c>
    </row>
    <row r="377" spans="1:8" ht="18" x14ac:dyDescent="0.35">
      <c r="A377" s="367"/>
      <c r="B377" s="537" t="s">
        <v>57</v>
      </c>
      <c r="C377" s="360" t="s">
        <v>226</v>
      </c>
      <c r="D377" s="368" t="s">
        <v>89</v>
      </c>
      <c r="E377" s="368" t="s">
        <v>37</v>
      </c>
      <c r="F377" s="378" t="s">
        <v>91</v>
      </c>
      <c r="G377" s="379" t="s">
        <v>58</v>
      </c>
      <c r="H377" s="226">
        <f>'прил9 (ведом 23)'!M335</f>
        <v>22.7</v>
      </c>
    </row>
    <row r="378" spans="1:8" ht="36" x14ac:dyDescent="0.35">
      <c r="A378" s="367"/>
      <c r="B378" s="515" t="s">
        <v>534</v>
      </c>
      <c r="C378" s="383" t="s">
        <v>226</v>
      </c>
      <c r="D378" s="354" t="s">
        <v>89</v>
      </c>
      <c r="E378" s="354" t="s">
        <v>37</v>
      </c>
      <c r="F378" s="377" t="s">
        <v>533</v>
      </c>
      <c r="G378" s="356"/>
      <c r="H378" s="226">
        <f>H379</f>
        <v>7.2</v>
      </c>
    </row>
    <row r="379" spans="1:8" ht="36" x14ac:dyDescent="0.35">
      <c r="A379" s="367"/>
      <c r="B379" s="515" t="s">
        <v>55</v>
      </c>
      <c r="C379" s="383" t="s">
        <v>226</v>
      </c>
      <c r="D379" s="354" t="s">
        <v>89</v>
      </c>
      <c r="E379" s="354" t="s">
        <v>37</v>
      </c>
      <c r="F379" s="377" t="s">
        <v>533</v>
      </c>
      <c r="G379" s="356" t="s">
        <v>56</v>
      </c>
      <c r="H379" s="226">
        <f>'прил9 (ведом 23)'!M408</f>
        <v>7.2</v>
      </c>
    </row>
    <row r="380" spans="1:8" ht="54" x14ac:dyDescent="0.35">
      <c r="A380" s="367"/>
      <c r="B380" s="515" t="s">
        <v>354</v>
      </c>
      <c r="C380" s="360" t="s">
        <v>226</v>
      </c>
      <c r="D380" s="368" t="s">
        <v>89</v>
      </c>
      <c r="E380" s="368" t="s">
        <v>37</v>
      </c>
      <c r="F380" s="378" t="s">
        <v>353</v>
      </c>
      <c r="G380" s="379"/>
      <c r="H380" s="226">
        <f>H381</f>
        <v>983.8</v>
      </c>
    </row>
    <row r="381" spans="1:8" ht="36" x14ac:dyDescent="0.35">
      <c r="A381" s="367"/>
      <c r="B381" s="515" t="s">
        <v>55</v>
      </c>
      <c r="C381" s="360" t="s">
        <v>226</v>
      </c>
      <c r="D381" s="368" t="s">
        <v>89</v>
      </c>
      <c r="E381" s="368" t="s">
        <v>37</v>
      </c>
      <c r="F381" s="378" t="s">
        <v>353</v>
      </c>
      <c r="G381" s="379" t="s">
        <v>56</v>
      </c>
      <c r="H381" s="226">
        <f>'прил9 (ведом 23)'!M337</f>
        <v>983.8</v>
      </c>
    </row>
    <row r="382" spans="1:8" ht="54" x14ac:dyDescent="0.35">
      <c r="A382" s="367"/>
      <c r="B382" s="642" t="s">
        <v>380</v>
      </c>
      <c r="C382" s="146" t="s">
        <v>226</v>
      </c>
      <c r="D382" s="92" t="s">
        <v>89</v>
      </c>
      <c r="E382" s="92" t="s">
        <v>37</v>
      </c>
      <c r="F382" s="144" t="s">
        <v>379</v>
      </c>
      <c r="G382" s="600"/>
      <c r="H382" s="420">
        <f>H383</f>
        <v>320</v>
      </c>
    </row>
    <row r="383" spans="1:8" ht="36" x14ac:dyDescent="0.35">
      <c r="A383" s="367"/>
      <c r="B383" s="642" t="s">
        <v>55</v>
      </c>
      <c r="C383" s="146" t="s">
        <v>226</v>
      </c>
      <c r="D383" s="92" t="s">
        <v>89</v>
      </c>
      <c r="E383" s="92" t="s">
        <v>37</v>
      </c>
      <c r="F383" s="282" t="s">
        <v>379</v>
      </c>
      <c r="G383" s="94" t="s">
        <v>56</v>
      </c>
      <c r="H383" s="420">
        <f>'прил9 (ведом 23)'!M339</f>
        <v>320</v>
      </c>
    </row>
    <row r="384" spans="1:8" ht="36" x14ac:dyDescent="0.35">
      <c r="A384" s="367"/>
      <c r="B384" s="539" t="s">
        <v>351</v>
      </c>
      <c r="C384" s="417" t="s">
        <v>226</v>
      </c>
      <c r="D384" s="418" t="s">
        <v>89</v>
      </c>
      <c r="E384" s="418" t="s">
        <v>39</v>
      </c>
      <c r="F384" s="419" t="s">
        <v>44</v>
      </c>
      <c r="G384" s="387"/>
      <c r="H384" s="420">
        <f>H385</f>
        <v>814.3</v>
      </c>
    </row>
    <row r="385" spans="1:8" ht="54" x14ac:dyDescent="0.35">
      <c r="A385" s="367"/>
      <c r="B385" s="540" t="s">
        <v>352</v>
      </c>
      <c r="C385" s="383" t="s">
        <v>226</v>
      </c>
      <c r="D385" s="385" t="s">
        <v>89</v>
      </c>
      <c r="E385" s="385" t="s">
        <v>39</v>
      </c>
      <c r="F385" s="386" t="s">
        <v>105</v>
      </c>
      <c r="G385" s="389"/>
      <c r="H385" s="226">
        <f>H386</f>
        <v>814.3</v>
      </c>
    </row>
    <row r="386" spans="1:8" ht="36" x14ac:dyDescent="0.35">
      <c r="A386" s="367"/>
      <c r="B386" s="541" t="s">
        <v>55</v>
      </c>
      <c r="C386" s="421" t="s">
        <v>226</v>
      </c>
      <c r="D386" s="385" t="s">
        <v>89</v>
      </c>
      <c r="E386" s="385" t="s">
        <v>39</v>
      </c>
      <c r="F386" s="386" t="s">
        <v>105</v>
      </c>
      <c r="G386" s="389" t="s">
        <v>56</v>
      </c>
      <c r="H386" s="226">
        <f>'прил9 (ведом 23)'!M342</f>
        <v>814.3</v>
      </c>
    </row>
    <row r="387" spans="1:8" ht="18" x14ac:dyDescent="0.35">
      <c r="A387" s="367"/>
      <c r="B387" s="537" t="s">
        <v>374</v>
      </c>
      <c r="C387" s="393" t="s">
        <v>226</v>
      </c>
      <c r="D387" s="390" t="s">
        <v>89</v>
      </c>
      <c r="E387" s="422" t="s">
        <v>63</v>
      </c>
      <c r="F387" s="423" t="s">
        <v>44</v>
      </c>
      <c r="G387" s="424"/>
      <c r="H387" s="226">
        <f>H388</f>
        <v>78.502999999999986</v>
      </c>
    </row>
    <row r="388" spans="1:8" ht="36" x14ac:dyDescent="0.35">
      <c r="A388" s="367"/>
      <c r="B388" s="537" t="s">
        <v>337</v>
      </c>
      <c r="C388" s="393" t="s">
        <v>226</v>
      </c>
      <c r="D388" s="390" t="s">
        <v>89</v>
      </c>
      <c r="E388" s="425" t="s">
        <v>63</v>
      </c>
      <c r="F388" s="426" t="s">
        <v>336</v>
      </c>
      <c r="G388" s="424"/>
      <c r="H388" s="226">
        <f>H389</f>
        <v>78.502999999999986</v>
      </c>
    </row>
    <row r="389" spans="1:8" ht="18" x14ac:dyDescent="0.35">
      <c r="A389" s="367"/>
      <c r="B389" s="538" t="s">
        <v>57</v>
      </c>
      <c r="C389" s="360" t="s">
        <v>226</v>
      </c>
      <c r="D389" s="422" t="s">
        <v>89</v>
      </c>
      <c r="E389" s="422" t="s">
        <v>63</v>
      </c>
      <c r="F389" s="423" t="s">
        <v>336</v>
      </c>
      <c r="G389" s="424" t="s">
        <v>58</v>
      </c>
      <c r="H389" s="226">
        <f>'прил9 (ведом 23)'!M345</f>
        <v>78.502999999999986</v>
      </c>
    </row>
    <row r="390" spans="1:8" ht="18" x14ac:dyDescent="0.35">
      <c r="A390" s="367"/>
      <c r="B390" s="542" t="s">
        <v>339</v>
      </c>
      <c r="C390" s="383" t="s">
        <v>226</v>
      </c>
      <c r="D390" s="385" t="s">
        <v>30</v>
      </c>
      <c r="E390" s="385" t="s">
        <v>43</v>
      </c>
      <c r="F390" s="386" t="s">
        <v>44</v>
      </c>
      <c r="G390" s="424"/>
      <c r="H390" s="226">
        <f>H391</f>
        <v>23982.922999999999</v>
      </c>
    </row>
    <row r="391" spans="1:8" ht="18" x14ac:dyDescent="0.35">
      <c r="A391" s="367"/>
      <c r="B391" s="542" t="s">
        <v>374</v>
      </c>
      <c r="C391" s="383" t="s">
        <v>226</v>
      </c>
      <c r="D391" s="385" t="s">
        <v>30</v>
      </c>
      <c r="E391" s="385" t="s">
        <v>226</v>
      </c>
      <c r="F391" s="386" t="s">
        <v>44</v>
      </c>
      <c r="G391" s="424"/>
      <c r="H391" s="226">
        <f>H392</f>
        <v>23982.922999999999</v>
      </c>
    </row>
    <row r="392" spans="1:8" ht="36" x14ac:dyDescent="0.35">
      <c r="A392" s="367"/>
      <c r="B392" s="543" t="s">
        <v>337</v>
      </c>
      <c r="C392" s="383" t="s">
        <v>226</v>
      </c>
      <c r="D392" s="385" t="s">
        <v>30</v>
      </c>
      <c r="E392" s="385" t="s">
        <v>226</v>
      </c>
      <c r="F392" s="386" t="s">
        <v>336</v>
      </c>
      <c r="G392" s="424"/>
      <c r="H392" s="226">
        <f>H393+H394+H395</f>
        <v>23982.922999999999</v>
      </c>
    </row>
    <row r="393" spans="1:8" ht="36" x14ac:dyDescent="0.35">
      <c r="A393" s="367"/>
      <c r="B393" s="541" t="s">
        <v>55</v>
      </c>
      <c r="C393" s="383" t="s">
        <v>226</v>
      </c>
      <c r="D393" s="385" t="s">
        <v>30</v>
      </c>
      <c r="E393" s="385" t="s">
        <v>226</v>
      </c>
      <c r="F393" s="386" t="s">
        <v>336</v>
      </c>
      <c r="G393" s="639" t="s">
        <v>56</v>
      </c>
      <c r="H393" s="226">
        <f>'прил9 (ведом 23)'!M349+'прил9 (ведом 23)'!M378</f>
        <v>3675.223</v>
      </c>
    </row>
    <row r="394" spans="1:8" ht="36" x14ac:dyDescent="0.35">
      <c r="A394" s="367"/>
      <c r="B394" s="625" t="s">
        <v>203</v>
      </c>
      <c r="C394" s="383" t="s">
        <v>226</v>
      </c>
      <c r="D394" s="385" t="s">
        <v>30</v>
      </c>
      <c r="E394" s="385" t="s">
        <v>226</v>
      </c>
      <c r="F394" s="386" t="s">
        <v>336</v>
      </c>
      <c r="G394" s="506" t="s">
        <v>204</v>
      </c>
      <c r="H394" s="226">
        <f>'прил9 (ведом 23)'!M350</f>
        <v>20100</v>
      </c>
    </row>
    <row r="395" spans="1:8" ht="18" x14ac:dyDescent="0.35">
      <c r="A395" s="367"/>
      <c r="B395" s="544" t="s">
        <v>57</v>
      </c>
      <c r="C395" s="383" t="s">
        <v>226</v>
      </c>
      <c r="D395" s="385" t="s">
        <v>30</v>
      </c>
      <c r="E395" s="385" t="s">
        <v>226</v>
      </c>
      <c r="F395" s="386" t="s">
        <v>336</v>
      </c>
      <c r="G395" s="424" t="s">
        <v>58</v>
      </c>
      <c r="H395" s="226">
        <f>'прил9 (ведом 23)'!M351</f>
        <v>207.7</v>
      </c>
    </row>
    <row r="396" spans="1:8" ht="18" x14ac:dyDescent="0.35">
      <c r="A396" s="367"/>
      <c r="B396" s="521"/>
      <c r="C396" s="368"/>
      <c r="D396" s="690"/>
      <c r="E396" s="690"/>
      <c r="F396" s="691"/>
      <c r="G396" s="247"/>
      <c r="H396" s="226"/>
    </row>
    <row r="397" spans="1:8" s="352" customFormat="1" ht="52.2" x14ac:dyDescent="0.3">
      <c r="A397" s="357">
        <v>8</v>
      </c>
      <c r="B397" s="536" t="s">
        <v>295</v>
      </c>
      <c r="C397" s="358" t="s">
        <v>79</v>
      </c>
      <c r="D397" s="358" t="s">
        <v>42</v>
      </c>
      <c r="E397" s="358" t="s">
        <v>43</v>
      </c>
      <c r="F397" s="359" t="s">
        <v>44</v>
      </c>
      <c r="G397" s="351"/>
      <c r="H397" s="263">
        <f>H398</f>
        <v>160104.50000000003</v>
      </c>
    </row>
    <row r="398" spans="1:8" ht="18" x14ac:dyDescent="0.35">
      <c r="A398" s="342"/>
      <c r="B398" s="514" t="s">
        <v>339</v>
      </c>
      <c r="C398" s="394" t="s">
        <v>79</v>
      </c>
      <c r="D398" s="368" t="s">
        <v>45</v>
      </c>
      <c r="E398" s="368" t="s">
        <v>43</v>
      </c>
      <c r="F398" s="219" t="s">
        <v>44</v>
      </c>
      <c r="G398" s="247"/>
      <c r="H398" s="226">
        <f>H399+H412+H418+H428+H431+H434</f>
        <v>160104.50000000003</v>
      </c>
    </row>
    <row r="399" spans="1:8" ht="36" x14ac:dyDescent="0.35">
      <c r="A399" s="342"/>
      <c r="B399" s="514" t="s">
        <v>285</v>
      </c>
      <c r="C399" s="217" t="s">
        <v>79</v>
      </c>
      <c r="D399" s="218" t="s">
        <v>45</v>
      </c>
      <c r="E399" s="218" t="s">
        <v>37</v>
      </c>
      <c r="F399" s="219" t="s">
        <v>44</v>
      </c>
      <c r="G399" s="247"/>
      <c r="H399" s="226">
        <f>H400+H403+H406+H409</f>
        <v>62443.5</v>
      </c>
    </row>
    <row r="400" spans="1:8" ht="126" x14ac:dyDescent="0.35">
      <c r="A400" s="342"/>
      <c r="B400" s="545" t="s">
        <v>357</v>
      </c>
      <c r="C400" s="217" t="s">
        <v>79</v>
      </c>
      <c r="D400" s="218" t="s">
        <v>45</v>
      </c>
      <c r="E400" s="218" t="s">
        <v>37</v>
      </c>
      <c r="F400" s="219" t="s">
        <v>544</v>
      </c>
      <c r="G400" s="28"/>
      <c r="H400" s="226">
        <f>SUM(H401:H402)</f>
        <v>35725.5</v>
      </c>
    </row>
    <row r="401" spans="1:8" ht="36" x14ac:dyDescent="0.35">
      <c r="A401" s="342"/>
      <c r="B401" s="546" t="s">
        <v>55</v>
      </c>
      <c r="C401" s="217" t="s">
        <v>79</v>
      </c>
      <c r="D401" s="218" t="s">
        <v>45</v>
      </c>
      <c r="E401" s="218" t="s">
        <v>37</v>
      </c>
      <c r="F401" s="219" t="s">
        <v>544</v>
      </c>
      <c r="G401" s="28" t="s">
        <v>56</v>
      </c>
      <c r="H401" s="226">
        <f>'прил9 (ведом 23)'!M809</f>
        <v>178.6</v>
      </c>
    </row>
    <row r="402" spans="1:8" ht="18" x14ac:dyDescent="0.35">
      <c r="A402" s="342"/>
      <c r="B402" s="514" t="s">
        <v>120</v>
      </c>
      <c r="C402" s="217" t="s">
        <v>79</v>
      </c>
      <c r="D402" s="218" t="s">
        <v>45</v>
      </c>
      <c r="E402" s="218" t="s">
        <v>37</v>
      </c>
      <c r="F402" s="219" t="s">
        <v>544</v>
      </c>
      <c r="G402" s="28" t="s">
        <v>121</v>
      </c>
      <c r="H402" s="226">
        <f>'прил9 (ведом 23)'!M810</f>
        <v>35546.9</v>
      </c>
    </row>
    <row r="403" spans="1:8" ht="90" x14ac:dyDescent="0.35">
      <c r="A403" s="342"/>
      <c r="B403" s="514" t="s">
        <v>359</v>
      </c>
      <c r="C403" s="217" t="s">
        <v>79</v>
      </c>
      <c r="D403" s="218" t="s">
        <v>45</v>
      </c>
      <c r="E403" s="218" t="s">
        <v>37</v>
      </c>
      <c r="F403" s="219" t="s">
        <v>546</v>
      </c>
      <c r="G403" s="28"/>
      <c r="H403" s="226">
        <f>SUM(H404:H405)</f>
        <v>361.2</v>
      </c>
    </row>
    <row r="404" spans="1:8" ht="36" x14ac:dyDescent="0.35">
      <c r="A404" s="342"/>
      <c r="B404" s="514" t="s">
        <v>55</v>
      </c>
      <c r="C404" s="217" t="s">
        <v>79</v>
      </c>
      <c r="D404" s="218" t="s">
        <v>45</v>
      </c>
      <c r="E404" s="218" t="s">
        <v>37</v>
      </c>
      <c r="F404" s="219" t="s">
        <v>546</v>
      </c>
      <c r="G404" s="28" t="s">
        <v>56</v>
      </c>
      <c r="H404" s="226">
        <f>'прил9 (ведом 23)'!M812</f>
        <v>1.8</v>
      </c>
    </row>
    <row r="405" spans="1:8" ht="18" x14ac:dyDescent="0.35">
      <c r="A405" s="342"/>
      <c r="B405" s="514" t="s">
        <v>120</v>
      </c>
      <c r="C405" s="217" t="s">
        <v>79</v>
      </c>
      <c r="D405" s="218" t="s">
        <v>45</v>
      </c>
      <c r="E405" s="218" t="s">
        <v>37</v>
      </c>
      <c r="F405" s="219" t="s">
        <v>546</v>
      </c>
      <c r="G405" s="28" t="s">
        <v>121</v>
      </c>
      <c r="H405" s="226">
        <f>'прил9 (ведом 23)'!M813</f>
        <v>359.4</v>
      </c>
    </row>
    <row r="406" spans="1:8" ht="90" x14ac:dyDescent="0.35">
      <c r="A406" s="342"/>
      <c r="B406" s="514" t="s">
        <v>358</v>
      </c>
      <c r="C406" s="217" t="s">
        <v>79</v>
      </c>
      <c r="D406" s="218" t="s">
        <v>45</v>
      </c>
      <c r="E406" s="218" t="s">
        <v>37</v>
      </c>
      <c r="F406" s="219" t="s">
        <v>545</v>
      </c>
      <c r="G406" s="28"/>
      <c r="H406" s="226">
        <f>SUM(H407:H408)</f>
        <v>26010</v>
      </c>
    </row>
    <row r="407" spans="1:8" ht="36" x14ac:dyDescent="0.35">
      <c r="A407" s="342"/>
      <c r="B407" s="546" t="s">
        <v>55</v>
      </c>
      <c r="C407" s="217" t="s">
        <v>79</v>
      </c>
      <c r="D407" s="218" t="s">
        <v>45</v>
      </c>
      <c r="E407" s="218" t="s">
        <v>37</v>
      </c>
      <c r="F407" s="219" t="s">
        <v>545</v>
      </c>
      <c r="G407" s="28" t="s">
        <v>56</v>
      </c>
      <c r="H407" s="226">
        <f>'прил9 (ведом 23)'!M815</f>
        <v>130.1</v>
      </c>
    </row>
    <row r="408" spans="1:8" ht="18" x14ac:dyDescent="0.35">
      <c r="A408" s="342"/>
      <c r="B408" s="514" t="s">
        <v>120</v>
      </c>
      <c r="C408" s="217" t="s">
        <v>79</v>
      </c>
      <c r="D408" s="218" t="s">
        <v>45</v>
      </c>
      <c r="E408" s="218" t="s">
        <v>37</v>
      </c>
      <c r="F408" s="219" t="s">
        <v>545</v>
      </c>
      <c r="G408" s="28" t="s">
        <v>121</v>
      </c>
      <c r="H408" s="226">
        <f>'прил9 (ведом 23)'!M816</f>
        <v>25879.9</v>
      </c>
    </row>
    <row r="409" spans="1:8" ht="108" x14ac:dyDescent="0.35">
      <c r="A409" s="342"/>
      <c r="B409" s="514" t="s">
        <v>365</v>
      </c>
      <c r="C409" s="217" t="s">
        <v>79</v>
      </c>
      <c r="D409" s="218" t="s">
        <v>45</v>
      </c>
      <c r="E409" s="218" t="s">
        <v>37</v>
      </c>
      <c r="F409" s="219" t="s">
        <v>547</v>
      </c>
      <c r="G409" s="28"/>
      <c r="H409" s="226">
        <f>SUM(H410:H411)</f>
        <v>346.8</v>
      </c>
    </row>
    <row r="410" spans="1:8" ht="36" x14ac:dyDescent="0.35">
      <c r="A410" s="342"/>
      <c r="B410" s="514" t="s">
        <v>55</v>
      </c>
      <c r="C410" s="217" t="s">
        <v>79</v>
      </c>
      <c r="D410" s="218" t="s">
        <v>45</v>
      </c>
      <c r="E410" s="218" t="s">
        <v>37</v>
      </c>
      <c r="F410" s="219" t="s">
        <v>547</v>
      </c>
      <c r="G410" s="28" t="s">
        <v>56</v>
      </c>
      <c r="H410" s="226">
        <f>'прил9 (ведом 23)'!M818</f>
        <v>1.7</v>
      </c>
    </row>
    <row r="411" spans="1:8" ht="18" x14ac:dyDescent="0.35">
      <c r="A411" s="342"/>
      <c r="B411" s="514" t="s">
        <v>120</v>
      </c>
      <c r="C411" s="217" t="s">
        <v>79</v>
      </c>
      <c r="D411" s="218" t="s">
        <v>45</v>
      </c>
      <c r="E411" s="218" t="s">
        <v>37</v>
      </c>
      <c r="F411" s="219" t="s">
        <v>547</v>
      </c>
      <c r="G411" s="28" t="s">
        <v>121</v>
      </c>
      <c r="H411" s="226">
        <f>'прил9 (ведом 23)'!M819</f>
        <v>345.1</v>
      </c>
    </row>
    <row r="412" spans="1:8" ht="72" x14ac:dyDescent="0.35">
      <c r="A412" s="342"/>
      <c r="B412" s="547" t="s">
        <v>300</v>
      </c>
      <c r="C412" s="396" t="s">
        <v>79</v>
      </c>
      <c r="D412" s="397" t="s">
        <v>45</v>
      </c>
      <c r="E412" s="397" t="s">
        <v>39</v>
      </c>
      <c r="F412" s="398" t="s">
        <v>44</v>
      </c>
      <c r="G412" s="399"/>
      <c r="H412" s="226">
        <f>H413+H415</f>
        <v>85348.400000000009</v>
      </c>
    </row>
    <row r="413" spans="1:8" ht="162" x14ac:dyDescent="0.35">
      <c r="A413" s="342"/>
      <c r="B413" s="518" t="s">
        <v>731</v>
      </c>
      <c r="C413" s="489" t="s">
        <v>79</v>
      </c>
      <c r="D413" s="490" t="s">
        <v>45</v>
      </c>
      <c r="E413" s="490" t="s">
        <v>39</v>
      </c>
      <c r="F413" s="491" t="s">
        <v>602</v>
      </c>
      <c r="G413" s="492"/>
      <c r="H413" s="226">
        <f>H414</f>
        <v>5.2</v>
      </c>
    </row>
    <row r="414" spans="1:8" ht="18" x14ac:dyDescent="0.35">
      <c r="A414" s="342"/>
      <c r="B414" s="518" t="s">
        <v>120</v>
      </c>
      <c r="C414" s="489" t="s">
        <v>79</v>
      </c>
      <c r="D414" s="490" t="s">
        <v>45</v>
      </c>
      <c r="E414" s="490" t="s">
        <v>39</v>
      </c>
      <c r="F414" s="491" t="s">
        <v>602</v>
      </c>
      <c r="G414" s="492" t="s">
        <v>121</v>
      </c>
      <c r="H414" s="226">
        <f>'прил9 (ведом 23)'!M822</f>
        <v>5.2</v>
      </c>
    </row>
    <row r="415" spans="1:8" ht="90" x14ac:dyDescent="0.35">
      <c r="A415" s="342"/>
      <c r="B415" s="544" t="s">
        <v>416</v>
      </c>
      <c r="C415" s="427" t="s">
        <v>79</v>
      </c>
      <c r="D415" s="428" t="s">
        <v>45</v>
      </c>
      <c r="E415" s="428" t="s">
        <v>39</v>
      </c>
      <c r="F415" s="429" t="s">
        <v>417</v>
      </c>
      <c r="G415" s="430"/>
      <c r="H415" s="226">
        <f>H417+H416</f>
        <v>85343.200000000012</v>
      </c>
    </row>
    <row r="416" spans="1:8" ht="36" x14ac:dyDescent="0.35">
      <c r="A416" s="342"/>
      <c r="B416" s="514" t="s">
        <v>55</v>
      </c>
      <c r="C416" s="427" t="s">
        <v>79</v>
      </c>
      <c r="D416" s="428" t="s">
        <v>45</v>
      </c>
      <c r="E416" s="428" t="s">
        <v>39</v>
      </c>
      <c r="F416" s="429" t="s">
        <v>417</v>
      </c>
      <c r="G416" s="430" t="s">
        <v>56</v>
      </c>
      <c r="H416" s="226">
        <f>'прил9 (ведом 23)'!M356</f>
        <v>81.324029999999993</v>
      </c>
    </row>
    <row r="417" spans="1:8" ht="36" x14ac:dyDescent="0.35">
      <c r="A417" s="342"/>
      <c r="B417" s="544" t="s">
        <v>203</v>
      </c>
      <c r="C417" s="353" t="s">
        <v>79</v>
      </c>
      <c r="D417" s="354" t="s">
        <v>45</v>
      </c>
      <c r="E417" s="354" t="s">
        <v>39</v>
      </c>
      <c r="F417" s="355" t="s">
        <v>417</v>
      </c>
      <c r="G417" s="356" t="s">
        <v>204</v>
      </c>
      <c r="H417" s="226">
        <f>'прил9 (ведом 23)'!M415</f>
        <v>85261.875970000008</v>
      </c>
    </row>
    <row r="418" spans="1:8" ht="36" x14ac:dyDescent="0.35">
      <c r="A418" s="342"/>
      <c r="B418" s="514" t="s">
        <v>229</v>
      </c>
      <c r="C418" s="217" t="s">
        <v>79</v>
      </c>
      <c r="D418" s="218" t="s">
        <v>45</v>
      </c>
      <c r="E418" s="218" t="s">
        <v>63</v>
      </c>
      <c r="F418" s="219" t="s">
        <v>44</v>
      </c>
      <c r="G418" s="28"/>
      <c r="H418" s="226">
        <f>H419+H422+H425</f>
        <v>8703</v>
      </c>
    </row>
    <row r="419" spans="1:8" ht="234" x14ac:dyDescent="0.35">
      <c r="A419" s="342"/>
      <c r="B419" s="514" t="s">
        <v>232</v>
      </c>
      <c r="C419" s="217" t="s">
        <v>79</v>
      </c>
      <c r="D419" s="218" t="s">
        <v>45</v>
      </c>
      <c r="E419" s="218" t="s">
        <v>63</v>
      </c>
      <c r="F419" s="219" t="s">
        <v>548</v>
      </c>
      <c r="G419" s="28"/>
      <c r="H419" s="226">
        <f>SUM(H420:H421)</f>
        <v>992.6</v>
      </c>
    </row>
    <row r="420" spans="1:8" ht="90" x14ac:dyDescent="0.35">
      <c r="A420" s="342"/>
      <c r="B420" s="514" t="s">
        <v>49</v>
      </c>
      <c r="C420" s="217" t="s">
        <v>79</v>
      </c>
      <c r="D420" s="218" t="s">
        <v>45</v>
      </c>
      <c r="E420" s="218" t="s">
        <v>63</v>
      </c>
      <c r="F420" s="219" t="s">
        <v>548</v>
      </c>
      <c r="G420" s="28" t="s">
        <v>50</v>
      </c>
      <c r="H420" s="226">
        <f>'прил9 (ведом 23)'!M828</f>
        <v>830.6</v>
      </c>
    </row>
    <row r="421" spans="1:8" ht="36" x14ac:dyDescent="0.35">
      <c r="A421" s="342"/>
      <c r="B421" s="514" t="s">
        <v>55</v>
      </c>
      <c r="C421" s="217" t="s">
        <v>79</v>
      </c>
      <c r="D421" s="218" t="s">
        <v>45</v>
      </c>
      <c r="E421" s="218" t="s">
        <v>63</v>
      </c>
      <c r="F421" s="219" t="s">
        <v>548</v>
      </c>
      <c r="G421" s="28" t="s">
        <v>56</v>
      </c>
      <c r="H421" s="226">
        <f>'прил9 (ведом 23)'!M829</f>
        <v>162</v>
      </c>
    </row>
    <row r="422" spans="1:8" ht="90" x14ac:dyDescent="0.35">
      <c r="A422" s="342"/>
      <c r="B422" s="512" t="s">
        <v>461</v>
      </c>
      <c r="C422" s="217" t="s">
        <v>79</v>
      </c>
      <c r="D422" s="218" t="s">
        <v>45</v>
      </c>
      <c r="E422" s="218" t="s">
        <v>63</v>
      </c>
      <c r="F422" s="219" t="s">
        <v>542</v>
      </c>
      <c r="G422" s="28"/>
      <c r="H422" s="226">
        <f>SUM(H423:H424)</f>
        <v>730</v>
      </c>
    </row>
    <row r="423" spans="1:8" ht="90" x14ac:dyDescent="0.35">
      <c r="A423" s="342"/>
      <c r="B423" s="514" t="s">
        <v>49</v>
      </c>
      <c r="C423" s="217" t="s">
        <v>79</v>
      </c>
      <c r="D423" s="218" t="s">
        <v>45</v>
      </c>
      <c r="E423" s="218" t="s">
        <v>63</v>
      </c>
      <c r="F423" s="219" t="s">
        <v>542</v>
      </c>
      <c r="G423" s="28" t="s">
        <v>50</v>
      </c>
      <c r="H423" s="226">
        <f>'прил9 (ведом 23)'!M831</f>
        <v>649</v>
      </c>
    </row>
    <row r="424" spans="1:8" ht="36" x14ac:dyDescent="0.35">
      <c r="A424" s="342"/>
      <c r="B424" s="514" t="s">
        <v>55</v>
      </c>
      <c r="C424" s="217" t="s">
        <v>79</v>
      </c>
      <c r="D424" s="218" t="s">
        <v>45</v>
      </c>
      <c r="E424" s="218" t="s">
        <v>63</v>
      </c>
      <c r="F424" s="219" t="s">
        <v>542</v>
      </c>
      <c r="G424" s="28" t="s">
        <v>56</v>
      </c>
      <c r="H424" s="226">
        <f>'прил9 (ведом 23)'!M832</f>
        <v>81</v>
      </c>
    </row>
    <row r="425" spans="1:8" ht="72" x14ac:dyDescent="0.35">
      <c r="A425" s="342"/>
      <c r="B425" s="514" t="s">
        <v>231</v>
      </c>
      <c r="C425" s="217" t="s">
        <v>79</v>
      </c>
      <c r="D425" s="218" t="s">
        <v>45</v>
      </c>
      <c r="E425" s="218" t="s">
        <v>63</v>
      </c>
      <c r="F425" s="219" t="s">
        <v>543</v>
      </c>
      <c r="G425" s="28"/>
      <c r="H425" s="226">
        <f>H426+H427</f>
        <v>6980.4</v>
      </c>
    </row>
    <row r="426" spans="1:8" ht="90" x14ac:dyDescent="0.35">
      <c r="A426" s="342"/>
      <c r="B426" s="514" t="s">
        <v>49</v>
      </c>
      <c r="C426" s="217" t="s">
        <v>79</v>
      </c>
      <c r="D426" s="218" t="s">
        <v>45</v>
      </c>
      <c r="E426" s="218" t="s">
        <v>63</v>
      </c>
      <c r="F426" s="219" t="s">
        <v>543</v>
      </c>
      <c r="G426" s="28" t="s">
        <v>50</v>
      </c>
      <c r="H426" s="226">
        <f>'прил9 (ведом 23)'!M834</f>
        <v>6251.4</v>
      </c>
    </row>
    <row r="427" spans="1:8" ht="36" x14ac:dyDescent="0.35">
      <c r="A427" s="342"/>
      <c r="B427" s="514" t="s">
        <v>55</v>
      </c>
      <c r="C427" s="440" t="s">
        <v>79</v>
      </c>
      <c r="D427" s="441" t="s">
        <v>45</v>
      </c>
      <c r="E427" s="441" t="s">
        <v>63</v>
      </c>
      <c r="F427" s="442" t="s">
        <v>543</v>
      </c>
      <c r="G427" s="28" t="s">
        <v>56</v>
      </c>
      <c r="H427" s="226">
        <f>'прил9 (ведом 23)'!M835</f>
        <v>729</v>
      </c>
    </row>
    <row r="428" spans="1:8" ht="72" x14ac:dyDescent="0.35">
      <c r="A428" s="367"/>
      <c r="B428" s="530" t="s">
        <v>449</v>
      </c>
      <c r="C428" s="217" t="s">
        <v>79</v>
      </c>
      <c r="D428" s="218" t="s">
        <v>45</v>
      </c>
      <c r="E428" s="218" t="s">
        <v>52</v>
      </c>
      <c r="F428" s="219" t="s">
        <v>44</v>
      </c>
      <c r="G428" s="28"/>
      <c r="H428" s="226">
        <f>H429</f>
        <v>1539.6</v>
      </c>
    </row>
    <row r="429" spans="1:8" ht="72" x14ac:dyDescent="0.35">
      <c r="A429" s="367"/>
      <c r="B429" s="530" t="s">
        <v>444</v>
      </c>
      <c r="C429" s="217" t="s">
        <v>79</v>
      </c>
      <c r="D429" s="218" t="s">
        <v>45</v>
      </c>
      <c r="E429" s="218" t="s">
        <v>52</v>
      </c>
      <c r="F429" s="219" t="s">
        <v>356</v>
      </c>
      <c r="G429" s="28"/>
      <c r="H429" s="226">
        <f>H430</f>
        <v>1539.6</v>
      </c>
    </row>
    <row r="430" spans="1:8" ht="18" x14ac:dyDescent="0.35">
      <c r="A430" s="367"/>
      <c r="B430" s="517" t="s">
        <v>120</v>
      </c>
      <c r="C430" s="217" t="s">
        <v>79</v>
      </c>
      <c r="D430" s="218" t="s">
        <v>45</v>
      </c>
      <c r="E430" s="218" t="s">
        <v>52</v>
      </c>
      <c r="F430" s="219" t="s">
        <v>356</v>
      </c>
      <c r="G430" s="28" t="s">
        <v>121</v>
      </c>
      <c r="H430" s="226">
        <f>'прил9 (ведом 23)'!M208</f>
        <v>1539.6</v>
      </c>
    </row>
    <row r="431" spans="1:8" ht="36" x14ac:dyDescent="0.35">
      <c r="A431" s="367"/>
      <c r="B431" s="518" t="s">
        <v>729</v>
      </c>
      <c r="C431" s="696" t="s">
        <v>79</v>
      </c>
      <c r="D431" s="697" t="s">
        <v>45</v>
      </c>
      <c r="E431" s="697" t="s">
        <v>65</v>
      </c>
      <c r="F431" s="698" t="s">
        <v>44</v>
      </c>
      <c r="G431" s="10"/>
      <c r="H431" s="226">
        <f>H432</f>
        <v>1150</v>
      </c>
    </row>
    <row r="432" spans="1:8" ht="54" x14ac:dyDescent="0.35">
      <c r="A432" s="367"/>
      <c r="B432" s="518" t="s">
        <v>730</v>
      </c>
      <c r="C432" s="696" t="s">
        <v>79</v>
      </c>
      <c r="D432" s="697" t="s">
        <v>45</v>
      </c>
      <c r="E432" s="697" t="s">
        <v>65</v>
      </c>
      <c r="F432" s="698" t="s">
        <v>728</v>
      </c>
      <c r="G432" s="10"/>
      <c r="H432" s="226">
        <f>H433</f>
        <v>1150</v>
      </c>
    </row>
    <row r="433" spans="1:8" ht="18" x14ac:dyDescent="0.35">
      <c r="A433" s="367"/>
      <c r="B433" s="517" t="s">
        <v>120</v>
      </c>
      <c r="C433" s="696" t="s">
        <v>79</v>
      </c>
      <c r="D433" s="697" t="s">
        <v>45</v>
      </c>
      <c r="E433" s="697" t="s">
        <v>65</v>
      </c>
      <c r="F433" s="698" t="s">
        <v>728</v>
      </c>
      <c r="G433" s="10" t="s">
        <v>121</v>
      </c>
      <c r="H433" s="226">
        <f>'прил9 (ведом 23)'!M214</f>
        <v>1150</v>
      </c>
    </row>
    <row r="434" spans="1:8" ht="36" x14ac:dyDescent="0.35">
      <c r="A434" s="367"/>
      <c r="B434" s="518" t="s">
        <v>733</v>
      </c>
      <c r="C434" s="696" t="s">
        <v>79</v>
      </c>
      <c r="D434" s="697" t="s">
        <v>45</v>
      </c>
      <c r="E434" s="697" t="s">
        <v>224</v>
      </c>
      <c r="F434" s="698" t="s">
        <v>44</v>
      </c>
      <c r="G434" s="10"/>
      <c r="H434" s="226">
        <f>H435</f>
        <v>920</v>
      </c>
    </row>
    <row r="435" spans="1:8" ht="54" x14ac:dyDescent="0.35">
      <c r="A435" s="367"/>
      <c r="B435" s="518" t="s">
        <v>734</v>
      </c>
      <c r="C435" s="696" t="s">
        <v>79</v>
      </c>
      <c r="D435" s="697" t="s">
        <v>45</v>
      </c>
      <c r="E435" s="697" t="s">
        <v>224</v>
      </c>
      <c r="F435" s="698" t="s">
        <v>732</v>
      </c>
      <c r="G435" s="10"/>
      <c r="H435" s="226">
        <f>H436</f>
        <v>920</v>
      </c>
    </row>
    <row r="436" spans="1:8" ht="18" x14ac:dyDescent="0.35">
      <c r="A436" s="367"/>
      <c r="B436" s="525" t="s">
        <v>120</v>
      </c>
      <c r="C436" s="696" t="s">
        <v>79</v>
      </c>
      <c r="D436" s="697" t="s">
        <v>45</v>
      </c>
      <c r="E436" s="697" t="s">
        <v>224</v>
      </c>
      <c r="F436" s="698" t="s">
        <v>732</v>
      </c>
      <c r="G436" s="10" t="s">
        <v>121</v>
      </c>
      <c r="H436" s="226">
        <f>'прил9 (ведом 23)'!M603</f>
        <v>920</v>
      </c>
    </row>
    <row r="437" spans="1:8" ht="69.599999999999994" x14ac:dyDescent="0.3">
      <c r="A437" s="357">
        <v>9</v>
      </c>
      <c r="B437" s="526" t="s">
        <v>332</v>
      </c>
      <c r="C437" s="358" t="s">
        <v>104</v>
      </c>
      <c r="D437" s="358" t="s">
        <v>42</v>
      </c>
      <c r="E437" s="358" t="s">
        <v>43</v>
      </c>
      <c r="F437" s="359" t="s">
        <v>44</v>
      </c>
      <c r="G437" s="400"/>
      <c r="H437" s="263">
        <f>H438+H442+H446</f>
        <v>121222.29999999999</v>
      </c>
    </row>
    <row r="438" spans="1:8" ht="36" x14ac:dyDescent="0.35">
      <c r="A438" s="357"/>
      <c r="B438" s="514" t="s">
        <v>334</v>
      </c>
      <c r="C438" s="217" t="s">
        <v>104</v>
      </c>
      <c r="D438" s="218" t="s">
        <v>45</v>
      </c>
      <c r="E438" s="218" t="s">
        <v>43</v>
      </c>
      <c r="F438" s="219" t="s">
        <v>44</v>
      </c>
      <c r="G438" s="28"/>
      <c r="H438" s="226">
        <f>H439</f>
        <v>79683.3</v>
      </c>
    </row>
    <row r="439" spans="1:8" ht="54" x14ac:dyDescent="0.35">
      <c r="A439" s="357"/>
      <c r="B439" s="515" t="s">
        <v>373</v>
      </c>
      <c r="C439" s="217" t="s">
        <v>104</v>
      </c>
      <c r="D439" s="218" t="s">
        <v>45</v>
      </c>
      <c r="E439" s="218" t="s">
        <v>37</v>
      </c>
      <c r="F439" s="219" t="s">
        <v>44</v>
      </c>
      <c r="G439" s="28"/>
      <c r="H439" s="226">
        <f>H440</f>
        <v>79683.3</v>
      </c>
    </row>
    <row r="440" spans="1:8" ht="54" x14ac:dyDescent="0.35">
      <c r="A440" s="357"/>
      <c r="B440" s="547" t="s">
        <v>502</v>
      </c>
      <c r="C440" s="353" t="s">
        <v>104</v>
      </c>
      <c r="D440" s="354" t="s">
        <v>45</v>
      </c>
      <c r="E440" s="354" t="s">
        <v>37</v>
      </c>
      <c r="F440" s="355" t="s">
        <v>415</v>
      </c>
      <c r="G440" s="432"/>
      <c r="H440" s="226">
        <f>SUM(H441:H441)</f>
        <v>79683.3</v>
      </c>
    </row>
    <row r="441" spans="1:8" ht="36" x14ac:dyDescent="0.35">
      <c r="A441" s="431"/>
      <c r="B441" s="548" t="s">
        <v>203</v>
      </c>
      <c r="C441" s="374" t="s">
        <v>104</v>
      </c>
      <c r="D441" s="375" t="s">
        <v>45</v>
      </c>
      <c r="E441" s="375" t="s">
        <v>37</v>
      </c>
      <c r="F441" s="497" t="s">
        <v>415</v>
      </c>
      <c r="G441" s="434" t="s">
        <v>204</v>
      </c>
      <c r="H441" s="433">
        <f>'прил9 (ведом 23)'!M385</f>
        <v>79683.3</v>
      </c>
    </row>
    <row r="442" spans="1:8" ht="36" x14ac:dyDescent="0.35">
      <c r="A442" s="431"/>
      <c r="B442" s="601" t="s">
        <v>633</v>
      </c>
      <c r="C442" s="696" t="s">
        <v>104</v>
      </c>
      <c r="D442" s="697" t="s">
        <v>34</v>
      </c>
      <c r="E442" s="697" t="s">
        <v>43</v>
      </c>
      <c r="F442" s="698" t="s">
        <v>44</v>
      </c>
      <c r="G442" s="10"/>
      <c r="H442" s="433">
        <f>H443</f>
        <v>7085.7000000000007</v>
      </c>
    </row>
    <row r="443" spans="1:8" ht="36" x14ac:dyDescent="0.35">
      <c r="A443" s="431"/>
      <c r="B443" s="601" t="s">
        <v>634</v>
      </c>
      <c r="C443" s="696" t="s">
        <v>104</v>
      </c>
      <c r="D443" s="697" t="s">
        <v>34</v>
      </c>
      <c r="E443" s="697" t="s">
        <v>37</v>
      </c>
      <c r="F443" s="698" t="s">
        <v>44</v>
      </c>
      <c r="G443" s="10"/>
      <c r="H443" s="433">
        <f>H444</f>
        <v>7085.7000000000007</v>
      </c>
    </row>
    <row r="444" spans="1:8" ht="36" x14ac:dyDescent="0.35">
      <c r="A444" s="431"/>
      <c r="B444" s="601" t="s">
        <v>635</v>
      </c>
      <c r="C444" s="696" t="s">
        <v>104</v>
      </c>
      <c r="D444" s="697" t="s">
        <v>34</v>
      </c>
      <c r="E444" s="697" t="s">
        <v>37</v>
      </c>
      <c r="F444" s="698" t="s">
        <v>636</v>
      </c>
      <c r="G444" s="10"/>
      <c r="H444" s="433">
        <f>H445</f>
        <v>7085.7000000000007</v>
      </c>
    </row>
    <row r="445" spans="1:8" ht="36" x14ac:dyDescent="0.35">
      <c r="A445" s="431"/>
      <c r="B445" s="601" t="s">
        <v>55</v>
      </c>
      <c r="C445" s="696" t="s">
        <v>104</v>
      </c>
      <c r="D445" s="697" t="s">
        <v>34</v>
      </c>
      <c r="E445" s="697" t="s">
        <v>37</v>
      </c>
      <c r="F445" s="698" t="s">
        <v>636</v>
      </c>
      <c r="G445" s="10" t="s">
        <v>56</v>
      </c>
      <c r="H445" s="433">
        <f>'прил9 (ведом 23)'!M194</f>
        <v>7085.7000000000007</v>
      </c>
    </row>
    <row r="446" spans="1:8" ht="36" x14ac:dyDescent="0.35">
      <c r="A446" s="431"/>
      <c r="B446" s="549" t="s">
        <v>481</v>
      </c>
      <c r="C446" s="696" t="s">
        <v>104</v>
      </c>
      <c r="D446" s="697" t="s">
        <v>482</v>
      </c>
      <c r="E446" s="697" t="s">
        <v>43</v>
      </c>
      <c r="F446" s="698" t="s">
        <v>44</v>
      </c>
      <c r="G446" s="434"/>
      <c r="H446" s="433">
        <f>H447+H450</f>
        <v>34453.299999999996</v>
      </c>
    </row>
    <row r="447" spans="1:8" ht="36" x14ac:dyDescent="0.35">
      <c r="A447" s="431"/>
      <c r="B447" s="601" t="s">
        <v>630</v>
      </c>
      <c r="C447" s="696" t="s">
        <v>104</v>
      </c>
      <c r="D447" s="697" t="s">
        <v>482</v>
      </c>
      <c r="E447" s="697" t="s">
        <v>37</v>
      </c>
      <c r="F447" s="698" t="s">
        <v>44</v>
      </c>
      <c r="G447" s="10"/>
      <c r="H447" s="433">
        <f>H448</f>
        <v>92.2</v>
      </c>
    </row>
    <row r="448" spans="1:8" ht="54" x14ac:dyDescent="0.35">
      <c r="A448" s="431"/>
      <c r="B448" s="601" t="s">
        <v>631</v>
      </c>
      <c r="C448" s="696" t="s">
        <v>104</v>
      </c>
      <c r="D448" s="697" t="s">
        <v>482</v>
      </c>
      <c r="E448" s="697" t="s">
        <v>37</v>
      </c>
      <c r="F448" s="698" t="s">
        <v>632</v>
      </c>
      <c r="G448" s="10"/>
      <c r="H448" s="433">
        <f>H449</f>
        <v>92.2</v>
      </c>
    </row>
    <row r="449" spans="1:8" ht="36" x14ac:dyDescent="0.35">
      <c r="A449" s="431"/>
      <c r="B449" s="601" t="s">
        <v>55</v>
      </c>
      <c r="C449" s="696" t="s">
        <v>104</v>
      </c>
      <c r="D449" s="697" t="s">
        <v>482</v>
      </c>
      <c r="E449" s="697" t="s">
        <v>37</v>
      </c>
      <c r="F449" s="698" t="s">
        <v>632</v>
      </c>
      <c r="G449" s="10" t="s">
        <v>56</v>
      </c>
      <c r="H449" s="433">
        <f>'прил9 (ведом 23)'!M61</f>
        <v>92.2</v>
      </c>
    </row>
    <row r="450" spans="1:8" ht="54" x14ac:dyDescent="0.35">
      <c r="A450" s="431"/>
      <c r="B450" s="518" t="s">
        <v>477</v>
      </c>
      <c r="C450" s="696" t="s">
        <v>104</v>
      </c>
      <c r="D450" s="697" t="s">
        <v>482</v>
      </c>
      <c r="E450" s="697" t="s">
        <v>476</v>
      </c>
      <c r="F450" s="698" t="s">
        <v>44</v>
      </c>
      <c r="G450" s="384"/>
      <c r="H450" s="433">
        <f>H451+H453+H455</f>
        <v>34361.1</v>
      </c>
    </row>
    <row r="451" spans="1:8" ht="90" x14ac:dyDescent="0.35">
      <c r="A451" s="431"/>
      <c r="B451" s="601" t="s">
        <v>478</v>
      </c>
      <c r="C451" s="696" t="s">
        <v>104</v>
      </c>
      <c r="D451" s="697" t="s">
        <v>482</v>
      </c>
      <c r="E451" s="697" t="s">
        <v>476</v>
      </c>
      <c r="F451" s="698" t="s">
        <v>627</v>
      </c>
      <c r="G451" s="10"/>
      <c r="H451" s="433">
        <f>H452</f>
        <v>13125.3</v>
      </c>
    </row>
    <row r="452" spans="1:8" ht="36" x14ac:dyDescent="0.35">
      <c r="A452" s="431"/>
      <c r="B452" s="601" t="s">
        <v>203</v>
      </c>
      <c r="C452" s="696" t="s">
        <v>104</v>
      </c>
      <c r="D452" s="697" t="s">
        <v>482</v>
      </c>
      <c r="E452" s="697" t="s">
        <v>476</v>
      </c>
      <c r="F452" s="698" t="s">
        <v>627</v>
      </c>
      <c r="G452" s="10" t="s">
        <v>204</v>
      </c>
      <c r="H452" s="433">
        <f>'прил9 (ведом 23)'!M184</f>
        <v>13125.3</v>
      </c>
    </row>
    <row r="453" spans="1:8" ht="90" x14ac:dyDescent="0.35">
      <c r="A453" s="431"/>
      <c r="B453" s="601" t="s">
        <v>478</v>
      </c>
      <c r="C453" s="696" t="s">
        <v>104</v>
      </c>
      <c r="D453" s="697" t="s">
        <v>482</v>
      </c>
      <c r="E453" s="697" t="s">
        <v>476</v>
      </c>
      <c r="F453" s="698" t="s">
        <v>626</v>
      </c>
      <c r="G453" s="10"/>
      <c r="H453" s="433">
        <f>H454</f>
        <v>18201</v>
      </c>
    </row>
    <row r="454" spans="1:8" ht="36" x14ac:dyDescent="0.35">
      <c r="A454" s="431"/>
      <c r="B454" s="602" t="s">
        <v>203</v>
      </c>
      <c r="C454" s="696" t="s">
        <v>104</v>
      </c>
      <c r="D454" s="697" t="s">
        <v>482</v>
      </c>
      <c r="E454" s="697" t="s">
        <v>476</v>
      </c>
      <c r="F454" s="698" t="s">
        <v>626</v>
      </c>
      <c r="G454" s="10" t="s">
        <v>204</v>
      </c>
      <c r="H454" s="433">
        <f>'прил9 (ведом 23)'!M186</f>
        <v>18201</v>
      </c>
    </row>
    <row r="455" spans="1:8" ht="90" x14ac:dyDescent="0.35">
      <c r="A455" s="431"/>
      <c r="B455" s="601" t="s">
        <v>478</v>
      </c>
      <c r="C455" s="696" t="s">
        <v>104</v>
      </c>
      <c r="D455" s="697" t="s">
        <v>482</v>
      </c>
      <c r="E455" s="697" t="s">
        <v>476</v>
      </c>
      <c r="F455" s="698" t="s">
        <v>520</v>
      </c>
      <c r="G455" s="10"/>
      <c r="H455" s="433">
        <f>H456</f>
        <v>3034.8</v>
      </c>
    </row>
    <row r="456" spans="1:8" ht="36" x14ac:dyDescent="0.35">
      <c r="A456" s="431"/>
      <c r="B456" s="601" t="s">
        <v>203</v>
      </c>
      <c r="C456" s="696" t="s">
        <v>104</v>
      </c>
      <c r="D456" s="697" t="s">
        <v>482</v>
      </c>
      <c r="E456" s="697" t="s">
        <v>476</v>
      </c>
      <c r="F456" s="698" t="s">
        <v>520</v>
      </c>
      <c r="G456" s="10" t="s">
        <v>204</v>
      </c>
      <c r="H456" s="433">
        <f>'прил9 (ведом 23)'!M188</f>
        <v>3034.8</v>
      </c>
    </row>
    <row r="457" spans="1:8" ht="18" x14ac:dyDescent="0.35">
      <c r="A457" s="431"/>
      <c r="B457" s="515"/>
      <c r="C457" s="218"/>
      <c r="D457" s="218"/>
      <c r="E457" s="218"/>
      <c r="F457" s="219"/>
      <c r="G457" s="28"/>
      <c r="H457" s="433"/>
    </row>
    <row r="458" spans="1:8" s="352" customFormat="1" ht="52.2" x14ac:dyDescent="0.3">
      <c r="A458" s="357">
        <v>10</v>
      </c>
      <c r="B458" s="526" t="s">
        <v>94</v>
      </c>
      <c r="C458" s="358" t="s">
        <v>67</v>
      </c>
      <c r="D458" s="358" t="s">
        <v>42</v>
      </c>
      <c r="E458" s="358" t="s">
        <v>43</v>
      </c>
      <c r="F458" s="359" t="s">
        <v>44</v>
      </c>
      <c r="G458" s="400"/>
      <c r="H458" s="263">
        <f>H459</f>
        <v>14369.400000000001</v>
      </c>
    </row>
    <row r="459" spans="1:8" ht="18" x14ac:dyDescent="0.35">
      <c r="A459" s="342"/>
      <c r="B459" s="514" t="s">
        <v>339</v>
      </c>
      <c r="C459" s="217" t="s">
        <v>67</v>
      </c>
      <c r="D459" s="218" t="s">
        <v>45</v>
      </c>
      <c r="E459" s="218" t="s">
        <v>43</v>
      </c>
      <c r="F459" s="219" t="s">
        <v>44</v>
      </c>
      <c r="G459" s="363"/>
      <c r="H459" s="226">
        <f>H460+H463</f>
        <v>14369.400000000001</v>
      </c>
    </row>
    <row r="460" spans="1:8" ht="36" x14ac:dyDescent="0.35">
      <c r="A460" s="342"/>
      <c r="B460" s="514" t="s">
        <v>95</v>
      </c>
      <c r="C460" s="217" t="s">
        <v>67</v>
      </c>
      <c r="D460" s="218" t="s">
        <v>45</v>
      </c>
      <c r="E460" s="218" t="s">
        <v>37</v>
      </c>
      <c r="F460" s="219" t="s">
        <v>44</v>
      </c>
      <c r="G460" s="363"/>
      <c r="H460" s="226">
        <f>H461</f>
        <v>11070.6</v>
      </c>
    </row>
    <row r="461" spans="1:8" ht="54" x14ac:dyDescent="0.35">
      <c r="A461" s="342"/>
      <c r="B461" s="550" t="s">
        <v>409</v>
      </c>
      <c r="C461" s="217" t="s">
        <v>67</v>
      </c>
      <c r="D461" s="218" t="s">
        <v>45</v>
      </c>
      <c r="E461" s="218" t="s">
        <v>37</v>
      </c>
      <c r="F461" s="219" t="s">
        <v>61</v>
      </c>
      <c r="G461" s="28"/>
      <c r="H461" s="226">
        <f>H462</f>
        <v>11070.6</v>
      </c>
    </row>
    <row r="462" spans="1:8" ht="18" x14ac:dyDescent="0.35">
      <c r="A462" s="342"/>
      <c r="B462" s="514" t="s">
        <v>57</v>
      </c>
      <c r="C462" s="217" t="s">
        <v>67</v>
      </c>
      <c r="D462" s="218" t="s">
        <v>45</v>
      </c>
      <c r="E462" s="218" t="s">
        <v>37</v>
      </c>
      <c r="F462" s="219" t="s">
        <v>61</v>
      </c>
      <c r="G462" s="28" t="s">
        <v>58</v>
      </c>
      <c r="H462" s="226">
        <f>'прил9 (ведом 23)'!M137</f>
        <v>11070.6</v>
      </c>
    </row>
    <row r="463" spans="1:8" ht="54" x14ac:dyDescent="0.35">
      <c r="A463" s="342"/>
      <c r="B463" s="514" t="s">
        <v>96</v>
      </c>
      <c r="C463" s="217" t="s">
        <v>67</v>
      </c>
      <c r="D463" s="218" t="s">
        <v>45</v>
      </c>
      <c r="E463" s="218" t="s">
        <v>39</v>
      </c>
      <c r="F463" s="219" t="s">
        <v>44</v>
      </c>
      <c r="G463" s="28"/>
      <c r="H463" s="226">
        <f>H464</f>
        <v>3298.8</v>
      </c>
    </row>
    <row r="464" spans="1:8" ht="162" x14ac:dyDescent="0.35">
      <c r="A464" s="342"/>
      <c r="B464" s="515" t="s">
        <v>527</v>
      </c>
      <c r="C464" s="217" t="s">
        <v>67</v>
      </c>
      <c r="D464" s="218" t="s">
        <v>45</v>
      </c>
      <c r="E464" s="218" t="s">
        <v>39</v>
      </c>
      <c r="F464" s="219" t="s">
        <v>97</v>
      </c>
      <c r="G464" s="28"/>
      <c r="H464" s="226">
        <f>H465</f>
        <v>3298.8</v>
      </c>
    </row>
    <row r="465" spans="1:8" ht="36" x14ac:dyDescent="0.35">
      <c r="A465" s="342"/>
      <c r="B465" s="514" t="s">
        <v>55</v>
      </c>
      <c r="C465" s="217" t="s">
        <v>67</v>
      </c>
      <c r="D465" s="218" t="s">
        <v>45</v>
      </c>
      <c r="E465" s="218" t="s">
        <v>39</v>
      </c>
      <c r="F465" s="219" t="s">
        <v>97</v>
      </c>
      <c r="G465" s="28" t="s">
        <v>56</v>
      </c>
      <c r="H465" s="226">
        <f>'прил9 (ведом 23)'!M140</f>
        <v>3298.8</v>
      </c>
    </row>
    <row r="466" spans="1:8" ht="18" x14ac:dyDescent="0.35">
      <c r="A466" s="342"/>
      <c r="B466" s="521"/>
      <c r="C466" s="690"/>
      <c r="D466" s="690"/>
      <c r="E466" s="690"/>
      <c r="F466" s="691"/>
      <c r="G466" s="247"/>
      <c r="H466" s="226"/>
    </row>
    <row r="467" spans="1:8" s="352" customFormat="1" ht="52.2" x14ac:dyDescent="0.3">
      <c r="A467" s="357">
        <v>11</v>
      </c>
      <c r="B467" s="526" t="s">
        <v>99</v>
      </c>
      <c r="C467" s="358" t="s">
        <v>100</v>
      </c>
      <c r="D467" s="358" t="s">
        <v>42</v>
      </c>
      <c r="E467" s="358" t="s">
        <v>43</v>
      </c>
      <c r="F467" s="359" t="s">
        <v>44</v>
      </c>
      <c r="G467" s="351"/>
      <c r="H467" s="263">
        <f>H468</f>
        <v>12364.4156</v>
      </c>
    </row>
    <row r="468" spans="1:8" s="352" customFormat="1" ht="18" x14ac:dyDescent="0.35">
      <c r="A468" s="342"/>
      <c r="B468" s="514" t="s">
        <v>339</v>
      </c>
      <c r="C468" s="217" t="s">
        <v>100</v>
      </c>
      <c r="D468" s="218" t="s">
        <v>45</v>
      </c>
      <c r="E468" s="218" t="s">
        <v>43</v>
      </c>
      <c r="F468" s="219" t="s">
        <v>44</v>
      </c>
      <c r="G468" s="28"/>
      <c r="H468" s="226">
        <f>H469</f>
        <v>12364.4156</v>
      </c>
    </row>
    <row r="469" spans="1:8" s="352" customFormat="1" ht="72" x14ac:dyDescent="0.35">
      <c r="A469" s="342"/>
      <c r="B469" s="514" t="s">
        <v>101</v>
      </c>
      <c r="C469" s="217" t="s">
        <v>100</v>
      </c>
      <c r="D469" s="218" t="s">
        <v>45</v>
      </c>
      <c r="E469" s="218" t="s">
        <v>37</v>
      </c>
      <c r="F469" s="219" t="s">
        <v>44</v>
      </c>
      <c r="G469" s="28"/>
      <c r="H469" s="226">
        <f>H470</f>
        <v>12364.4156</v>
      </c>
    </row>
    <row r="470" spans="1:8" s="352" customFormat="1" ht="72" x14ac:dyDescent="0.35">
      <c r="A470" s="342"/>
      <c r="B470" s="522" t="s">
        <v>102</v>
      </c>
      <c r="C470" s="217" t="s">
        <v>100</v>
      </c>
      <c r="D470" s="218" t="s">
        <v>45</v>
      </c>
      <c r="E470" s="218" t="s">
        <v>37</v>
      </c>
      <c r="F470" s="219" t="s">
        <v>103</v>
      </c>
      <c r="G470" s="28"/>
      <c r="H470" s="226">
        <f>H471</f>
        <v>12364.4156</v>
      </c>
    </row>
    <row r="471" spans="1:8" ht="36" x14ac:dyDescent="0.35">
      <c r="A471" s="342"/>
      <c r="B471" s="514" t="s">
        <v>55</v>
      </c>
      <c r="C471" s="217" t="s">
        <v>100</v>
      </c>
      <c r="D471" s="218" t="s">
        <v>45</v>
      </c>
      <c r="E471" s="218" t="s">
        <v>37</v>
      </c>
      <c r="F471" s="219" t="s">
        <v>103</v>
      </c>
      <c r="G471" s="28" t="s">
        <v>56</v>
      </c>
      <c r="H471" s="226">
        <f>'прил9 (ведом 23)'!M146</f>
        <v>12364.4156</v>
      </c>
    </row>
    <row r="472" spans="1:8" ht="18" x14ac:dyDescent="0.35">
      <c r="A472" s="342"/>
      <c r="B472" s="521"/>
      <c r="C472" s="690"/>
      <c r="D472" s="690"/>
      <c r="E472" s="690"/>
      <c r="F472" s="691"/>
      <c r="G472" s="247"/>
      <c r="H472" s="226"/>
    </row>
    <row r="473" spans="1:8" s="352" customFormat="1" ht="52.2" x14ac:dyDescent="0.3">
      <c r="A473" s="357">
        <v>12</v>
      </c>
      <c r="B473" s="526" t="s">
        <v>107</v>
      </c>
      <c r="C473" s="358" t="s">
        <v>71</v>
      </c>
      <c r="D473" s="358" t="s">
        <v>42</v>
      </c>
      <c r="E473" s="358" t="s">
        <v>43</v>
      </c>
      <c r="F473" s="359" t="s">
        <v>44</v>
      </c>
      <c r="G473" s="351"/>
      <c r="H473" s="263">
        <f>H474+H478</f>
        <v>1066.0999999999999</v>
      </c>
    </row>
    <row r="474" spans="1:8" s="352" customFormat="1" ht="36" x14ac:dyDescent="0.35">
      <c r="A474" s="342"/>
      <c r="B474" s="529" t="s">
        <v>108</v>
      </c>
      <c r="C474" s="217" t="s">
        <v>71</v>
      </c>
      <c r="D474" s="218" t="s">
        <v>45</v>
      </c>
      <c r="E474" s="218" t="s">
        <v>43</v>
      </c>
      <c r="F474" s="219" t="s">
        <v>44</v>
      </c>
      <c r="G474" s="28"/>
      <c r="H474" s="226">
        <f>H475</f>
        <v>340</v>
      </c>
    </row>
    <row r="475" spans="1:8" s="352" customFormat="1" ht="36" x14ac:dyDescent="0.35">
      <c r="A475" s="342"/>
      <c r="B475" s="514" t="s">
        <v>109</v>
      </c>
      <c r="C475" s="217" t="s">
        <v>71</v>
      </c>
      <c r="D475" s="218" t="s">
        <v>45</v>
      </c>
      <c r="E475" s="218" t="s">
        <v>37</v>
      </c>
      <c r="F475" s="219" t="s">
        <v>44</v>
      </c>
      <c r="G475" s="28"/>
      <c r="H475" s="226">
        <f>H476</f>
        <v>340</v>
      </c>
    </row>
    <row r="476" spans="1:8" s="352" customFormat="1" ht="36" x14ac:dyDescent="0.35">
      <c r="A476" s="342"/>
      <c r="B476" s="529" t="s">
        <v>110</v>
      </c>
      <c r="C476" s="217" t="s">
        <v>71</v>
      </c>
      <c r="D476" s="218" t="s">
        <v>45</v>
      </c>
      <c r="E476" s="218" t="s">
        <v>37</v>
      </c>
      <c r="F476" s="219" t="s">
        <v>111</v>
      </c>
      <c r="G476" s="28"/>
      <c r="H476" s="226">
        <f>SUM(H477:H477)</f>
        <v>340</v>
      </c>
    </row>
    <row r="477" spans="1:8" s="352" customFormat="1" ht="36" x14ac:dyDescent="0.35">
      <c r="A477" s="342"/>
      <c r="B477" s="514" t="s">
        <v>55</v>
      </c>
      <c r="C477" s="217" t="s">
        <v>71</v>
      </c>
      <c r="D477" s="218" t="s">
        <v>45</v>
      </c>
      <c r="E477" s="218" t="s">
        <v>37</v>
      </c>
      <c r="F477" s="219" t="s">
        <v>111</v>
      </c>
      <c r="G477" s="28" t="s">
        <v>56</v>
      </c>
      <c r="H477" s="226">
        <f>'прил9 (ведом 23)'!M152</f>
        <v>340</v>
      </c>
    </row>
    <row r="478" spans="1:8" s="352" customFormat="1" ht="36" x14ac:dyDescent="0.35">
      <c r="A478" s="342"/>
      <c r="B478" s="529" t="s">
        <v>112</v>
      </c>
      <c r="C478" s="217" t="s">
        <v>71</v>
      </c>
      <c r="D478" s="218" t="s">
        <v>89</v>
      </c>
      <c r="E478" s="218" t="s">
        <v>43</v>
      </c>
      <c r="F478" s="219" t="s">
        <v>44</v>
      </c>
      <c r="G478" s="28"/>
      <c r="H478" s="226">
        <f>H479</f>
        <v>726.1</v>
      </c>
    </row>
    <row r="479" spans="1:8" s="352" customFormat="1" ht="36" x14ac:dyDescent="0.35">
      <c r="A479" s="342"/>
      <c r="B479" s="529" t="s">
        <v>113</v>
      </c>
      <c r="C479" s="217" t="s">
        <v>71</v>
      </c>
      <c r="D479" s="218" t="s">
        <v>89</v>
      </c>
      <c r="E479" s="218" t="s">
        <v>37</v>
      </c>
      <c r="F479" s="219" t="s">
        <v>44</v>
      </c>
      <c r="G479" s="28"/>
      <c r="H479" s="226">
        <f>H480</f>
        <v>726.1</v>
      </c>
    </row>
    <row r="480" spans="1:8" s="352" customFormat="1" ht="72" x14ac:dyDescent="0.35">
      <c r="A480" s="342"/>
      <c r="B480" s="529" t="s">
        <v>114</v>
      </c>
      <c r="C480" s="217" t="s">
        <v>71</v>
      </c>
      <c r="D480" s="218" t="s">
        <v>89</v>
      </c>
      <c r="E480" s="218" t="s">
        <v>37</v>
      </c>
      <c r="F480" s="219" t="s">
        <v>115</v>
      </c>
      <c r="G480" s="28"/>
      <c r="H480" s="226">
        <f>H481</f>
        <v>726.1</v>
      </c>
    </row>
    <row r="481" spans="1:8" ht="36" x14ac:dyDescent="0.35">
      <c r="A481" s="342"/>
      <c r="B481" s="514" t="s">
        <v>55</v>
      </c>
      <c r="C481" s="217" t="s">
        <v>71</v>
      </c>
      <c r="D481" s="218" t="s">
        <v>89</v>
      </c>
      <c r="E481" s="218" t="s">
        <v>37</v>
      </c>
      <c r="F481" s="219" t="s">
        <v>115</v>
      </c>
      <c r="G481" s="28" t="s">
        <v>56</v>
      </c>
      <c r="H481" s="226">
        <f>'прил9 (ведом 23)'!M156</f>
        <v>726.1</v>
      </c>
    </row>
    <row r="482" spans="1:8" ht="18" x14ac:dyDescent="0.35">
      <c r="A482" s="342"/>
      <c r="B482" s="521"/>
      <c r="C482" s="690"/>
      <c r="D482" s="690"/>
      <c r="E482" s="690"/>
      <c r="F482" s="691"/>
      <c r="G482" s="247"/>
      <c r="H482" s="226"/>
    </row>
    <row r="483" spans="1:8" s="352" customFormat="1" ht="52.2" x14ac:dyDescent="0.3">
      <c r="A483" s="357">
        <v>13</v>
      </c>
      <c r="B483" s="526" t="s">
        <v>116</v>
      </c>
      <c r="C483" s="358" t="s">
        <v>88</v>
      </c>
      <c r="D483" s="358" t="s">
        <v>42</v>
      </c>
      <c r="E483" s="358" t="s">
        <v>43</v>
      </c>
      <c r="F483" s="359" t="s">
        <v>44</v>
      </c>
      <c r="G483" s="351"/>
      <c r="H483" s="263">
        <f>H484</f>
        <v>54785.5</v>
      </c>
    </row>
    <row r="484" spans="1:8" s="352" customFormat="1" ht="18" x14ac:dyDescent="0.35">
      <c r="A484" s="342"/>
      <c r="B484" s="514" t="s">
        <v>339</v>
      </c>
      <c r="C484" s="217" t="s">
        <v>88</v>
      </c>
      <c r="D484" s="218" t="s">
        <v>45</v>
      </c>
      <c r="E484" s="218" t="s">
        <v>43</v>
      </c>
      <c r="F484" s="219" t="s">
        <v>44</v>
      </c>
      <c r="G484" s="28"/>
      <c r="H484" s="226">
        <f>H485</f>
        <v>54785.5</v>
      </c>
    </row>
    <row r="485" spans="1:8" s="352" customFormat="1" ht="54" x14ac:dyDescent="0.35">
      <c r="A485" s="342"/>
      <c r="B485" s="529" t="s">
        <v>307</v>
      </c>
      <c r="C485" s="217" t="s">
        <v>88</v>
      </c>
      <c r="D485" s="218" t="s">
        <v>45</v>
      </c>
      <c r="E485" s="218" t="s">
        <v>37</v>
      </c>
      <c r="F485" s="219" t="s">
        <v>44</v>
      </c>
      <c r="G485" s="28"/>
      <c r="H485" s="226">
        <f>H486+H488+H490</f>
        <v>54785.5</v>
      </c>
    </row>
    <row r="486" spans="1:8" s="352" customFormat="1" ht="54" x14ac:dyDescent="0.35">
      <c r="A486" s="342"/>
      <c r="B486" s="529" t="s">
        <v>117</v>
      </c>
      <c r="C486" s="217" t="s">
        <v>88</v>
      </c>
      <c r="D486" s="218" t="s">
        <v>45</v>
      </c>
      <c r="E486" s="218" t="s">
        <v>37</v>
      </c>
      <c r="F486" s="219" t="s">
        <v>118</v>
      </c>
      <c r="G486" s="28"/>
      <c r="H486" s="226">
        <f>H487</f>
        <v>2274.4</v>
      </c>
    </row>
    <row r="487" spans="1:8" ht="36" x14ac:dyDescent="0.35">
      <c r="A487" s="342"/>
      <c r="B487" s="514" t="s">
        <v>55</v>
      </c>
      <c r="C487" s="217" t="s">
        <v>88</v>
      </c>
      <c r="D487" s="218" t="s">
        <v>45</v>
      </c>
      <c r="E487" s="218" t="s">
        <v>37</v>
      </c>
      <c r="F487" s="219" t="s">
        <v>118</v>
      </c>
      <c r="G487" s="28" t="s">
        <v>56</v>
      </c>
      <c r="H487" s="226">
        <f>'прил9 (ведом 23)'!M161</f>
        <v>2274.4</v>
      </c>
    </row>
    <row r="488" spans="1:8" ht="72" x14ac:dyDescent="0.35">
      <c r="A488" s="342"/>
      <c r="B488" s="515" t="s">
        <v>528</v>
      </c>
      <c r="C488" s="217" t="s">
        <v>88</v>
      </c>
      <c r="D488" s="218" t="s">
        <v>45</v>
      </c>
      <c r="E488" s="218" t="s">
        <v>37</v>
      </c>
      <c r="F488" s="219" t="s">
        <v>526</v>
      </c>
      <c r="G488" s="28"/>
      <c r="H488" s="226">
        <f>H489</f>
        <v>15802.7</v>
      </c>
    </row>
    <row r="489" spans="1:8" ht="36" x14ac:dyDescent="0.35">
      <c r="A489" s="342"/>
      <c r="B489" s="515" t="s">
        <v>55</v>
      </c>
      <c r="C489" s="217" t="s">
        <v>88</v>
      </c>
      <c r="D489" s="218" t="s">
        <v>45</v>
      </c>
      <c r="E489" s="218" t="s">
        <v>37</v>
      </c>
      <c r="F489" s="219" t="s">
        <v>526</v>
      </c>
      <c r="G489" s="28" t="s">
        <v>56</v>
      </c>
      <c r="H489" s="226">
        <f>'прил9 (ведом 23)'!M163</f>
        <v>15802.7</v>
      </c>
    </row>
    <row r="490" spans="1:8" ht="54" x14ac:dyDescent="0.35">
      <c r="A490" s="342"/>
      <c r="B490" s="515" t="s">
        <v>589</v>
      </c>
      <c r="C490" s="217" t="s">
        <v>88</v>
      </c>
      <c r="D490" s="218" t="s">
        <v>45</v>
      </c>
      <c r="E490" s="218" t="s">
        <v>37</v>
      </c>
      <c r="F490" s="219" t="s">
        <v>588</v>
      </c>
      <c r="G490" s="28"/>
      <c r="H490" s="226">
        <f>H491</f>
        <v>36708.400000000001</v>
      </c>
    </row>
    <row r="491" spans="1:8" ht="36" x14ac:dyDescent="0.35">
      <c r="A491" s="342"/>
      <c r="B491" s="515" t="s">
        <v>55</v>
      </c>
      <c r="C491" s="217" t="s">
        <v>88</v>
      </c>
      <c r="D491" s="218" t="s">
        <v>45</v>
      </c>
      <c r="E491" s="218" t="s">
        <v>37</v>
      </c>
      <c r="F491" s="219" t="s">
        <v>588</v>
      </c>
      <c r="G491" s="28" t="s">
        <v>56</v>
      </c>
      <c r="H491" s="226">
        <f>'прил9 (ведом 23)'!M165</f>
        <v>36708.400000000001</v>
      </c>
    </row>
    <row r="492" spans="1:8" s="352" customFormat="1" ht="18" x14ac:dyDescent="0.35">
      <c r="A492" s="342"/>
      <c r="B492" s="517"/>
      <c r="C492" s="690"/>
      <c r="D492" s="690"/>
      <c r="E492" s="690"/>
      <c r="F492" s="691"/>
      <c r="G492" s="247"/>
      <c r="H492" s="226"/>
    </row>
    <row r="493" spans="1:8" s="352" customFormat="1" ht="69.599999999999994" x14ac:dyDescent="0.3">
      <c r="A493" s="357">
        <v>14</v>
      </c>
      <c r="B493" s="526" t="s">
        <v>72</v>
      </c>
      <c r="C493" s="358" t="s">
        <v>73</v>
      </c>
      <c r="D493" s="358" t="s">
        <v>42</v>
      </c>
      <c r="E493" s="358" t="s">
        <v>43</v>
      </c>
      <c r="F493" s="359" t="s">
        <v>44</v>
      </c>
      <c r="G493" s="351"/>
      <c r="H493" s="263">
        <f>H494</f>
        <v>4548.4000000000005</v>
      </c>
    </row>
    <row r="494" spans="1:8" ht="30.75" customHeight="1" x14ac:dyDescent="0.35">
      <c r="A494" s="342"/>
      <c r="B494" s="514" t="s">
        <v>339</v>
      </c>
      <c r="C494" s="217" t="s">
        <v>73</v>
      </c>
      <c r="D494" s="218" t="s">
        <v>45</v>
      </c>
      <c r="E494" s="218" t="s">
        <v>43</v>
      </c>
      <c r="F494" s="219" t="s">
        <v>44</v>
      </c>
      <c r="G494" s="28"/>
      <c r="H494" s="226">
        <f>H495</f>
        <v>4548.4000000000005</v>
      </c>
    </row>
    <row r="495" spans="1:8" ht="36" x14ac:dyDescent="0.35">
      <c r="A495" s="342"/>
      <c r="B495" s="530" t="s">
        <v>266</v>
      </c>
      <c r="C495" s="217" t="s">
        <v>73</v>
      </c>
      <c r="D495" s="218" t="s">
        <v>45</v>
      </c>
      <c r="E495" s="218" t="s">
        <v>37</v>
      </c>
      <c r="F495" s="219" t="s">
        <v>44</v>
      </c>
      <c r="G495" s="28"/>
      <c r="H495" s="226">
        <f>H496</f>
        <v>4548.4000000000005</v>
      </c>
    </row>
    <row r="496" spans="1:8" ht="36" x14ac:dyDescent="0.35">
      <c r="A496" s="342"/>
      <c r="B496" s="530" t="s">
        <v>74</v>
      </c>
      <c r="C496" s="217" t="s">
        <v>73</v>
      </c>
      <c r="D496" s="218" t="s">
        <v>45</v>
      </c>
      <c r="E496" s="218" t="s">
        <v>37</v>
      </c>
      <c r="F496" s="219" t="s">
        <v>75</v>
      </c>
      <c r="G496" s="28"/>
      <c r="H496" s="226">
        <f>H497</f>
        <v>4548.4000000000005</v>
      </c>
    </row>
    <row r="497" spans="1:8" ht="49.5" customHeight="1" x14ac:dyDescent="0.35">
      <c r="A497" s="342"/>
      <c r="B497" s="517" t="s">
        <v>76</v>
      </c>
      <c r="C497" s="217" t="s">
        <v>73</v>
      </c>
      <c r="D497" s="218" t="s">
        <v>45</v>
      </c>
      <c r="E497" s="218" t="s">
        <v>37</v>
      </c>
      <c r="F497" s="219" t="s">
        <v>75</v>
      </c>
      <c r="G497" s="28" t="s">
        <v>77</v>
      </c>
      <c r="H497" s="226">
        <f>'прил9 (ведом 23)'!M66+'прил9 (ведом 23)'!M220</f>
        <v>4548.4000000000005</v>
      </c>
    </row>
    <row r="498" spans="1:8" ht="18" x14ac:dyDescent="0.35">
      <c r="A498" s="342"/>
      <c r="B498" s="517"/>
      <c r="C498" s="690"/>
      <c r="D498" s="690"/>
      <c r="E498" s="690"/>
      <c r="F498" s="691"/>
      <c r="G498" s="247"/>
      <c r="H498" s="226"/>
    </row>
    <row r="499" spans="1:8" s="352" customFormat="1" ht="52.2" x14ac:dyDescent="0.3">
      <c r="A499" s="357">
        <v>15</v>
      </c>
      <c r="B499" s="526" t="s">
        <v>40</v>
      </c>
      <c r="C499" s="358" t="s">
        <v>41</v>
      </c>
      <c r="D499" s="358" t="s">
        <v>42</v>
      </c>
      <c r="E499" s="358" t="s">
        <v>43</v>
      </c>
      <c r="F499" s="359" t="s">
        <v>44</v>
      </c>
      <c r="G499" s="351"/>
      <c r="H499" s="263">
        <f>H500</f>
        <v>156295.09400000001</v>
      </c>
    </row>
    <row r="500" spans="1:8" s="352" customFormat="1" ht="18" x14ac:dyDescent="0.35">
      <c r="A500" s="342"/>
      <c r="B500" s="514" t="s">
        <v>339</v>
      </c>
      <c r="C500" s="217" t="s">
        <v>41</v>
      </c>
      <c r="D500" s="218" t="s">
        <v>45</v>
      </c>
      <c r="E500" s="218" t="s">
        <v>43</v>
      </c>
      <c r="F500" s="219" t="s">
        <v>44</v>
      </c>
      <c r="G500" s="28"/>
      <c r="H500" s="226">
        <f>H501+H504+H522+H530+H535+H551+H539+H546</f>
        <v>156295.09400000001</v>
      </c>
    </row>
    <row r="501" spans="1:8" s="352" customFormat="1" ht="36" x14ac:dyDescent="0.35">
      <c r="A501" s="342"/>
      <c r="B501" s="514" t="s">
        <v>46</v>
      </c>
      <c r="C501" s="217" t="s">
        <v>41</v>
      </c>
      <c r="D501" s="218" t="s">
        <v>45</v>
      </c>
      <c r="E501" s="218" t="s">
        <v>37</v>
      </c>
      <c r="F501" s="219" t="s">
        <v>44</v>
      </c>
      <c r="G501" s="28"/>
      <c r="H501" s="226">
        <f>H502</f>
        <v>2536.8000000000002</v>
      </c>
    </row>
    <row r="502" spans="1:8" s="352" customFormat="1" ht="36" x14ac:dyDescent="0.35">
      <c r="A502" s="342"/>
      <c r="B502" s="514" t="s">
        <v>47</v>
      </c>
      <c r="C502" s="217" t="s">
        <v>41</v>
      </c>
      <c r="D502" s="218" t="s">
        <v>45</v>
      </c>
      <c r="E502" s="218" t="s">
        <v>37</v>
      </c>
      <c r="F502" s="219" t="s">
        <v>48</v>
      </c>
      <c r="G502" s="28"/>
      <c r="H502" s="226">
        <f>H503</f>
        <v>2536.8000000000002</v>
      </c>
    </row>
    <row r="503" spans="1:8" s="352" customFormat="1" ht="90" x14ac:dyDescent="0.35">
      <c r="A503" s="342"/>
      <c r="B503" s="514" t="s">
        <v>49</v>
      </c>
      <c r="C503" s="217" t="s">
        <v>41</v>
      </c>
      <c r="D503" s="218" t="s">
        <v>45</v>
      </c>
      <c r="E503" s="218" t="s">
        <v>37</v>
      </c>
      <c r="F503" s="219" t="s">
        <v>48</v>
      </c>
      <c r="G503" s="28" t="s">
        <v>50</v>
      </c>
      <c r="H503" s="226">
        <f>'прил9 (ведом 23)'!M22</f>
        <v>2536.8000000000002</v>
      </c>
    </row>
    <row r="504" spans="1:8" s="352" customFormat="1" ht="36" x14ac:dyDescent="0.35">
      <c r="A504" s="342"/>
      <c r="B504" s="514" t="s">
        <v>54</v>
      </c>
      <c r="C504" s="217" t="s">
        <v>41</v>
      </c>
      <c r="D504" s="218" t="s">
        <v>45</v>
      </c>
      <c r="E504" s="218" t="s">
        <v>39</v>
      </c>
      <c r="F504" s="219" t="s">
        <v>44</v>
      </c>
      <c r="G504" s="28"/>
      <c r="H504" s="226">
        <f>H505+H512+H514+H516+H510+H519</f>
        <v>81340.584000000017</v>
      </c>
    </row>
    <row r="505" spans="1:8" s="352" customFormat="1" ht="36" x14ac:dyDescent="0.35">
      <c r="A505" s="342"/>
      <c r="B505" s="514" t="s">
        <v>47</v>
      </c>
      <c r="C505" s="217" t="s">
        <v>41</v>
      </c>
      <c r="D505" s="218" t="s">
        <v>45</v>
      </c>
      <c r="E505" s="218" t="s">
        <v>39</v>
      </c>
      <c r="F505" s="219" t="s">
        <v>48</v>
      </c>
      <c r="G505" s="28"/>
      <c r="H505" s="226">
        <f>SUM(H506:H509)</f>
        <v>75838.384000000005</v>
      </c>
    </row>
    <row r="506" spans="1:8" s="352" customFormat="1" ht="90" x14ac:dyDescent="0.35">
      <c r="A506" s="342"/>
      <c r="B506" s="514" t="s">
        <v>49</v>
      </c>
      <c r="C506" s="217" t="s">
        <v>41</v>
      </c>
      <c r="D506" s="218" t="s">
        <v>45</v>
      </c>
      <c r="E506" s="218" t="s">
        <v>39</v>
      </c>
      <c r="F506" s="219" t="s">
        <v>48</v>
      </c>
      <c r="G506" s="28" t="s">
        <v>50</v>
      </c>
      <c r="H506" s="226">
        <f>'прил9 (ведом 23)'!M28</f>
        <v>74662.112640000007</v>
      </c>
    </row>
    <row r="507" spans="1:8" ht="36" x14ac:dyDescent="0.35">
      <c r="A507" s="342"/>
      <c r="B507" s="514" t="s">
        <v>55</v>
      </c>
      <c r="C507" s="217" t="s">
        <v>41</v>
      </c>
      <c r="D507" s="218" t="s">
        <v>45</v>
      </c>
      <c r="E507" s="218" t="s">
        <v>39</v>
      </c>
      <c r="F507" s="219" t="s">
        <v>48</v>
      </c>
      <c r="G507" s="28" t="s">
        <v>56</v>
      </c>
      <c r="H507" s="226">
        <f>'прил9 (ведом 23)'!M29</f>
        <v>1095.0839999999998</v>
      </c>
    </row>
    <row r="508" spans="1:8" ht="18" x14ac:dyDescent="0.35">
      <c r="A508" s="342"/>
      <c r="B508" s="525" t="s">
        <v>120</v>
      </c>
      <c r="C508" s="696" t="s">
        <v>41</v>
      </c>
      <c r="D508" s="697" t="s">
        <v>45</v>
      </c>
      <c r="E508" s="697" t="s">
        <v>39</v>
      </c>
      <c r="F508" s="698" t="s">
        <v>48</v>
      </c>
      <c r="G508" s="10" t="s">
        <v>121</v>
      </c>
      <c r="H508" s="226">
        <f>'прил9 (ведом 23)'!M30</f>
        <v>9.68736</v>
      </c>
    </row>
    <row r="509" spans="1:8" s="352" customFormat="1" ht="18" x14ac:dyDescent="0.35">
      <c r="A509" s="342"/>
      <c r="B509" s="514" t="s">
        <v>57</v>
      </c>
      <c r="C509" s="217" t="s">
        <v>41</v>
      </c>
      <c r="D509" s="218" t="s">
        <v>45</v>
      </c>
      <c r="E509" s="218" t="s">
        <v>39</v>
      </c>
      <c r="F509" s="219" t="s">
        <v>48</v>
      </c>
      <c r="G509" s="28" t="s">
        <v>58</v>
      </c>
      <c r="H509" s="226">
        <f>'прил9 (ведом 23)'!M31</f>
        <v>71.5</v>
      </c>
    </row>
    <row r="510" spans="1:8" s="352" customFormat="1" ht="72" x14ac:dyDescent="0.35">
      <c r="A510" s="342"/>
      <c r="B510" s="515" t="s">
        <v>386</v>
      </c>
      <c r="C510" s="217" t="s">
        <v>41</v>
      </c>
      <c r="D510" s="218" t="s">
        <v>45</v>
      </c>
      <c r="E510" s="218" t="s">
        <v>39</v>
      </c>
      <c r="F510" s="219" t="s">
        <v>385</v>
      </c>
      <c r="G510" s="28"/>
      <c r="H510" s="226">
        <f>H511</f>
        <v>19.8</v>
      </c>
    </row>
    <row r="511" spans="1:8" s="352" customFormat="1" ht="36" x14ac:dyDescent="0.35">
      <c r="A511" s="342"/>
      <c r="B511" s="515" t="s">
        <v>55</v>
      </c>
      <c r="C511" s="217" t="s">
        <v>41</v>
      </c>
      <c r="D511" s="218" t="s">
        <v>45</v>
      </c>
      <c r="E511" s="218" t="s">
        <v>39</v>
      </c>
      <c r="F511" s="219" t="s">
        <v>385</v>
      </c>
      <c r="G511" s="28" t="s">
        <v>56</v>
      </c>
      <c r="H511" s="226">
        <f>'прил9 (ведом 23)'!M50</f>
        <v>19.8</v>
      </c>
    </row>
    <row r="512" spans="1:8" ht="72" x14ac:dyDescent="0.35">
      <c r="A512" s="342"/>
      <c r="B512" s="514" t="s">
        <v>445</v>
      </c>
      <c r="C512" s="217" t="s">
        <v>41</v>
      </c>
      <c r="D512" s="218" t="s">
        <v>45</v>
      </c>
      <c r="E512" s="218" t="s">
        <v>39</v>
      </c>
      <c r="F512" s="219" t="s">
        <v>265</v>
      </c>
      <c r="G512" s="28"/>
      <c r="H512" s="226">
        <f>H513</f>
        <v>63</v>
      </c>
    </row>
    <row r="513" spans="1:8" ht="36" x14ac:dyDescent="0.35">
      <c r="A513" s="342"/>
      <c r="B513" s="514" t="s">
        <v>55</v>
      </c>
      <c r="C513" s="217" t="s">
        <v>41</v>
      </c>
      <c r="D513" s="218" t="s">
        <v>45</v>
      </c>
      <c r="E513" s="218" t="s">
        <v>39</v>
      </c>
      <c r="F513" s="219" t="s">
        <v>265</v>
      </c>
      <c r="G513" s="28" t="s">
        <v>56</v>
      </c>
      <c r="H513" s="226">
        <f>'прил9 (ведом 23)'!M33</f>
        <v>63</v>
      </c>
    </row>
    <row r="514" spans="1:8" ht="173.25" customHeight="1" x14ac:dyDescent="0.35">
      <c r="A514" s="342"/>
      <c r="B514" s="550" t="s">
        <v>453</v>
      </c>
      <c r="C514" s="217" t="s">
        <v>41</v>
      </c>
      <c r="D514" s="218" t="s">
        <v>45</v>
      </c>
      <c r="E514" s="218" t="s">
        <v>39</v>
      </c>
      <c r="F514" s="219" t="s">
        <v>59</v>
      </c>
      <c r="G514" s="28"/>
      <c r="H514" s="226">
        <f>H515</f>
        <v>729.8</v>
      </c>
    </row>
    <row r="515" spans="1:8" ht="90" x14ac:dyDescent="0.35">
      <c r="A515" s="342"/>
      <c r="B515" s="515" t="s">
        <v>49</v>
      </c>
      <c r="C515" s="217" t="s">
        <v>41</v>
      </c>
      <c r="D515" s="218" t="s">
        <v>45</v>
      </c>
      <c r="E515" s="218" t="s">
        <v>39</v>
      </c>
      <c r="F515" s="219" t="s">
        <v>59</v>
      </c>
      <c r="G515" s="28" t="s">
        <v>50</v>
      </c>
      <c r="H515" s="226">
        <f>'прил9 (ведом 23)'!M35</f>
        <v>729.8</v>
      </c>
    </row>
    <row r="516" spans="1:8" ht="54" x14ac:dyDescent="0.35">
      <c r="A516" s="342"/>
      <c r="B516" s="515" t="s">
        <v>409</v>
      </c>
      <c r="C516" s="217" t="s">
        <v>41</v>
      </c>
      <c r="D516" s="218" t="s">
        <v>45</v>
      </c>
      <c r="E516" s="218" t="s">
        <v>39</v>
      </c>
      <c r="F516" s="219" t="s">
        <v>61</v>
      </c>
      <c r="G516" s="28"/>
      <c r="H516" s="226">
        <f>H517+H518</f>
        <v>730</v>
      </c>
    </row>
    <row r="517" spans="1:8" ht="90" x14ac:dyDescent="0.35">
      <c r="A517" s="342"/>
      <c r="B517" s="515" t="s">
        <v>49</v>
      </c>
      <c r="C517" s="217" t="s">
        <v>41</v>
      </c>
      <c r="D517" s="218" t="s">
        <v>45</v>
      </c>
      <c r="E517" s="218" t="s">
        <v>39</v>
      </c>
      <c r="F517" s="219" t="s">
        <v>61</v>
      </c>
      <c r="G517" s="28" t="s">
        <v>50</v>
      </c>
      <c r="H517" s="226">
        <f>'прил9 (ведом 23)'!M37</f>
        <v>725.8</v>
      </c>
    </row>
    <row r="518" spans="1:8" ht="36" x14ac:dyDescent="0.35">
      <c r="A518" s="342"/>
      <c r="B518" s="515" t="s">
        <v>55</v>
      </c>
      <c r="C518" s="217" t="s">
        <v>41</v>
      </c>
      <c r="D518" s="218" t="s">
        <v>45</v>
      </c>
      <c r="E518" s="218" t="s">
        <v>39</v>
      </c>
      <c r="F518" s="219" t="s">
        <v>61</v>
      </c>
      <c r="G518" s="28" t="s">
        <v>56</v>
      </c>
      <c r="H518" s="226">
        <f>'прил9 (ведом 23)'!M38</f>
        <v>4.2</v>
      </c>
    </row>
    <row r="519" spans="1:8" ht="72" x14ac:dyDescent="0.35">
      <c r="A519" s="342"/>
      <c r="B519" s="514" t="s">
        <v>60</v>
      </c>
      <c r="C519" s="217" t="s">
        <v>41</v>
      </c>
      <c r="D519" s="218" t="s">
        <v>45</v>
      </c>
      <c r="E519" s="218" t="s">
        <v>39</v>
      </c>
      <c r="F519" s="219" t="s">
        <v>541</v>
      </c>
      <c r="G519" s="28"/>
      <c r="H519" s="226">
        <f>H520+H521</f>
        <v>3959.6</v>
      </c>
    </row>
    <row r="520" spans="1:8" ht="90" x14ac:dyDescent="0.35">
      <c r="A520" s="342"/>
      <c r="B520" s="514" t="s">
        <v>49</v>
      </c>
      <c r="C520" s="217" t="s">
        <v>41</v>
      </c>
      <c r="D520" s="218" t="s">
        <v>45</v>
      </c>
      <c r="E520" s="218" t="s">
        <v>39</v>
      </c>
      <c r="F520" s="219" t="s">
        <v>541</v>
      </c>
      <c r="G520" s="28" t="s">
        <v>50</v>
      </c>
      <c r="H520" s="226">
        <f>'прил9 (ведом 23)'!M40</f>
        <v>3895.2</v>
      </c>
    </row>
    <row r="521" spans="1:8" ht="36" x14ac:dyDescent="0.35">
      <c r="A521" s="342"/>
      <c r="B521" s="515" t="s">
        <v>55</v>
      </c>
      <c r="C521" s="217" t="s">
        <v>41</v>
      </c>
      <c r="D521" s="218" t="s">
        <v>45</v>
      </c>
      <c r="E521" s="218" t="s">
        <v>39</v>
      </c>
      <c r="F521" s="219" t="s">
        <v>541</v>
      </c>
      <c r="G521" s="28" t="s">
        <v>56</v>
      </c>
      <c r="H521" s="226">
        <f>'прил9 (ведом 23)'!M41</f>
        <v>64.400000000000006</v>
      </c>
    </row>
    <row r="522" spans="1:8" ht="18" x14ac:dyDescent="0.35">
      <c r="A522" s="342"/>
      <c r="B522" s="514" t="s">
        <v>62</v>
      </c>
      <c r="C522" s="217" t="s">
        <v>41</v>
      </c>
      <c r="D522" s="218" t="s">
        <v>45</v>
      </c>
      <c r="E522" s="218" t="s">
        <v>63</v>
      </c>
      <c r="F522" s="219" t="s">
        <v>44</v>
      </c>
      <c r="G522" s="28"/>
      <c r="H522" s="226">
        <f>H523+H525+H527</f>
        <v>6561.7999999999993</v>
      </c>
    </row>
    <row r="523" spans="1:8" ht="36" x14ac:dyDescent="0.35">
      <c r="A523" s="342"/>
      <c r="B523" s="514" t="s">
        <v>47</v>
      </c>
      <c r="C523" s="217" t="s">
        <v>41</v>
      </c>
      <c r="D523" s="218" t="s">
        <v>45</v>
      </c>
      <c r="E523" s="218" t="s">
        <v>63</v>
      </c>
      <c r="F523" s="219" t="s">
        <v>48</v>
      </c>
      <c r="G523" s="28"/>
      <c r="H523" s="226">
        <f>H524</f>
        <v>4.5</v>
      </c>
    </row>
    <row r="524" spans="1:8" ht="36" x14ac:dyDescent="0.35">
      <c r="A524" s="342"/>
      <c r="B524" s="514" t="s">
        <v>55</v>
      </c>
      <c r="C524" s="217" t="s">
        <v>41</v>
      </c>
      <c r="D524" s="218" t="s">
        <v>45</v>
      </c>
      <c r="E524" s="218" t="s">
        <v>63</v>
      </c>
      <c r="F524" s="219" t="s">
        <v>48</v>
      </c>
      <c r="G524" s="28" t="s">
        <v>56</v>
      </c>
      <c r="H524" s="226">
        <f>'прил9 (ведом 23)'!M44</f>
        <v>4.5</v>
      </c>
    </row>
    <row r="525" spans="1:8" ht="36" x14ac:dyDescent="0.35">
      <c r="A525" s="342"/>
      <c r="B525" s="515" t="s">
        <v>534</v>
      </c>
      <c r="C525" s="217" t="s">
        <v>41</v>
      </c>
      <c r="D525" s="218" t="s">
        <v>45</v>
      </c>
      <c r="E525" s="218" t="s">
        <v>63</v>
      </c>
      <c r="F525" s="219" t="s">
        <v>533</v>
      </c>
      <c r="G525" s="28"/>
      <c r="H525" s="226">
        <f>H526</f>
        <v>130.9</v>
      </c>
    </row>
    <row r="526" spans="1:8" ht="36" x14ac:dyDescent="0.35">
      <c r="A526" s="342"/>
      <c r="B526" s="515" t="s">
        <v>55</v>
      </c>
      <c r="C526" s="217" t="s">
        <v>41</v>
      </c>
      <c r="D526" s="218" t="s">
        <v>45</v>
      </c>
      <c r="E526" s="218" t="s">
        <v>63</v>
      </c>
      <c r="F526" s="219" t="s">
        <v>533</v>
      </c>
      <c r="G526" s="28" t="s">
        <v>56</v>
      </c>
      <c r="H526" s="226">
        <f>'прил9 (ведом 23)'!M201</f>
        <v>130.9</v>
      </c>
    </row>
    <row r="527" spans="1:8" ht="54" x14ac:dyDescent="0.35">
      <c r="A527" s="342"/>
      <c r="B527" s="515" t="s">
        <v>380</v>
      </c>
      <c r="C527" s="217" t="s">
        <v>41</v>
      </c>
      <c r="D527" s="218" t="s">
        <v>45</v>
      </c>
      <c r="E527" s="218" t="s">
        <v>63</v>
      </c>
      <c r="F527" s="219" t="s">
        <v>379</v>
      </c>
      <c r="G527" s="28"/>
      <c r="H527" s="226">
        <f>H528+H529</f>
        <v>6426.4</v>
      </c>
    </row>
    <row r="528" spans="1:8" ht="36" x14ac:dyDescent="0.35">
      <c r="A528" s="342"/>
      <c r="B528" s="515" t="s">
        <v>55</v>
      </c>
      <c r="C528" s="217" t="s">
        <v>41</v>
      </c>
      <c r="D528" s="218" t="s">
        <v>45</v>
      </c>
      <c r="E528" s="218" t="s">
        <v>63</v>
      </c>
      <c r="F528" s="219" t="s">
        <v>379</v>
      </c>
      <c r="G528" s="28" t="s">
        <v>56</v>
      </c>
      <c r="H528" s="226">
        <f>'прил9 (ведом 23)'!M71</f>
        <v>6200.0999999999995</v>
      </c>
    </row>
    <row r="529" spans="1:8" ht="18" x14ac:dyDescent="0.35">
      <c r="A529" s="342"/>
      <c r="B529" s="515" t="s">
        <v>57</v>
      </c>
      <c r="C529" s="217" t="s">
        <v>41</v>
      </c>
      <c r="D529" s="218" t="s">
        <v>45</v>
      </c>
      <c r="E529" s="218" t="s">
        <v>63</v>
      </c>
      <c r="F529" s="219" t="s">
        <v>379</v>
      </c>
      <c r="G529" s="28" t="s">
        <v>58</v>
      </c>
      <c r="H529" s="226">
        <f>'прил9 (ведом 23)'!M72</f>
        <v>226.3</v>
      </c>
    </row>
    <row r="530" spans="1:8" ht="18" x14ac:dyDescent="0.35">
      <c r="A530" s="342"/>
      <c r="B530" s="514" t="s">
        <v>64</v>
      </c>
      <c r="C530" s="217" t="s">
        <v>41</v>
      </c>
      <c r="D530" s="218" t="s">
        <v>45</v>
      </c>
      <c r="E530" s="218" t="s">
        <v>52</v>
      </c>
      <c r="F530" s="219" t="s">
        <v>44</v>
      </c>
      <c r="G530" s="28"/>
      <c r="H530" s="226">
        <f>H531+H533</f>
        <v>6328.7</v>
      </c>
    </row>
    <row r="531" spans="1:8" ht="54" x14ac:dyDescent="0.35">
      <c r="A531" s="342"/>
      <c r="B531" s="529" t="s">
        <v>352</v>
      </c>
      <c r="C531" s="217" t="s">
        <v>41</v>
      </c>
      <c r="D531" s="218" t="s">
        <v>45</v>
      </c>
      <c r="E531" s="218" t="s">
        <v>52</v>
      </c>
      <c r="F531" s="219" t="s">
        <v>105</v>
      </c>
      <c r="G531" s="28"/>
      <c r="H531" s="226">
        <f>H532</f>
        <v>3239.7</v>
      </c>
    </row>
    <row r="532" spans="1:8" ht="36" x14ac:dyDescent="0.35">
      <c r="A532" s="342"/>
      <c r="B532" s="514" t="s">
        <v>55</v>
      </c>
      <c r="C532" s="217" t="s">
        <v>41</v>
      </c>
      <c r="D532" s="218" t="s">
        <v>45</v>
      </c>
      <c r="E532" s="218" t="s">
        <v>52</v>
      </c>
      <c r="F532" s="219" t="s">
        <v>105</v>
      </c>
      <c r="G532" s="28" t="s">
        <v>56</v>
      </c>
      <c r="H532" s="226">
        <f>'прил9 (ведом 23)'!M75</f>
        <v>3239.7</v>
      </c>
    </row>
    <row r="533" spans="1:8" ht="54" x14ac:dyDescent="0.35">
      <c r="A533" s="342"/>
      <c r="B533" s="514" t="s">
        <v>354</v>
      </c>
      <c r="C533" s="217" t="s">
        <v>41</v>
      </c>
      <c r="D533" s="218" t="s">
        <v>45</v>
      </c>
      <c r="E533" s="218" t="s">
        <v>52</v>
      </c>
      <c r="F533" s="219" t="s">
        <v>353</v>
      </c>
      <c r="G533" s="28"/>
      <c r="H533" s="226">
        <f>H534</f>
        <v>3089</v>
      </c>
    </row>
    <row r="534" spans="1:8" ht="36" x14ac:dyDescent="0.35">
      <c r="A534" s="342"/>
      <c r="B534" s="514" t="s">
        <v>55</v>
      </c>
      <c r="C534" s="217" t="s">
        <v>41</v>
      </c>
      <c r="D534" s="218" t="s">
        <v>45</v>
      </c>
      <c r="E534" s="218" t="s">
        <v>52</v>
      </c>
      <c r="F534" s="219" t="s">
        <v>353</v>
      </c>
      <c r="G534" s="28" t="s">
        <v>56</v>
      </c>
      <c r="H534" s="226">
        <f>'прил9 (ведом 23)'!M77</f>
        <v>3089</v>
      </c>
    </row>
    <row r="535" spans="1:8" ht="72" x14ac:dyDescent="0.35">
      <c r="A535" s="367"/>
      <c r="B535" s="537" t="s">
        <v>299</v>
      </c>
      <c r="C535" s="360" t="s">
        <v>41</v>
      </c>
      <c r="D535" s="368" t="s">
        <v>45</v>
      </c>
      <c r="E535" s="368" t="s">
        <v>81</v>
      </c>
      <c r="F535" s="378" t="s">
        <v>44</v>
      </c>
      <c r="G535" s="379"/>
      <c r="H535" s="226">
        <f>H536</f>
        <v>6227.4000000000005</v>
      </c>
    </row>
    <row r="536" spans="1:8" ht="36" x14ac:dyDescent="0.35">
      <c r="A536" s="367"/>
      <c r="B536" s="514" t="s">
        <v>466</v>
      </c>
      <c r="C536" s="360" t="s">
        <v>41</v>
      </c>
      <c r="D536" s="368" t="s">
        <v>45</v>
      </c>
      <c r="E536" s="368" t="s">
        <v>81</v>
      </c>
      <c r="F536" s="378" t="s">
        <v>91</v>
      </c>
      <c r="G536" s="379"/>
      <c r="H536" s="226">
        <f>SUM(H537:H538)</f>
        <v>6227.4000000000005</v>
      </c>
    </row>
    <row r="537" spans="1:8" ht="90" x14ac:dyDescent="0.35">
      <c r="A537" s="367"/>
      <c r="B537" s="537" t="s">
        <v>49</v>
      </c>
      <c r="C537" s="360" t="s">
        <v>41</v>
      </c>
      <c r="D537" s="368" t="s">
        <v>45</v>
      </c>
      <c r="E537" s="368" t="s">
        <v>81</v>
      </c>
      <c r="F537" s="378" t="s">
        <v>91</v>
      </c>
      <c r="G537" s="379" t="s">
        <v>50</v>
      </c>
      <c r="H537" s="226">
        <f>'прил9 (ведом 23)'!M361</f>
        <v>5728.3</v>
      </c>
    </row>
    <row r="538" spans="1:8" ht="36" x14ac:dyDescent="0.35">
      <c r="A538" s="367"/>
      <c r="B538" s="514" t="s">
        <v>55</v>
      </c>
      <c r="C538" s="360" t="s">
        <v>41</v>
      </c>
      <c r="D538" s="368" t="s">
        <v>45</v>
      </c>
      <c r="E538" s="368" t="s">
        <v>81</v>
      </c>
      <c r="F538" s="378" t="s">
        <v>91</v>
      </c>
      <c r="G538" s="379" t="s">
        <v>56</v>
      </c>
      <c r="H538" s="226">
        <f>'прил9 (ведом 23)'!M362</f>
        <v>499.09999999999997</v>
      </c>
    </row>
    <row r="539" spans="1:8" ht="36" x14ac:dyDescent="0.35">
      <c r="A539" s="367"/>
      <c r="B539" s="518" t="s">
        <v>331</v>
      </c>
      <c r="C539" s="696" t="s">
        <v>41</v>
      </c>
      <c r="D539" s="697" t="s">
        <v>45</v>
      </c>
      <c r="E539" s="697" t="s">
        <v>88</v>
      </c>
      <c r="F539" s="698" t="s">
        <v>44</v>
      </c>
      <c r="G539" s="379"/>
      <c r="H539" s="226">
        <f>H540+H542+H544</f>
        <v>12114.7</v>
      </c>
    </row>
    <row r="540" spans="1:8" ht="36" x14ac:dyDescent="0.35">
      <c r="A540" s="367"/>
      <c r="B540" s="515" t="s">
        <v>567</v>
      </c>
      <c r="C540" s="217" t="s">
        <v>41</v>
      </c>
      <c r="D540" s="218" t="s">
        <v>45</v>
      </c>
      <c r="E540" s="218" t="s">
        <v>88</v>
      </c>
      <c r="F540" s="219" t="s">
        <v>568</v>
      </c>
      <c r="G540" s="28"/>
      <c r="H540" s="226">
        <f>H541</f>
        <v>471.7</v>
      </c>
    </row>
    <row r="541" spans="1:8" ht="36" x14ac:dyDescent="0.35">
      <c r="A541" s="367"/>
      <c r="B541" s="515" t="s">
        <v>55</v>
      </c>
      <c r="C541" s="217" t="s">
        <v>41</v>
      </c>
      <c r="D541" s="218" t="s">
        <v>45</v>
      </c>
      <c r="E541" s="218" t="s">
        <v>88</v>
      </c>
      <c r="F541" s="219" t="s">
        <v>568</v>
      </c>
      <c r="G541" s="28" t="s">
        <v>56</v>
      </c>
      <c r="H541" s="226">
        <f>'прил9 (ведом 23)'!M170</f>
        <v>471.7</v>
      </c>
    </row>
    <row r="542" spans="1:8" ht="36" x14ac:dyDescent="0.35">
      <c r="A542" s="367"/>
      <c r="B542" s="515" t="s">
        <v>540</v>
      </c>
      <c r="C542" s="217" t="s">
        <v>41</v>
      </c>
      <c r="D542" s="218" t="s">
        <v>45</v>
      </c>
      <c r="E542" s="218" t="s">
        <v>88</v>
      </c>
      <c r="F542" s="219" t="s">
        <v>539</v>
      </c>
      <c r="G542" s="28"/>
      <c r="H542" s="226">
        <f>H543</f>
        <v>1743</v>
      </c>
    </row>
    <row r="543" spans="1:8" ht="36" x14ac:dyDescent="0.35">
      <c r="A543" s="367"/>
      <c r="B543" s="515" t="s">
        <v>55</v>
      </c>
      <c r="C543" s="217" t="s">
        <v>41</v>
      </c>
      <c r="D543" s="218" t="s">
        <v>45</v>
      </c>
      <c r="E543" s="218" t="s">
        <v>88</v>
      </c>
      <c r="F543" s="219" t="s">
        <v>539</v>
      </c>
      <c r="G543" s="28" t="s">
        <v>56</v>
      </c>
      <c r="H543" s="226">
        <f>'прил9 (ведом 23)'!M172</f>
        <v>1743</v>
      </c>
    </row>
    <row r="544" spans="1:8" ht="54" x14ac:dyDescent="0.35">
      <c r="A544" s="367"/>
      <c r="B544" s="518" t="s">
        <v>727</v>
      </c>
      <c r="C544" s="696" t="s">
        <v>41</v>
      </c>
      <c r="D544" s="697" t="s">
        <v>45</v>
      </c>
      <c r="E544" s="697" t="s">
        <v>88</v>
      </c>
      <c r="F544" s="698" t="s">
        <v>726</v>
      </c>
      <c r="G544" s="10"/>
      <c r="H544" s="226">
        <f>H545</f>
        <v>9900</v>
      </c>
    </row>
    <row r="545" spans="1:8" ht="36" x14ac:dyDescent="0.35">
      <c r="A545" s="367"/>
      <c r="B545" s="518" t="s">
        <v>55</v>
      </c>
      <c r="C545" s="696" t="s">
        <v>41</v>
      </c>
      <c r="D545" s="697" t="s">
        <v>45</v>
      </c>
      <c r="E545" s="697" t="s">
        <v>88</v>
      </c>
      <c r="F545" s="698" t="s">
        <v>726</v>
      </c>
      <c r="G545" s="10" t="s">
        <v>56</v>
      </c>
      <c r="H545" s="226">
        <f>'прил9 (ведом 23)'!M174</f>
        <v>9900</v>
      </c>
    </row>
    <row r="546" spans="1:8" ht="18" x14ac:dyDescent="0.35">
      <c r="A546" s="367"/>
      <c r="B546" s="601" t="s">
        <v>374</v>
      </c>
      <c r="C546" s="696" t="s">
        <v>41</v>
      </c>
      <c r="D546" s="697" t="s">
        <v>45</v>
      </c>
      <c r="E546" s="697" t="s">
        <v>674</v>
      </c>
      <c r="F546" s="698" t="s">
        <v>44</v>
      </c>
      <c r="G546" s="28"/>
      <c r="H546" s="226">
        <f>H549+H547</f>
        <v>2627.3</v>
      </c>
    </row>
    <row r="547" spans="1:8" ht="18" x14ac:dyDescent="0.35">
      <c r="A547" s="367"/>
      <c r="B547" s="601" t="s">
        <v>372</v>
      </c>
      <c r="C547" s="696" t="s">
        <v>41</v>
      </c>
      <c r="D547" s="697" t="s">
        <v>45</v>
      </c>
      <c r="E547" s="697" t="s">
        <v>674</v>
      </c>
      <c r="F547" s="698" t="s">
        <v>371</v>
      </c>
      <c r="G547" s="10"/>
      <c r="H547" s="226">
        <f>H548</f>
        <v>1117</v>
      </c>
    </row>
    <row r="548" spans="1:8" ht="36" x14ac:dyDescent="0.35">
      <c r="A548" s="367"/>
      <c r="B548" s="601" t="s">
        <v>55</v>
      </c>
      <c r="C548" s="696" t="s">
        <v>41</v>
      </c>
      <c r="D548" s="697" t="s">
        <v>45</v>
      </c>
      <c r="E548" s="697" t="s">
        <v>674</v>
      </c>
      <c r="F548" s="698" t="s">
        <v>371</v>
      </c>
      <c r="G548" s="10" t="s">
        <v>56</v>
      </c>
      <c r="H548" s="226">
        <f>'прил9 (ведом 23)'!M177</f>
        <v>1117</v>
      </c>
    </row>
    <row r="549" spans="1:8" ht="36" x14ac:dyDescent="0.35">
      <c r="A549" s="367"/>
      <c r="B549" s="601" t="s">
        <v>337</v>
      </c>
      <c r="C549" s="696" t="s">
        <v>41</v>
      </c>
      <c r="D549" s="697" t="s">
        <v>45</v>
      </c>
      <c r="E549" s="697" t="s">
        <v>674</v>
      </c>
      <c r="F549" s="698" t="s">
        <v>336</v>
      </c>
      <c r="G549" s="28"/>
      <c r="H549" s="226">
        <f>H550</f>
        <v>1510.3</v>
      </c>
    </row>
    <row r="550" spans="1:8" ht="18" x14ac:dyDescent="0.35">
      <c r="A550" s="367"/>
      <c r="B550" s="518" t="s">
        <v>57</v>
      </c>
      <c r="C550" s="696" t="s">
        <v>41</v>
      </c>
      <c r="D550" s="697" t="s">
        <v>45</v>
      </c>
      <c r="E550" s="697" t="s">
        <v>674</v>
      </c>
      <c r="F550" s="698" t="s">
        <v>336</v>
      </c>
      <c r="G550" s="28" t="s">
        <v>58</v>
      </c>
      <c r="H550" s="226">
        <f>'прил9 (ведом 23)'!M80</f>
        <v>1510.3</v>
      </c>
    </row>
    <row r="551" spans="1:8" ht="90" x14ac:dyDescent="0.35">
      <c r="A551" s="367"/>
      <c r="B551" s="518" t="s">
        <v>603</v>
      </c>
      <c r="C551" s="696" t="s">
        <v>41</v>
      </c>
      <c r="D551" s="697" t="s">
        <v>45</v>
      </c>
      <c r="E551" s="697" t="s">
        <v>592</v>
      </c>
      <c r="F551" s="698" t="s">
        <v>44</v>
      </c>
      <c r="G551" s="10"/>
      <c r="H551" s="226">
        <f>H552+H556</f>
        <v>38557.810000000005</v>
      </c>
    </row>
    <row r="552" spans="1:8" ht="36" x14ac:dyDescent="0.35">
      <c r="A552" s="367"/>
      <c r="B552" s="551" t="s">
        <v>466</v>
      </c>
      <c r="C552" s="696" t="s">
        <v>41</v>
      </c>
      <c r="D552" s="697" t="s">
        <v>45</v>
      </c>
      <c r="E552" s="697" t="s">
        <v>592</v>
      </c>
      <c r="F552" s="698" t="s">
        <v>91</v>
      </c>
      <c r="G552" s="10"/>
      <c r="H552" s="226">
        <f>SUM(H553:H555)</f>
        <v>36927.51</v>
      </c>
    </row>
    <row r="553" spans="1:8" ht="90" x14ac:dyDescent="0.35">
      <c r="A553" s="367"/>
      <c r="B553" s="518" t="s">
        <v>49</v>
      </c>
      <c r="C553" s="696" t="s">
        <v>41</v>
      </c>
      <c r="D553" s="697" t="s">
        <v>45</v>
      </c>
      <c r="E553" s="697" t="s">
        <v>592</v>
      </c>
      <c r="F553" s="698" t="s">
        <v>91</v>
      </c>
      <c r="G553" s="10" t="s">
        <v>50</v>
      </c>
      <c r="H553" s="226">
        <f>'прил9 (ведом 23)'!M83</f>
        <v>27614.1</v>
      </c>
    </row>
    <row r="554" spans="1:8" ht="36" x14ac:dyDescent="0.35">
      <c r="A554" s="367"/>
      <c r="B554" s="518" t="s">
        <v>55</v>
      </c>
      <c r="C554" s="696" t="s">
        <v>41</v>
      </c>
      <c r="D554" s="697" t="s">
        <v>45</v>
      </c>
      <c r="E554" s="697" t="s">
        <v>592</v>
      </c>
      <c r="F554" s="698" t="s">
        <v>91</v>
      </c>
      <c r="G554" s="10" t="s">
        <v>56</v>
      </c>
      <c r="H554" s="226">
        <f>'прил9 (ведом 23)'!M84</f>
        <v>9251.11</v>
      </c>
    </row>
    <row r="555" spans="1:8" ht="18" x14ac:dyDescent="0.35">
      <c r="A555" s="367"/>
      <c r="B555" s="518" t="s">
        <v>57</v>
      </c>
      <c r="C555" s="696" t="s">
        <v>41</v>
      </c>
      <c r="D555" s="697" t="s">
        <v>45</v>
      </c>
      <c r="E555" s="697" t="s">
        <v>592</v>
      </c>
      <c r="F555" s="698" t="s">
        <v>91</v>
      </c>
      <c r="G555" s="10" t="s">
        <v>58</v>
      </c>
      <c r="H555" s="226">
        <f>'прил9 (ведом 23)'!M85</f>
        <v>62.3</v>
      </c>
    </row>
    <row r="556" spans="1:8" ht="18" x14ac:dyDescent="0.35">
      <c r="A556" s="367"/>
      <c r="B556" s="518" t="s">
        <v>467</v>
      </c>
      <c r="C556" s="696" t="s">
        <v>41</v>
      </c>
      <c r="D556" s="697" t="s">
        <v>45</v>
      </c>
      <c r="E556" s="697" t="s">
        <v>592</v>
      </c>
      <c r="F556" s="698" t="s">
        <v>381</v>
      </c>
      <c r="G556" s="10"/>
      <c r="H556" s="226">
        <f>H557</f>
        <v>1630.3</v>
      </c>
    </row>
    <row r="557" spans="1:8" ht="36" x14ac:dyDescent="0.35">
      <c r="A557" s="367"/>
      <c r="B557" s="518" t="s">
        <v>55</v>
      </c>
      <c r="C557" s="696" t="s">
        <v>41</v>
      </c>
      <c r="D557" s="697" t="s">
        <v>45</v>
      </c>
      <c r="E557" s="697" t="s">
        <v>592</v>
      </c>
      <c r="F557" s="698" t="s">
        <v>381</v>
      </c>
      <c r="G557" s="10" t="s">
        <v>56</v>
      </c>
      <c r="H557" s="226">
        <f>'прил9 (ведом 23)'!M87</f>
        <v>1630.3</v>
      </c>
    </row>
    <row r="558" spans="1:8" ht="18" x14ac:dyDescent="0.35">
      <c r="A558" s="367"/>
      <c r="B558" s="514"/>
      <c r="C558" s="218"/>
      <c r="D558" s="218"/>
      <c r="E558" s="218"/>
      <c r="F558" s="219"/>
      <c r="G558" s="28"/>
      <c r="H558" s="226"/>
    </row>
    <row r="559" spans="1:8" ht="52.2" x14ac:dyDescent="0.3">
      <c r="A559" s="357">
        <v>16</v>
      </c>
      <c r="B559" s="536" t="s">
        <v>233</v>
      </c>
      <c r="C559" s="358" t="s">
        <v>234</v>
      </c>
      <c r="D559" s="358" t="s">
        <v>42</v>
      </c>
      <c r="E559" s="358" t="s">
        <v>43</v>
      </c>
      <c r="F559" s="359" t="s">
        <v>44</v>
      </c>
      <c r="G559" s="351"/>
      <c r="H559" s="263">
        <f>H560</f>
        <v>53.4</v>
      </c>
    </row>
    <row r="560" spans="1:8" ht="18" x14ac:dyDescent="0.35">
      <c r="A560" s="342"/>
      <c r="B560" s="514" t="s">
        <v>339</v>
      </c>
      <c r="C560" s="217" t="s">
        <v>234</v>
      </c>
      <c r="D560" s="218" t="s">
        <v>45</v>
      </c>
      <c r="E560" s="218" t="s">
        <v>43</v>
      </c>
      <c r="F560" s="219" t="s">
        <v>44</v>
      </c>
      <c r="G560" s="28"/>
      <c r="H560" s="226">
        <f>H561</f>
        <v>53.4</v>
      </c>
    </row>
    <row r="561" spans="1:8" ht="126" x14ac:dyDescent="0.35">
      <c r="A561" s="342"/>
      <c r="B561" s="514" t="s">
        <v>743</v>
      </c>
      <c r="C561" s="217" t="s">
        <v>234</v>
      </c>
      <c r="D561" s="218" t="s">
        <v>45</v>
      </c>
      <c r="E561" s="218" t="s">
        <v>37</v>
      </c>
      <c r="F561" s="219" t="s">
        <v>44</v>
      </c>
      <c r="G561" s="28"/>
      <c r="H561" s="226">
        <f>H562</f>
        <v>53.4</v>
      </c>
    </row>
    <row r="562" spans="1:8" ht="36" x14ac:dyDescent="0.35">
      <c r="A562" s="342"/>
      <c r="B562" s="514" t="s">
        <v>235</v>
      </c>
      <c r="C562" s="217" t="s">
        <v>234</v>
      </c>
      <c r="D562" s="218" t="s">
        <v>45</v>
      </c>
      <c r="E562" s="218" t="s">
        <v>37</v>
      </c>
      <c r="F562" s="219" t="s">
        <v>280</v>
      </c>
      <c r="G562" s="28"/>
      <c r="H562" s="226">
        <f>H563</f>
        <v>53.4</v>
      </c>
    </row>
    <row r="563" spans="1:8" ht="36" x14ac:dyDescent="0.35">
      <c r="A563" s="342"/>
      <c r="B563" s="514" t="s">
        <v>76</v>
      </c>
      <c r="C563" s="217" t="s">
        <v>234</v>
      </c>
      <c r="D563" s="218" t="s">
        <v>45</v>
      </c>
      <c r="E563" s="218" t="s">
        <v>37</v>
      </c>
      <c r="F563" s="219" t="s">
        <v>280</v>
      </c>
      <c r="G563" s="28" t="s">
        <v>77</v>
      </c>
      <c r="H563" s="226">
        <f>'прил9 (ведом 23)'!M474</f>
        <v>53.4</v>
      </c>
    </row>
    <row r="564" spans="1:8" ht="18" x14ac:dyDescent="0.35">
      <c r="A564" s="367"/>
      <c r="B564" s="514"/>
      <c r="C564" s="218"/>
      <c r="D564" s="218"/>
      <c r="E564" s="218"/>
      <c r="F564" s="218"/>
      <c r="G564" s="28"/>
      <c r="H564" s="226"/>
    </row>
    <row r="565" spans="1:8" ht="34.799999999999997" x14ac:dyDescent="0.3">
      <c r="A565" s="357">
        <v>17</v>
      </c>
      <c r="B565" s="552" t="s">
        <v>130</v>
      </c>
      <c r="C565" s="358" t="s">
        <v>131</v>
      </c>
      <c r="D565" s="358" t="s">
        <v>42</v>
      </c>
      <c r="E565" s="358" t="s">
        <v>43</v>
      </c>
      <c r="F565" s="358" t="s">
        <v>44</v>
      </c>
      <c r="G565" s="351"/>
      <c r="H565" s="263">
        <f>H566</f>
        <v>6802.0999999999995</v>
      </c>
    </row>
    <row r="566" spans="1:8" ht="36" x14ac:dyDescent="0.35">
      <c r="A566" s="342"/>
      <c r="B566" s="553" t="s">
        <v>132</v>
      </c>
      <c r="C566" s="217" t="s">
        <v>131</v>
      </c>
      <c r="D566" s="218" t="s">
        <v>45</v>
      </c>
      <c r="E566" s="218" t="s">
        <v>43</v>
      </c>
      <c r="F566" s="219" t="s">
        <v>44</v>
      </c>
      <c r="G566" s="28"/>
      <c r="H566" s="226">
        <f>H567+H573+H571</f>
        <v>6802.0999999999995</v>
      </c>
    </row>
    <row r="567" spans="1:8" ht="36" x14ac:dyDescent="0.35">
      <c r="A567" s="342"/>
      <c r="B567" s="514" t="s">
        <v>47</v>
      </c>
      <c r="C567" s="217" t="s">
        <v>131</v>
      </c>
      <c r="D567" s="218" t="s">
        <v>45</v>
      </c>
      <c r="E567" s="218" t="s">
        <v>43</v>
      </c>
      <c r="F567" s="219" t="s">
        <v>48</v>
      </c>
      <c r="G567" s="28"/>
      <c r="H567" s="226">
        <f>H568+H569+H570</f>
        <v>5632</v>
      </c>
    </row>
    <row r="568" spans="1:8" ht="90" x14ac:dyDescent="0.35">
      <c r="A568" s="342"/>
      <c r="B568" s="530" t="s">
        <v>49</v>
      </c>
      <c r="C568" s="217" t="s">
        <v>131</v>
      </c>
      <c r="D568" s="218" t="s">
        <v>45</v>
      </c>
      <c r="E568" s="218" t="s">
        <v>43</v>
      </c>
      <c r="F568" s="219" t="s">
        <v>48</v>
      </c>
      <c r="G568" s="28" t="s">
        <v>50</v>
      </c>
      <c r="H568" s="226">
        <f>'прил9 (ведом 23)'!M303</f>
        <v>5267</v>
      </c>
    </row>
    <row r="569" spans="1:8" ht="36" x14ac:dyDescent="0.35">
      <c r="A569" s="342"/>
      <c r="B569" s="514" t="s">
        <v>55</v>
      </c>
      <c r="C569" s="217" t="s">
        <v>131</v>
      </c>
      <c r="D569" s="218" t="s">
        <v>45</v>
      </c>
      <c r="E569" s="218" t="s">
        <v>43</v>
      </c>
      <c r="F569" s="219" t="s">
        <v>48</v>
      </c>
      <c r="G569" s="28" t="s">
        <v>56</v>
      </c>
      <c r="H569" s="226">
        <f>'прил9 (ведом 23)'!M304</f>
        <v>346</v>
      </c>
    </row>
    <row r="570" spans="1:8" ht="18" x14ac:dyDescent="0.35">
      <c r="A570" s="342"/>
      <c r="B570" s="514" t="s">
        <v>57</v>
      </c>
      <c r="C570" s="217" t="s">
        <v>131</v>
      </c>
      <c r="D570" s="218" t="s">
        <v>45</v>
      </c>
      <c r="E570" s="218" t="s">
        <v>43</v>
      </c>
      <c r="F570" s="219" t="s">
        <v>48</v>
      </c>
      <c r="G570" s="28" t="s">
        <v>58</v>
      </c>
      <c r="H570" s="226">
        <f>'прил9 (ведом 23)'!M305</f>
        <v>19</v>
      </c>
    </row>
    <row r="571" spans="1:8" ht="36" x14ac:dyDescent="0.35">
      <c r="A571" s="342"/>
      <c r="B571" s="515" t="s">
        <v>534</v>
      </c>
      <c r="C571" s="696" t="s">
        <v>131</v>
      </c>
      <c r="D571" s="697" t="s">
        <v>45</v>
      </c>
      <c r="E571" s="697" t="s">
        <v>43</v>
      </c>
      <c r="F571" s="697" t="s">
        <v>533</v>
      </c>
      <c r="G571" s="10"/>
      <c r="H571" s="226">
        <f>H572</f>
        <v>47.9</v>
      </c>
    </row>
    <row r="572" spans="1:8" ht="36" x14ac:dyDescent="0.35">
      <c r="A572" s="342"/>
      <c r="B572" s="515" t="s">
        <v>55</v>
      </c>
      <c r="C572" s="696" t="s">
        <v>131</v>
      </c>
      <c r="D572" s="697" t="s">
        <v>45</v>
      </c>
      <c r="E572" s="697" t="s">
        <v>43</v>
      </c>
      <c r="F572" s="697" t="s">
        <v>533</v>
      </c>
      <c r="G572" s="504" t="s">
        <v>56</v>
      </c>
      <c r="H572" s="226">
        <f>'прил9 (ведом 23)'!M313</f>
        <v>47.9</v>
      </c>
    </row>
    <row r="573" spans="1:8" ht="36" x14ac:dyDescent="0.35">
      <c r="A573" s="342"/>
      <c r="B573" s="514" t="s">
        <v>236</v>
      </c>
      <c r="C573" s="217" t="s">
        <v>131</v>
      </c>
      <c r="D573" s="218" t="s">
        <v>45</v>
      </c>
      <c r="E573" s="218" t="s">
        <v>43</v>
      </c>
      <c r="F573" s="219" t="s">
        <v>133</v>
      </c>
      <c r="G573" s="28"/>
      <c r="H573" s="226">
        <f>SUM(H574:H574)</f>
        <v>1122.2</v>
      </c>
    </row>
    <row r="574" spans="1:8" ht="90" x14ac:dyDescent="0.35">
      <c r="A574" s="342"/>
      <c r="B574" s="514" t="s">
        <v>49</v>
      </c>
      <c r="C574" s="217" t="s">
        <v>131</v>
      </c>
      <c r="D574" s="218" t="s">
        <v>45</v>
      </c>
      <c r="E574" s="218" t="s">
        <v>43</v>
      </c>
      <c r="F574" s="219" t="s">
        <v>133</v>
      </c>
      <c r="G574" s="28" t="s">
        <v>50</v>
      </c>
      <c r="H574" s="226">
        <f>'прил9 (ведом 23)'!M307</f>
        <v>1122.2</v>
      </c>
    </row>
    <row r="575" spans="1:8" ht="18" x14ac:dyDescent="0.35">
      <c r="A575" s="342"/>
      <c r="B575" s="515"/>
      <c r="C575" s="697"/>
      <c r="D575" s="697"/>
      <c r="E575" s="697"/>
      <c r="F575" s="697"/>
      <c r="G575" s="504"/>
      <c r="H575" s="226"/>
    </row>
    <row r="576" spans="1:8" ht="87.6" x14ac:dyDescent="0.35">
      <c r="A576" s="357">
        <v>18</v>
      </c>
      <c r="B576" s="665" t="s">
        <v>682</v>
      </c>
      <c r="C576" s="401" t="s">
        <v>683</v>
      </c>
      <c r="D576" s="402" t="s">
        <v>42</v>
      </c>
      <c r="E576" s="402" t="s">
        <v>43</v>
      </c>
      <c r="F576" s="403" t="s">
        <v>44</v>
      </c>
      <c r="G576" s="247"/>
      <c r="H576" s="263">
        <f>H577</f>
        <v>30082.572</v>
      </c>
    </row>
    <row r="577" spans="1:8" ht="90" x14ac:dyDescent="0.35">
      <c r="A577" s="342"/>
      <c r="B577" s="666" t="s">
        <v>684</v>
      </c>
      <c r="C577" s="217" t="s">
        <v>683</v>
      </c>
      <c r="D577" s="218" t="s">
        <v>89</v>
      </c>
      <c r="E577" s="218" t="s">
        <v>43</v>
      </c>
      <c r="F577" s="219" t="s">
        <v>44</v>
      </c>
      <c r="G577" s="28"/>
      <c r="H577" s="226">
        <f>H578+H581+H584+H587+H590+H593+H596+H599+H602</f>
        <v>30082.572</v>
      </c>
    </row>
    <row r="578" spans="1:8" ht="108" x14ac:dyDescent="0.35">
      <c r="A578" s="342"/>
      <c r="B578" s="666" t="s">
        <v>687</v>
      </c>
      <c r="C578" s="217" t="s">
        <v>683</v>
      </c>
      <c r="D578" s="218" t="s">
        <v>89</v>
      </c>
      <c r="E578" s="218" t="s">
        <v>37</v>
      </c>
      <c r="F578" s="219" t="s">
        <v>44</v>
      </c>
      <c r="G578" s="28"/>
      <c r="H578" s="226">
        <f>H579</f>
        <v>18635.2</v>
      </c>
    </row>
    <row r="579" spans="1:8" ht="72" x14ac:dyDescent="0.35">
      <c r="A579" s="342"/>
      <c r="B579" s="666" t="s">
        <v>686</v>
      </c>
      <c r="C579" s="217" t="s">
        <v>683</v>
      </c>
      <c r="D579" s="218" t="s">
        <v>89</v>
      </c>
      <c r="E579" s="218" t="s">
        <v>37</v>
      </c>
      <c r="F579" s="219" t="s">
        <v>685</v>
      </c>
      <c r="G579" s="28"/>
      <c r="H579" s="226">
        <f>H580</f>
        <v>18635.2</v>
      </c>
    </row>
    <row r="580" spans="1:8" ht="18" x14ac:dyDescent="0.35">
      <c r="A580" s="342"/>
      <c r="B580" s="666" t="s">
        <v>123</v>
      </c>
      <c r="C580" s="217" t="s">
        <v>683</v>
      </c>
      <c r="D580" s="218" t="s">
        <v>89</v>
      </c>
      <c r="E580" s="218" t="s">
        <v>37</v>
      </c>
      <c r="F580" s="219" t="s">
        <v>685</v>
      </c>
      <c r="G580" s="28" t="s">
        <v>124</v>
      </c>
      <c r="H580" s="226">
        <f>'прил9 (ведом 23)'!M227</f>
        <v>18635.2</v>
      </c>
    </row>
    <row r="581" spans="1:8" ht="54" x14ac:dyDescent="0.35">
      <c r="A581" s="342"/>
      <c r="B581" s="666" t="s">
        <v>710</v>
      </c>
      <c r="C581" s="218" t="s">
        <v>683</v>
      </c>
      <c r="D581" s="218" t="s">
        <v>89</v>
      </c>
      <c r="E581" s="218" t="s">
        <v>39</v>
      </c>
      <c r="F581" s="218" t="s">
        <v>44</v>
      </c>
      <c r="G581" s="28"/>
      <c r="H581" s="226">
        <f>H582</f>
        <v>2699</v>
      </c>
    </row>
    <row r="582" spans="1:8" ht="72" x14ac:dyDescent="0.35">
      <c r="A582" s="342"/>
      <c r="B582" s="666" t="s">
        <v>686</v>
      </c>
      <c r="C582" s="218" t="s">
        <v>683</v>
      </c>
      <c r="D582" s="218" t="s">
        <v>89</v>
      </c>
      <c r="E582" s="218" t="s">
        <v>39</v>
      </c>
      <c r="F582" s="218" t="s">
        <v>685</v>
      </c>
      <c r="G582" s="28"/>
      <c r="H582" s="226">
        <f>H583</f>
        <v>2699</v>
      </c>
    </row>
    <row r="583" spans="1:8" ht="18" x14ac:dyDescent="0.35">
      <c r="A583" s="342"/>
      <c r="B583" s="666" t="s">
        <v>123</v>
      </c>
      <c r="C583" s="218" t="s">
        <v>683</v>
      </c>
      <c r="D583" s="218" t="s">
        <v>89</v>
      </c>
      <c r="E583" s="218" t="s">
        <v>39</v>
      </c>
      <c r="F583" s="218" t="s">
        <v>685</v>
      </c>
      <c r="G583" s="28" t="s">
        <v>124</v>
      </c>
      <c r="H583" s="226">
        <f>'прил9 (ведом 23)'!M230</f>
        <v>2699</v>
      </c>
    </row>
    <row r="584" spans="1:8" ht="108" x14ac:dyDescent="0.35">
      <c r="A584" s="342"/>
      <c r="B584" s="518" t="s">
        <v>721</v>
      </c>
      <c r="C584" s="696" t="s">
        <v>683</v>
      </c>
      <c r="D584" s="697" t="s">
        <v>89</v>
      </c>
      <c r="E584" s="697" t="s">
        <v>63</v>
      </c>
      <c r="F584" s="698" t="s">
        <v>44</v>
      </c>
      <c r="G584" s="281"/>
      <c r="H584" s="226">
        <f>H585</f>
        <v>250</v>
      </c>
    </row>
    <row r="585" spans="1:8" ht="72" x14ac:dyDescent="0.35">
      <c r="A585" s="342"/>
      <c r="B585" s="667" t="s">
        <v>686</v>
      </c>
      <c r="C585" s="696" t="s">
        <v>683</v>
      </c>
      <c r="D585" s="697" t="s">
        <v>89</v>
      </c>
      <c r="E585" s="697" t="s">
        <v>63</v>
      </c>
      <c r="F585" s="698" t="s">
        <v>685</v>
      </c>
      <c r="G585" s="281"/>
      <c r="H585" s="226">
        <f>H586</f>
        <v>250</v>
      </c>
    </row>
    <row r="586" spans="1:8" ht="18" x14ac:dyDescent="0.35">
      <c r="A586" s="342"/>
      <c r="B586" s="518" t="s">
        <v>123</v>
      </c>
      <c r="C586" s="696" t="s">
        <v>683</v>
      </c>
      <c r="D586" s="697" t="s">
        <v>89</v>
      </c>
      <c r="E586" s="697" t="s">
        <v>63</v>
      </c>
      <c r="F586" s="698" t="s">
        <v>685</v>
      </c>
      <c r="G586" s="281">
        <v>500</v>
      </c>
      <c r="H586" s="226">
        <f>'прил9 (ведом 23)'!M233</f>
        <v>250</v>
      </c>
    </row>
    <row r="587" spans="1:8" ht="90" x14ac:dyDescent="0.35">
      <c r="A587" s="342"/>
      <c r="B587" s="518" t="s">
        <v>724</v>
      </c>
      <c r="C587" s="696" t="s">
        <v>683</v>
      </c>
      <c r="D587" s="697" t="s">
        <v>89</v>
      </c>
      <c r="E587" s="697" t="s">
        <v>52</v>
      </c>
      <c r="F587" s="698" t="s">
        <v>44</v>
      </c>
      <c r="G587" s="281"/>
      <c r="H587" s="226">
        <f>H588</f>
        <v>5950</v>
      </c>
    </row>
    <row r="588" spans="1:8" ht="72" x14ac:dyDescent="0.35">
      <c r="A588" s="342"/>
      <c r="B588" s="667" t="s">
        <v>686</v>
      </c>
      <c r="C588" s="696" t="s">
        <v>683</v>
      </c>
      <c r="D588" s="697" t="s">
        <v>89</v>
      </c>
      <c r="E588" s="697" t="s">
        <v>52</v>
      </c>
      <c r="F588" s="698" t="s">
        <v>685</v>
      </c>
      <c r="G588" s="281"/>
      <c r="H588" s="226">
        <f>H589</f>
        <v>5950</v>
      </c>
    </row>
    <row r="589" spans="1:8" ht="18" x14ac:dyDescent="0.35">
      <c r="A589" s="342"/>
      <c r="B589" s="518" t="s">
        <v>123</v>
      </c>
      <c r="C589" s="696" t="s">
        <v>683</v>
      </c>
      <c r="D589" s="697" t="s">
        <v>89</v>
      </c>
      <c r="E589" s="697" t="s">
        <v>52</v>
      </c>
      <c r="F589" s="698" t="s">
        <v>685</v>
      </c>
      <c r="G589" s="281">
        <v>500</v>
      </c>
      <c r="H589" s="226">
        <f>'прил9 (ведом 23)'!M236</f>
        <v>5950</v>
      </c>
    </row>
    <row r="590" spans="1:8" ht="72" x14ac:dyDescent="0.35">
      <c r="A590" s="342"/>
      <c r="B590" s="518" t="s">
        <v>737</v>
      </c>
      <c r="C590" s="696" t="s">
        <v>683</v>
      </c>
      <c r="D590" s="697" t="s">
        <v>89</v>
      </c>
      <c r="E590" s="697" t="s">
        <v>65</v>
      </c>
      <c r="F590" s="698" t="s">
        <v>44</v>
      </c>
      <c r="G590" s="281"/>
      <c r="H590" s="226">
        <f>H591</f>
        <v>590</v>
      </c>
    </row>
    <row r="591" spans="1:8" ht="72" x14ac:dyDescent="0.35">
      <c r="A591" s="342"/>
      <c r="B591" s="667" t="s">
        <v>686</v>
      </c>
      <c r="C591" s="696" t="s">
        <v>683</v>
      </c>
      <c r="D591" s="697" t="s">
        <v>89</v>
      </c>
      <c r="E591" s="697" t="s">
        <v>65</v>
      </c>
      <c r="F591" s="698" t="s">
        <v>685</v>
      </c>
      <c r="G591" s="281"/>
      <c r="H591" s="226">
        <f>H592</f>
        <v>590</v>
      </c>
    </row>
    <row r="592" spans="1:8" ht="18" x14ac:dyDescent="0.35">
      <c r="A592" s="342"/>
      <c r="B592" s="518" t="s">
        <v>123</v>
      </c>
      <c r="C592" s="696" t="s">
        <v>683</v>
      </c>
      <c r="D592" s="697" t="s">
        <v>89</v>
      </c>
      <c r="E592" s="697" t="s">
        <v>65</v>
      </c>
      <c r="F592" s="698" t="s">
        <v>685</v>
      </c>
      <c r="G592" s="281">
        <v>500</v>
      </c>
      <c r="H592" s="226">
        <f>'прил9 (ведом 23)'!M239</f>
        <v>590</v>
      </c>
    </row>
    <row r="593" spans="1:8" ht="72" x14ac:dyDescent="0.35">
      <c r="A593" s="342"/>
      <c r="B593" s="573" t="s">
        <v>736</v>
      </c>
      <c r="C593" s="696" t="s">
        <v>683</v>
      </c>
      <c r="D593" s="697" t="s">
        <v>89</v>
      </c>
      <c r="E593" s="697" t="s">
        <v>81</v>
      </c>
      <c r="F593" s="698" t="s">
        <v>44</v>
      </c>
      <c r="G593" s="281"/>
      <c r="H593" s="226">
        <f>H594</f>
        <v>614.27200000000005</v>
      </c>
    </row>
    <row r="594" spans="1:8" ht="36" x14ac:dyDescent="0.35">
      <c r="A594" s="342"/>
      <c r="B594" s="573" t="s">
        <v>446</v>
      </c>
      <c r="C594" s="696" t="s">
        <v>683</v>
      </c>
      <c r="D594" s="697" t="s">
        <v>89</v>
      </c>
      <c r="E594" s="697" t="s">
        <v>81</v>
      </c>
      <c r="F594" s="698" t="s">
        <v>685</v>
      </c>
      <c r="G594" s="281"/>
      <c r="H594" s="226">
        <f>H595</f>
        <v>614.27200000000005</v>
      </c>
    </row>
    <row r="595" spans="1:8" ht="36" x14ac:dyDescent="0.35">
      <c r="A595" s="342"/>
      <c r="B595" s="573" t="s">
        <v>55</v>
      </c>
      <c r="C595" s="696" t="s">
        <v>683</v>
      </c>
      <c r="D595" s="697" t="s">
        <v>89</v>
      </c>
      <c r="E595" s="697" t="s">
        <v>81</v>
      </c>
      <c r="F595" s="698" t="s">
        <v>685</v>
      </c>
      <c r="G595" s="281">
        <v>200</v>
      </c>
      <c r="H595" s="226">
        <f>'прил9 (ведом 23)'!M367</f>
        <v>614.27200000000005</v>
      </c>
    </row>
    <row r="596" spans="1:8" ht="72" x14ac:dyDescent="0.35">
      <c r="A596" s="342"/>
      <c r="B596" s="518" t="s">
        <v>744</v>
      </c>
      <c r="C596" s="696" t="s">
        <v>683</v>
      </c>
      <c r="D596" s="697" t="s">
        <v>89</v>
      </c>
      <c r="E596" s="697" t="s">
        <v>224</v>
      </c>
      <c r="F596" s="698" t="s">
        <v>44</v>
      </c>
      <c r="G596" s="281"/>
      <c r="H596" s="226">
        <f>H597</f>
        <v>569.1</v>
      </c>
    </row>
    <row r="597" spans="1:8" ht="72" x14ac:dyDescent="0.35">
      <c r="A597" s="342"/>
      <c r="B597" s="667" t="s">
        <v>686</v>
      </c>
      <c r="C597" s="696" t="s">
        <v>683</v>
      </c>
      <c r="D597" s="697" t="s">
        <v>89</v>
      </c>
      <c r="E597" s="697" t="s">
        <v>224</v>
      </c>
      <c r="F597" s="698" t="s">
        <v>685</v>
      </c>
      <c r="G597" s="281"/>
      <c r="H597" s="226">
        <f>H598</f>
        <v>569.1</v>
      </c>
    </row>
    <row r="598" spans="1:8" ht="18" x14ac:dyDescent="0.35">
      <c r="A598" s="342"/>
      <c r="B598" s="518" t="s">
        <v>123</v>
      </c>
      <c r="C598" s="696" t="s">
        <v>683</v>
      </c>
      <c r="D598" s="697" t="s">
        <v>89</v>
      </c>
      <c r="E598" s="697" t="s">
        <v>224</v>
      </c>
      <c r="F598" s="698" t="s">
        <v>685</v>
      </c>
      <c r="G598" s="281">
        <v>500</v>
      </c>
      <c r="H598" s="226">
        <f>'прил9 (ведом 23)'!M242</f>
        <v>569.1</v>
      </c>
    </row>
    <row r="599" spans="1:8" ht="54" x14ac:dyDescent="0.35">
      <c r="A599" s="342"/>
      <c r="B599" s="518" t="s">
        <v>748</v>
      </c>
      <c r="C599" s="696" t="s">
        <v>683</v>
      </c>
      <c r="D599" s="697" t="s">
        <v>89</v>
      </c>
      <c r="E599" s="697" t="s">
        <v>226</v>
      </c>
      <c r="F599" s="698" t="s">
        <v>44</v>
      </c>
      <c r="G599" s="281"/>
      <c r="H599" s="226">
        <f>H600</f>
        <v>245</v>
      </c>
    </row>
    <row r="600" spans="1:8" ht="72" x14ac:dyDescent="0.35">
      <c r="A600" s="342"/>
      <c r="B600" s="667" t="s">
        <v>686</v>
      </c>
      <c r="C600" s="696" t="s">
        <v>683</v>
      </c>
      <c r="D600" s="697" t="s">
        <v>89</v>
      </c>
      <c r="E600" s="697" t="s">
        <v>226</v>
      </c>
      <c r="F600" s="698" t="s">
        <v>685</v>
      </c>
      <c r="G600" s="281"/>
      <c r="H600" s="226">
        <f>H601</f>
        <v>245</v>
      </c>
    </row>
    <row r="601" spans="1:8" ht="18" x14ac:dyDescent="0.35">
      <c r="A601" s="342"/>
      <c r="B601" s="518" t="s">
        <v>123</v>
      </c>
      <c r="C601" s="696" t="s">
        <v>683</v>
      </c>
      <c r="D601" s="697" t="s">
        <v>89</v>
      </c>
      <c r="E601" s="697" t="s">
        <v>226</v>
      </c>
      <c r="F601" s="698" t="s">
        <v>685</v>
      </c>
      <c r="G601" s="281">
        <v>500</v>
      </c>
      <c r="H601" s="226">
        <f>'прил9 (ведом 23)'!M245</f>
        <v>245</v>
      </c>
    </row>
    <row r="602" spans="1:8" ht="72" x14ac:dyDescent="0.35">
      <c r="A602" s="342"/>
      <c r="B602" s="518" t="s">
        <v>749</v>
      </c>
      <c r="C602" s="696" t="s">
        <v>683</v>
      </c>
      <c r="D602" s="697" t="s">
        <v>89</v>
      </c>
      <c r="E602" s="697" t="s">
        <v>79</v>
      </c>
      <c r="F602" s="698" t="s">
        <v>44</v>
      </c>
      <c r="G602" s="281"/>
      <c r="H602" s="226">
        <f>H603</f>
        <v>530</v>
      </c>
    </row>
    <row r="603" spans="1:8" ht="72" x14ac:dyDescent="0.35">
      <c r="A603" s="342"/>
      <c r="B603" s="667" t="s">
        <v>686</v>
      </c>
      <c r="C603" s="696" t="s">
        <v>683</v>
      </c>
      <c r="D603" s="697" t="s">
        <v>89</v>
      </c>
      <c r="E603" s="697" t="s">
        <v>79</v>
      </c>
      <c r="F603" s="698" t="s">
        <v>685</v>
      </c>
      <c r="G603" s="281"/>
      <c r="H603" s="226">
        <f>H604</f>
        <v>530</v>
      </c>
    </row>
    <row r="604" spans="1:8" ht="18" x14ac:dyDescent="0.35">
      <c r="A604" s="342"/>
      <c r="B604" s="518" t="s">
        <v>123</v>
      </c>
      <c r="C604" s="696" t="s">
        <v>683</v>
      </c>
      <c r="D604" s="697" t="s">
        <v>89</v>
      </c>
      <c r="E604" s="697" t="s">
        <v>79</v>
      </c>
      <c r="F604" s="698" t="s">
        <v>685</v>
      </c>
      <c r="G604" s="281">
        <v>500</v>
      </c>
      <c r="H604" s="226">
        <f>'прил9 (ведом 23)'!M248</f>
        <v>530</v>
      </c>
    </row>
    <row r="605" spans="1:8" ht="18" x14ac:dyDescent="0.35">
      <c r="A605" s="342"/>
      <c r="B605" s="515"/>
      <c r="C605" s="690"/>
      <c r="D605" s="690"/>
      <c r="E605" s="690"/>
      <c r="F605" s="690"/>
      <c r="G605" s="247"/>
      <c r="H605" s="226"/>
    </row>
    <row r="606" spans="1:8" s="352" customFormat="1" ht="39" customHeight="1" x14ac:dyDescent="0.3">
      <c r="A606" s="357">
        <v>19</v>
      </c>
      <c r="B606" s="552" t="s">
        <v>609</v>
      </c>
      <c r="C606" s="358" t="s">
        <v>68</v>
      </c>
      <c r="D606" s="358" t="s">
        <v>42</v>
      </c>
      <c r="E606" s="358" t="s">
        <v>43</v>
      </c>
      <c r="F606" s="358" t="s">
        <v>44</v>
      </c>
      <c r="G606" s="351"/>
      <c r="H606" s="263">
        <f>H607</f>
        <v>44348.562999999995</v>
      </c>
    </row>
    <row r="607" spans="1:8" ht="18" x14ac:dyDescent="0.35">
      <c r="A607" s="342"/>
      <c r="B607" s="530" t="s">
        <v>448</v>
      </c>
      <c r="C607" s="217" t="s">
        <v>68</v>
      </c>
      <c r="D607" s="218" t="s">
        <v>45</v>
      </c>
      <c r="E607" s="218" t="s">
        <v>43</v>
      </c>
      <c r="F607" s="219" t="s">
        <v>44</v>
      </c>
      <c r="G607" s="28"/>
      <c r="H607" s="226">
        <f>H612+H614+H610+H608</f>
        <v>44348.562999999995</v>
      </c>
    </row>
    <row r="608" spans="1:8" ht="36" x14ac:dyDescent="0.35">
      <c r="A608" s="342"/>
      <c r="B608" s="518" t="s">
        <v>723</v>
      </c>
      <c r="C608" s="696" t="s">
        <v>68</v>
      </c>
      <c r="D608" s="697" t="s">
        <v>45</v>
      </c>
      <c r="E608" s="697" t="s">
        <v>43</v>
      </c>
      <c r="F608" s="698" t="s">
        <v>722</v>
      </c>
      <c r="G608" s="10"/>
      <c r="H608" s="226">
        <f>H609</f>
        <v>12841.199999999999</v>
      </c>
    </row>
    <row r="609" spans="1:8" ht="36" x14ac:dyDescent="0.35">
      <c r="A609" s="342"/>
      <c r="B609" s="518" t="s">
        <v>55</v>
      </c>
      <c r="C609" s="696" t="s">
        <v>68</v>
      </c>
      <c r="D609" s="697" t="s">
        <v>45</v>
      </c>
      <c r="E609" s="697" t="s">
        <v>43</v>
      </c>
      <c r="F609" s="698" t="s">
        <v>722</v>
      </c>
      <c r="G609" s="10" t="s">
        <v>56</v>
      </c>
      <c r="H609" s="226">
        <f>'прил9 (ведом 23)'!M91</f>
        <v>12841.199999999999</v>
      </c>
    </row>
    <row r="610" spans="1:8" ht="36" x14ac:dyDescent="0.35">
      <c r="A610" s="342"/>
      <c r="B610" s="530" t="s">
        <v>711</v>
      </c>
      <c r="C610" s="217" t="s">
        <v>68</v>
      </c>
      <c r="D610" s="218" t="s">
        <v>45</v>
      </c>
      <c r="E610" s="218" t="s">
        <v>43</v>
      </c>
      <c r="F610" s="219" t="s">
        <v>712</v>
      </c>
      <c r="G610" s="28"/>
      <c r="H610" s="226">
        <f>H611</f>
        <v>11161.2</v>
      </c>
    </row>
    <row r="611" spans="1:8" ht="18" x14ac:dyDescent="0.35">
      <c r="A611" s="342"/>
      <c r="B611" s="530" t="s">
        <v>123</v>
      </c>
      <c r="C611" s="217" t="s">
        <v>68</v>
      </c>
      <c r="D611" s="218" t="s">
        <v>45</v>
      </c>
      <c r="E611" s="218" t="s">
        <v>43</v>
      </c>
      <c r="F611" s="219" t="s">
        <v>712</v>
      </c>
      <c r="G611" s="28">
        <v>500</v>
      </c>
      <c r="H611" s="226">
        <f>'прил9 (ведом 23)'!M252</f>
        <v>11161.2</v>
      </c>
    </row>
    <row r="612" spans="1:8" ht="162" x14ac:dyDescent="0.35">
      <c r="A612" s="342"/>
      <c r="B612" s="530" t="s">
        <v>680</v>
      </c>
      <c r="C612" s="217" t="s">
        <v>68</v>
      </c>
      <c r="D612" s="218" t="s">
        <v>45</v>
      </c>
      <c r="E612" s="218" t="s">
        <v>43</v>
      </c>
      <c r="F612" s="219" t="s">
        <v>679</v>
      </c>
      <c r="G612" s="28"/>
      <c r="H612" s="226">
        <f>H613</f>
        <v>12753</v>
      </c>
    </row>
    <row r="613" spans="1:8" ht="36" x14ac:dyDescent="0.35">
      <c r="A613" s="342"/>
      <c r="B613" s="515" t="s">
        <v>55</v>
      </c>
      <c r="C613" s="217" t="s">
        <v>68</v>
      </c>
      <c r="D613" s="218" t="s">
        <v>45</v>
      </c>
      <c r="E613" s="218" t="s">
        <v>43</v>
      </c>
      <c r="F613" s="219" t="s">
        <v>679</v>
      </c>
      <c r="G613" s="28" t="s">
        <v>56</v>
      </c>
      <c r="H613" s="226">
        <f>'прил9 (ведом 23)'!M93</f>
        <v>12753</v>
      </c>
    </row>
    <row r="614" spans="1:8" ht="36" x14ac:dyDescent="0.35">
      <c r="A614" s="342"/>
      <c r="B614" s="514" t="s">
        <v>446</v>
      </c>
      <c r="C614" s="217" t="s">
        <v>68</v>
      </c>
      <c r="D614" s="218" t="s">
        <v>45</v>
      </c>
      <c r="E614" s="218" t="s">
        <v>43</v>
      </c>
      <c r="F614" s="219" t="s">
        <v>69</v>
      </c>
      <c r="G614" s="28"/>
      <c r="H614" s="226">
        <f>H615</f>
        <v>7593.1629999999959</v>
      </c>
    </row>
    <row r="615" spans="1:8" ht="18" x14ac:dyDescent="0.35">
      <c r="A615" s="342"/>
      <c r="B615" s="514" t="s">
        <v>57</v>
      </c>
      <c r="C615" s="217" t="s">
        <v>68</v>
      </c>
      <c r="D615" s="218" t="s">
        <v>45</v>
      </c>
      <c r="E615" s="218" t="s">
        <v>43</v>
      </c>
      <c r="F615" s="219" t="s">
        <v>69</v>
      </c>
      <c r="G615" s="28" t="s">
        <v>58</v>
      </c>
      <c r="H615" s="226">
        <f>'прил9 (ведом 23)'!M55</f>
        <v>7593.1629999999959</v>
      </c>
    </row>
    <row r="616" spans="1:8" ht="14.4" customHeight="1" x14ac:dyDescent="0.35">
      <c r="A616" s="435"/>
      <c r="B616" s="436"/>
      <c r="C616" s="83"/>
      <c r="D616" s="83"/>
      <c r="E616" s="83"/>
      <c r="F616" s="83"/>
      <c r="G616" s="83"/>
      <c r="H616" s="437"/>
    </row>
    <row r="617" spans="1:8" ht="18" x14ac:dyDescent="0.35">
      <c r="A617" s="435"/>
      <c r="B617" s="436"/>
      <c r="C617" s="83"/>
      <c r="D617" s="83"/>
      <c r="E617" s="83"/>
      <c r="F617" s="83"/>
      <c r="G617" s="83"/>
      <c r="H617" s="437"/>
    </row>
    <row r="618" spans="1:8" ht="17.399999999999999" x14ac:dyDescent="0.3">
      <c r="A618" s="338"/>
      <c r="B618" s="42"/>
      <c r="C618" s="43"/>
      <c r="D618" s="43"/>
      <c r="E618" s="43"/>
      <c r="F618" s="43"/>
      <c r="G618" s="44"/>
    </row>
    <row r="619" spans="1:8" ht="18" x14ac:dyDescent="0.35">
      <c r="A619" s="41" t="s">
        <v>375</v>
      </c>
      <c r="B619" s="42"/>
      <c r="C619" s="43"/>
      <c r="D619" s="43"/>
      <c r="E619" s="43"/>
      <c r="F619" s="43"/>
      <c r="G619" s="44"/>
    </row>
    <row r="620" spans="1:8" ht="18" x14ac:dyDescent="0.35">
      <c r="A620" s="41" t="s">
        <v>376</v>
      </c>
      <c r="B620" s="42"/>
      <c r="C620" s="43"/>
      <c r="D620" s="43"/>
      <c r="E620" s="43"/>
      <c r="F620" s="43"/>
      <c r="G620" s="44"/>
    </row>
    <row r="621" spans="1:8" ht="18" x14ac:dyDescent="0.35">
      <c r="A621" s="47" t="s">
        <v>377</v>
      </c>
      <c r="B621" s="42"/>
      <c r="C621" s="46"/>
      <c r="D621" s="43"/>
      <c r="E621" s="43"/>
      <c r="F621" s="43"/>
      <c r="G621" s="46"/>
      <c r="H621" s="48" t="s">
        <v>388</v>
      </c>
    </row>
    <row r="622" spans="1:8" x14ac:dyDescent="0.3">
      <c r="A622" s="338"/>
      <c r="B622" s="42"/>
      <c r="C622" s="43"/>
      <c r="D622" s="43"/>
      <c r="E622" s="43"/>
      <c r="F622" s="43"/>
    </row>
    <row r="623" spans="1:8" x14ac:dyDescent="0.3">
      <c r="A623" s="338"/>
      <c r="B623" s="42"/>
      <c r="C623" s="43"/>
      <c r="D623" s="43"/>
      <c r="E623" s="43"/>
      <c r="F623" s="43"/>
    </row>
    <row r="624" spans="1:8" x14ac:dyDescent="0.3">
      <c r="A624" s="338"/>
      <c r="B624" s="42"/>
      <c r="C624" s="43"/>
      <c r="D624" s="43"/>
      <c r="E624" s="43"/>
      <c r="F624" s="43"/>
    </row>
    <row r="625" spans="1:8" ht="17.399999999999999" hidden="1" x14ac:dyDescent="0.3">
      <c r="A625" s="338"/>
      <c r="B625" s="42"/>
      <c r="C625" s="43"/>
      <c r="D625" s="43"/>
      <c r="E625" s="43"/>
      <c r="F625" s="43"/>
      <c r="G625" s="44"/>
    </row>
    <row r="626" spans="1:8" hidden="1" x14ac:dyDescent="0.3">
      <c r="A626" s="336">
        <v>1</v>
      </c>
      <c r="B626" s="408" t="s">
        <v>237</v>
      </c>
      <c r="H626" s="337">
        <f>H14+H158+H220+H270+H295+H334+H358+H397+H458+H467+H473+H483+H493+H499+H437+H559</f>
        <v>2530787.5368999997</v>
      </c>
    </row>
    <row r="627" spans="1:8" hidden="1" x14ac:dyDescent="0.3"/>
    <row r="628" spans="1:8" hidden="1" x14ac:dyDescent="0.3">
      <c r="H628" s="337">
        <f>(H626/H13)*100</f>
        <v>96.890023392083862</v>
      </c>
    </row>
    <row r="629" spans="1:8" hidden="1" x14ac:dyDescent="0.3"/>
    <row r="630" spans="1:8" hidden="1" x14ac:dyDescent="0.3">
      <c r="A630" s="336">
        <v>1</v>
      </c>
      <c r="B630" s="408" t="s">
        <v>238</v>
      </c>
      <c r="H630" s="337">
        <f>H565+H606</f>
        <v>51150.662999999993</v>
      </c>
    </row>
    <row r="631" spans="1:8" hidden="1" x14ac:dyDescent="0.3">
      <c r="H631" s="337">
        <f>(H630/H632)*100</f>
        <v>1.9810955584444698</v>
      </c>
    </row>
    <row r="632" spans="1:8" hidden="1" x14ac:dyDescent="0.3">
      <c r="H632" s="337">
        <f>H626+H630</f>
        <v>2581938.1998999999</v>
      </c>
    </row>
  </sheetData>
  <autoFilter ref="A1:H632"/>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465"/>
  <sheetViews>
    <sheetView zoomScale="80" zoomScaleNormal="80" zoomScaleSheetLayoutView="70" workbookViewId="0">
      <pane ySplit="5" topLeftCell="A6" activePane="bottomLeft" state="frozen"/>
      <selection activeCell="D39" sqref="D39:D40"/>
      <selection pane="bottomLeft" activeCell="P10" sqref="P10"/>
    </sheetView>
  </sheetViews>
  <sheetFormatPr defaultColWidth="9.109375" defaultRowHeight="15.6" x14ac:dyDescent="0.3"/>
  <cols>
    <col min="1" max="1" width="4.5546875" style="336" customWidth="1"/>
    <col min="2" max="2" width="62.44140625" style="408" customWidth="1"/>
    <col min="3" max="3" width="3.109375" style="409" customWidth="1"/>
    <col min="4" max="4" width="2.33203125" style="409" customWidth="1"/>
    <col min="5" max="5" width="3" style="409" customWidth="1"/>
    <col min="6" max="6" width="8" style="409" customWidth="1"/>
    <col min="7" max="7" width="5.5546875" style="407" customWidth="1"/>
    <col min="8" max="8" width="14.109375" style="45" customWidth="1"/>
    <col min="9" max="9" width="13.33203125" style="46" customWidth="1"/>
    <col min="10" max="10" width="17.6640625" style="46" customWidth="1"/>
    <col min="11" max="11" width="16.44140625" style="46" hidden="1" customWidth="1"/>
    <col min="12" max="12" width="14.6640625" style="46" hidden="1" customWidth="1"/>
    <col min="13" max="16384" width="9.109375" style="46"/>
  </cols>
  <sheetData>
    <row r="1" spans="1:12" ht="18" x14ac:dyDescent="0.35">
      <c r="I1" s="163" t="s">
        <v>515</v>
      </c>
    </row>
    <row r="2" spans="1:12" ht="18" x14ac:dyDescent="0.35">
      <c r="I2" s="163" t="s">
        <v>752</v>
      </c>
    </row>
    <row r="3" spans="1:12" ht="18" x14ac:dyDescent="0.35">
      <c r="I3" s="163"/>
    </row>
    <row r="4" spans="1:12" s="35" customFormat="1" ht="18" x14ac:dyDescent="0.35">
      <c r="I4" s="39" t="s">
        <v>517</v>
      </c>
    </row>
    <row r="5" spans="1:12" s="35" customFormat="1" ht="18" x14ac:dyDescent="0.35">
      <c r="I5" s="39" t="s">
        <v>669</v>
      </c>
    </row>
    <row r="8" spans="1:12" ht="76.5" customHeight="1" x14ac:dyDescent="0.3">
      <c r="A8" s="721" t="s">
        <v>597</v>
      </c>
      <c r="B8" s="721"/>
      <c r="C8" s="721"/>
      <c r="D8" s="721"/>
      <c r="E8" s="721"/>
      <c r="F8" s="721"/>
      <c r="G8" s="721"/>
      <c r="H8" s="721"/>
      <c r="I8" s="721"/>
    </row>
    <row r="9" spans="1:12" x14ac:dyDescent="0.3">
      <c r="A9" s="46"/>
      <c r="B9" s="46"/>
      <c r="C9" s="336"/>
      <c r="D9" s="336"/>
      <c r="E9" s="336"/>
      <c r="F9" s="336"/>
      <c r="G9" s="337"/>
    </row>
    <row r="10" spans="1:12" ht="18" x14ac:dyDescent="0.35">
      <c r="A10" s="338"/>
      <c r="B10" s="42"/>
      <c r="C10" s="43"/>
      <c r="D10" s="43"/>
      <c r="E10" s="43"/>
      <c r="F10" s="43"/>
      <c r="G10" s="46"/>
      <c r="I10" s="339" t="s">
        <v>22</v>
      </c>
    </row>
    <row r="11" spans="1:12" ht="18" x14ac:dyDescent="0.35">
      <c r="A11" s="729" t="s">
        <v>23</v>
      </c>
      <c r="B11" s="730" t="s">
        <v>24</v>
      </c>
      <c r="C11" s="730" t="s">
        <v>28</v>
      </c>
      <c r="D11" s="730"/>
      <c r="E11" s="730"/>
      <c r="F11" s="730"/>
      <c r="G11" s="730" t="s">
        <v>29</v>
      </c>
      <c r="H11" s="728" t="s">
        <v>15</v>
      </c>
      <c r="I11" s="728"/>
    </row>
    <row r="12" spans="1:12" ht="40.950000000000003" customHeight="1" x14ac:dyDescent="0.3">
      <c r="A12" s="729"/>
      <c r="B12" s="730"/>
      <c r="C12" s="730"/>
      <c r="D12" s="730"/>
      <c r="E12" s="730"/>
      <c r="F12" s="730"/>
      <c r="G12" s="730"/>
      <c r="H12" s="340" t="s">
        <v>506</v>
      </c>
      <c r="I12" s="340" t="s">
        <v>594</v>
      </c>
    </row>
    <row r="13" spans="1:12" ht="18" x14ac:dyDescent="0.35">
      <c r="A13" s="235">
        <v>1</v>
      </c>
      <c r="B13" s="341">
        <v>2</v>
      </c>
      <c r="C13" s="725" t="s">
        <v>30</v>
      </c>
      <c r="D13" s="726"/>
      <c r="E13" s="726"/>
      <c r="F13" s="727"/>
      <c r="G13" s="247" t="s">
        <v>31</v>
      </c>
      <c r="H13" s="236">
        <v>5</v>
      </c>
      <c r="I13" s="236">
        <v>6</v>
      </c>
    </row>
    <row r="14" spans="1:12" ht="18" x14ac:dyDescent="0.35">
      <c r="A14" s="342"/>
      <c r="B14" s="343" t="s">
        <v>202</v>
      </c>
      <c r="C14" s="344"/>
      <c r="D14" s="344"/>
      <c r="E14" s="344"/>
      <c r="F14" s="344"/>
      <c r="G14" s="345"/>
      <c r="H14" s="346">
        <f>H15+H125+H166+H204+H227+H252+H271+H295+H342+H351+H357+H367+H379+H432+H439+H444+H373+H426+H332</f>
        <v>1951860.4999999998</v>
      </c>
      <c r="I14" s="346">
        <f>I15+I125+I166+I204+I227+I252+I271+I295+I342+I351+I357+I367+I379+I432+I439+I444+I373+I426+I332</f>
        <v>1891819.3</v>
      </c>
      <c r="J14" s="347"/>
      <c r="K14" s="460">
        <f>H14-'прил10 (ведом 24-25)'!M16</f>
        <v>0</v>
      </c>
      <c r="L14" s="446">
        <f>I14-'прил10 (ведом 24-25)'!N16</f>
        <v>0</v>
      </c>
    </row>
    <row r="15" spans="1:12" s="352" customFormat="1" ht="52.2" x14ac:dyDescent="0.3">
      <c r="A15" s="348">
        <v>1</v>
      </c>
      <c r="B15" s="513" t="s">
        <v>205</v>
      </c>
      <c r="C15" s="349" t="s">
        <v>39</v>
      </c>
      <c r="D15" s="349" t="s">
        <v>42</v>
      </c>
      <c r="E15" s="349" t="s">
        <v>43</v>
      </c>
      <c r="F15" s="350" t="s">
        <v>44</v>
      </c>
      <c r="G15" s="351"/>
      <c r="H15" s="263">
        <f>H16+H77+H91</f>
        <v>1274466.7999999998</v>
      </c>
      <c r="I15" s="263">
        <f>I16+I77+I91</f>
        <v>1288047.3000000003</v>
      </c>
    </row>
    <row r="16" spans="1:12" ht="18" x14ac:dyDescent="0.35">
      <c r="A16" s="342"/>
      <c r="B16" s="514" t="s">
        <v>206</v>
      </c>
      <c r="C16" s="690" t="s">
        <v>39</v>
      </c>
      <c r="D16" s="690" t="s">
        <v>45</v>
      </c>
      <c r="E16" s="690" t="s">
        <v>43</v>
      </c>
      <c r="F16" s="691" t="s">
        <v>44</v>
      </c>
      <c r="G16" s="247"/>
      <c r="H16" s="226">
        <f>H17+H31+H74</f>
        <v>1112862.8999999997</v>
      </c>
      <c r="I16" s="226">
        <f>I17+I31+I74</f>
        <v>1116100.9000000001</v>
      </c>
    </row>
    <row r="17" spans="1:9" ht="18" x14ac:dyDescent="0.35">
      <c r="A17" s="342"/>
      <c r="B17" s="514" t="s">
        <v>267</v>
      </c>
      <c r="C17" s="217" t="s">
        <v>39</v>
      </c>
      <c r="D17" s="218" t="s">
        <v>45</v>
      </c>
      <c r="E17" s="218" t="s">
        <v>37</v>
      </c>
      <c r="F17" s="219" t="s">
        <v>44</v>
      </c>
      <c r="G17" s="247"/>
      <c r="H17" s="226">
        <f>H24+H20+H27+H29+H18+H22</f>
        <v>392727.7</v>
      </c>
      <c r="I17" s="226">
        <f>I24+I20+I27+I29+I18+I22</f>
        <v>405956.10000000003</v>
      </c>
    </row>
    <row r="18" spans="1:9" ht="36" x14ac:dyDescent="0.35">
      <c r="A18" s="342"/>
      <c r="B18" s="514" t="s">
        <v>466</v>
      </c>
      <c r="C18" s="217" t="s">
        <v>39</v>
      </c>
      <c r="D18" s="218" t="s">
        <v>45</v>
      </c>
      <c r="E18" s="218" t="s">
        <v>37</v>
      </c>
      <c r="F18" s="219" t="s">
        <v>91</v>
      </c>
      <c r="G18" s="28"/>
      <c r="H18" s="226">
        <f>H19</f>
        <v>110229.7</v>
      </c>
      <c r="I18" s="226">
        <f>I19</f>
        <v>123486.2</v>
      </c>
    </row>
    <row r="19" spans="1:9" ht="36" x14ac:dyDescent="0.35">
      <c r="A19" s="342"/>
      <c r="B19" s="514" t="s">
        <v>76</v>
      </c>
      <c r="C19" s="217" t="s">
        <v>39</v>
      </c>
      <c r="D19" s="218" t="s">
        <v>45</v>
      </c>
      <c r="E19" s="218" t="s">
        <v>37</v>
      </c>
      <c r="F19" s="219" t="s">
        <v>91</v>
      </c>
      <c r="G19" s="28" t="s">
        <v>77</v>
      </c>
      <c r="H19" s="226">
        <f>'прил10 (ведом 24-25)'!M302</f>
        <v>110229.7</v>
      </c>
      <c r="I19" s="226">
        <f>'прил10 (ведом 24-25)'!N302</f>
        <v>123486.2</v>
      </c>
    </row>
    <row r="20" spans="1:9" ht="36" x14ac:dyDescent="0.35">
      <c r="A20" s="342"/>
      <c r="B20" s="515" t="s">
        <v>207</v>
      </c>
      <c r="C20" s="217" t="s">
        <v>39</v>
      </c>
      <c r="D20" s="218" t="s">
        <v>45</v>
      </c>
      <c r="E20" s="218" t="s">
        <v>37</v>
      </c>
      <c r="F20" s="219" t="s">
        <v>273</v>
      </c>
      <c r="G20" s="28"/>
      <c r="H20" s="226">
        <f>H21</f>
        <v>30855.9</v>
      </c>
      <c r="I20" s="226">
        <f>I21</f>
        <v>30855.9</v>
      </c>
    </row>
    <row r="21" spans="1:9" ht="36" x14ac:dyDescent="0.35">
      <c r="A21" s="342"/>
      <c r="B21" s="515" t="s">
        <v>76</v>
      </c>
      <c r="C21" s="217" t="s">
        <v>39</v>
      </c>
      <c r="D21" s="218" t="s">
        <v>45</v>
      </c>
      <c r="E21" s="218" t="s">
        <v>37</v>
      </c>
      <c r="F21" s="219" t="s">
        <v>273</v>
      </c>
      <c r="G21" s="28" t="s">
        <v>77</v>
      </c>
      <c r="H21" s="226">
        <f>'прил10 (ведом 24-25)'!M304</f>
        <v>30855.9</v>
      </c>
      <c r="I21" s="226">
        <f>'прил10 (ведом 24-25)'!N304</f>
        <v>30855.9</v>
      </c>
    </row>
    <row r="22" spans="1:9" ht="36" x14ac:dyDescent="0.35">
      <c r="A22" s="342"/>
      <c r="B22" s="515" t="s">
        <v>208</v>
      </c>
      <c r="C22" s="353" t="s">
        <v>39</v>
      </c>
      <c r="D22" s="354" t="s">
        <v>45</v>
      </c>
      <c r="E22" s="354" t="s">
        <v>37</v>
      </c>
      <c r="F22" s="355" t="s">
        <v>274</v>
      </c>
      <c r="G22" s="356"/>
      <c r="H22" s="226">
        <f>H23</f>
        <v>50.5</v>
      </c>
      <c r="I22" s="226">
        <f>I23</f>
        <v>0</v>
      </c>
    </row>
    <row r="23" spans="1:9" ht="36" x14ac:dyDescent="0.35">
      <c r="A23" s="342"/>
      <c r="B23" s="516" t="s">
        <v>203</v>
      </c>
      <c r="C23" s="353" t="s">
        <v>39</v>
      </c>
      <c r="D23" s="354" t="s">
        <v>45</v>
      </c>
      <c r="E23" s="354" t="s">
        <v>37</v>
      </c>
      <c r="F23" s="355" t="s">
        <v>274</v>
      </c>
      <c r="G23" s="356" t="s">
        <v>204</v>
      </c>
      <c r="H23" s="226">
        <f>'прил10 (ведом 24-25)'!M263</f>
        <v>50.5</v>
      </c>
      <c r="I23" s="226">
        <f>'прил10 (ведом 24-25)'!N263</f>
        <v>0</v>
      </c>
    </row>
    <row r="24" spans="1:9" ht="108" x14ac:dyDescent="0.35">
      <c r="A24" s="342"/>
      <c r="B24" s="514" t="s">
        <v>283</v>
      </c>
      <c r="C24" s="217" t="s">
        <v>39</v>
      </c>
      <c r="D24" s="218" t="s">
        <v>45</v>
      </c>
      <c r="E24" s="218" t="s">
        <v>37</v>
      </c>
      <c r="F24" s="219" t="s">
        <v>284</v>
      </c>
      <c r="G24" s="28"/>
      <c r="H24" s="226">
        <f>SUM(H25:H26)</f>
        <v>6292.9</v>
      </c>
      <c r="I24" s="226">
        <f>SUM(I25:I26)</f>
        <v>6292.9</v>
      </c>
    </row>
    <row r="25" spans="1:9" ht="36" x14ac:dyDescent="0.35">
      <c r="A25" s="342"/>
      <c r="B25" s="514" t="s">
        <v>55</v>
      </c>
      <c r="C25" s="217" t="s">
        <v>39</v>
      </c>
      <c r="D25" s="218" t="s">
        <v>45</v>
      </c>
      <c r="E25" s="218" t="s">
        <v>37</v>
      </c>
      <c r="F25" s="219" t="s">
        <v>284</v>
      </c>
      <c r="G25" s="28" t="s">
        <v>56</v>
      </c>
      <c r="H25" s="226">
        <f>'прил10 (ведом 24-25)'!M410</f>
        <v>92.9</v>
      </c>
      <c r="I25" s="226">
        <f>'прил10 (ведом 24-25)'!N410</f>
        <v>92.9</v>
      </c>
    </row>
    <row r="26" spans="1:9" ht="18" x14ac:dyDescent="0.35">
      <c r="A26" s="342"/>
      <c r="B26" s="517" t="s">
        <v>120</v>
      </c>
      <c r="C26" s="217" t="s">
        <v>39</v>
      </c>
      <c r="D26" s="218" t="s">
        <v>45</v>
      </c>
      <c r="E26" s="218" t="s">
        <v>37</v>
      </c>
      <c r="F26" s="219" t="s">
        <v>284</v>
      </c>
      <c r="G26" s="28" t="s">
        <v>121</v>
      </c>
      <c r="H26" s="226">
        <f>'прил10 (ведом 24-25)'!M411</f>
        <v>6200</v>
      </c>
      <c r="I26" s="226">
        <f>'прил10 (ведом 24-25)'!N411</f>
        <v>6200</v>
      </c>
    </row>
    <row r="27" spans="1:9" ht="162" x14ac:dyDescent="0.35">
      <c r="A27" s="342"/>
      <c r="B27" s="514" t="s">
        <v>268</v>
      </c>
      <c r="C27" s="217" t="s">
        <v>39</v>
      </c>
      <c r="D27" s="218" t="s">
        <v>45</v>
      </c>
      <c r="E27" s="218" t="s">
        <v>37</v>
      </c>
      <c r="F27" s="219" t="s">
        <v>269</v>
      </c>
      <c r="G27" s="28"/>
      <c r="H27" s="226">
        <f>H28</f>
        <v>557.9</v>
      </c>
      <c r="I27" s="226">
        <f>I28</f>
        <v>580.29999999999995</v>
      </c>
    </row>
    <row r="28" spans="1:9" ht="36" x14ac:dyDescent="0.35">
      <c r="A28" s="342"/>
      <c r="B28" s="514" t="s">
        <v>76</v>
      </c>
      <c r="C28" s="217" t="s">
        <v>39</v>
      </c>
      <c r="D28" s="218" t="s">
        <v>45</v>
      </c>
      <c r="E28" s="218" t="s">
        <v>37</v>
      </c>
      <c r="F28" s="219" t="s">
        <v>269</v>
      </c>
      <c r="G28" s="28" t="s">
        <v>77</v>
      </c>
      <c r="H28" s="226">
        <f>'прил10 (ведом 24-25)'!M306</f>
        <v>557.9</v>
      </c>
      <c r="I28" s="226">
        <f>'прил10 (ведом 24-25)'!N306</f>
        <v>580.29999999999995</v>
      </c>
    </row>
    <row r="29" spans="1:9" ht="90" x14ac:dyDescent="0.35">
      <c r="A29" s="342"/>
      <c r="B29" s="514" t="s">
        <v>345</v>
      </c>
      <c r="C29" s="217" t="s">
        <v>39</v>
      </c>
      <c r="D29" s="218" t="s">
        <v>45</v>
      </c>
      <c r="E29" s="218" t="s">
        <v>37</v>
      </c>
      <c r="F29" s="219" t="s">
        <v>270</v>
      </c>
      <c r="G29" s="28"/>
      <c r="H29" s="226">
        <f>H30</f>
        <v>244740.80000000002</v>
      </c>
      <c r="I29" s="226">
        <f>I30</f>
        <v>244740.80000000002</v>
      </c>
    </row>
    <row r="30" spans="1:9" ht="36" x14ac:dyDescent="0.35">
      <c r="A30" s="342"/>
      <c r="B30" s="517" t="s">
        <v>76</v>
      </c>
      <c r="C30" s="217" t="s">
        <v>39</v>
      </c>
      <c r="D30" s="218" t="s">
        <v>45</v>
      </c>
      <c r="E30" s="218" t="s">
        <v>37</v>
      </c>
      <c r="F30" s="219" t="s">
        <v>270</v>
      </c>
      <c r="G30" s="28" t="s">
        <v>77</v>
      </c>
      <c r="H30" s="226">
        <f>'прил10 (ведом 24-25)'!M308</f>
        <v>244740.80000000002</v>
      </c>
      <c r="I30" s="226">
        <f>'прил10 (ведом 24-25)'!N308</f>
        <v>244740.80000000002</v>
      </c>
    </row>
    <row r="31" spans="1:9" ht="18" x14ac:dyDescent="0.35">
      <c r="A31" s="342"/>
      <c r="B31" s="514" t="s">
        <v>272</v>
      </c>
      <c r="C31" s="217" t="s">
        <v>39</v>
      </c>
      <c r="D31" s="218" t="s">
        <v>45</v>
      </c>
      <c r="E31" s="218" t="s">
        <v>39</v>
      </c>
      <c r="F31" s="219" t="s">
        <v>44</v>
      </c>
      <c r="G31" s="28"/>
      <c r="H31" s="226">
        <f>H48+H52+H56+H32+H40+H63+H45+H37+H59+H70+H68+H66</f>
        <v>714677.69999999972</v>
      </c>
      <c r="I31" s="226">
        <f>I48+I52+I56+I32+I40+I63+I45+I37+I59+I70+I68+I66</f>
        <v>704687.3</v>
      </c>
    </row>
    <row r="32" spans="1:9" ht="36" x14ac:dyDescent="0.35">
      <c r="A32" s="342"/>
      <c r="B32" s="514" t="s">
        <v>466</v>
      </c>
      <c r="C32" s="217" t="s">
        <v>39</v>
      </c>
      <c r="D32" s="218" t="s">
        <v>45</v>
      </c>
      <c r="E32" s="218" t="s">
        <v>39</v>
      </c>
      <c r="F32" s="219" t="s">
        <v>91</v>
      </c>
      <c r="G32" s="28"/>
      <c r="H32" s="226">
        <f>SUM(H33:H36)</f>
        <v>81087.199999999997</v>
      </c>
      <c r="I32" s="226">
        <f>SUM(I33:I36)</f>
        <v>94774.8</v>
      </c>
    </row>
    <row r="33" spans="1:9" ht="90" x14ac:dyDescent="0.35">
      <c r="A33" s="342"/>
      <c r="B33" s="515" t="s">
        <v>49</v>
      </c>
      <c r="C33" s="217" t="s">
        <v>39</v>
      </c>
      <c r="D33" s="218" t="s">
        <v>45</v>
      </c>
      <c r="E33" s="218" t="s">
        <v>39</v>
      </c>
      <c r="F33" s="219" t="s">
        <v>91</v>
      </c>
      <c r="G33" s="28" t="s">
        <v>50</v>
      </c>
      <c r="H33" s="226">
        <f>'прил10 (ведом 24-25)'!M319</f>
        <v>361.1</v>
      </c>
      <c r="I33" s="226">
        <f>'прил10 (ведом 24-25)'!N319</f>
        <v>361.1</v>
      </c>
    </row>
    <row r="34" spans="1:9" ht="36" x14ac:dyDescent="0.35">
      <c r="A34" s="342"/>
      <c r="B34" s="515" t="s">
        <v>55</v>
      </c>
      <c r="C34" s="217" t="s">
        <v>39</v>
      </c>
      <c r="D34" s="218" t="s">
        <v>45</v>
      </c>
      <c r="E34" s="218" t="s">
        <v>39</v>
      </c>
      <c r="F34" s="219" t="s">
        <v>91</v>
      </c>
      <c r="G34" s="28" t="s">
        <v>56</v>
      </c>
      <c r="H34" s="226">
        <f>'прил10 (ведом 24-25)'!M320</f>
        <v>8467.9</v>
      </c>
      <c r="I34" s="226">
        <f>'прил10 (ведом 24-25)'!N320</f>
        <v>12418.4</v>
      </c>
    </row>
    <row r="35" spans="1:9" ht="36" x14ac:dyDescent="0.35">
      <c r="A35" s="342"/>
      <c r="B35" s="514" t="s">
        <v>76</v>
      </c>
      <c r="C35" s="217" t="s">
        <v>39</v>
      </c>
      <c r="D35" s="218" t="s">
        <v>45</v>
      </c>
      <c r="E35" s="218" t="s">
        <v>39</v>
      </c>
      <c r="F35" s="219" t="s">
        <v>91</v>
      </c>
      <c r="G35" s="28" t="s">
        <v>77</v>
      </c>
      <c r="H35" s="226">
        <f>'прил10 (ведом 24-25)'!M321</f>
        <v>71870.399999999994</v>
      </c>
      <c r="I35" s="226">
        <f>'прил10 (ведом 24-25)'!N321</f>
        <v>81618.100000000006</v>
      </c>
    </row>
    <row r="36" spans="1:9" ht="18" x14ac:dyDescent="0.35">
      <c r="A36" s="342"/>
      <c r="B36" s="514" t="s">
        <v>57</v>
      </c>
      <c r="C36" s="217" t="s">
        <v>39</v>
      </c>
      <c r="D36" s="218" t="s">
        <v>45</v>
      </c>
      <c r="E36" s="218" t="s">
        <v>39</v>
      </c>
      <c r="F36" s="219" t="s">
        <v>91</v>
      </c>
      <c r="G36" s="28" t="s">
        <v>58</v>
      </c>
      <c r="H36" s="226">
        <f>'прил10 (ведом 24-25)'!M322</f>
        <v>387.8</v>
      </c>
      <c r="I36" s="226">
        <f>'прил10 (ведом 24-25)'!N322</f>
        <v>377.2</v>
      </c>
    </row>
    <row r="37" spans="1:9" ht="36" x14ac:dyDescent="0.35">
      <c r="A37" s="342"/>
      <c r="B37" s="515" t="s">
        <v>207</v>
      </c>
      <c r="C37" s="217" t="s">
        <v>39</v>
      </c>
      <c r="D37" s="218" t="s">
        <v>45</v>
      </c>
      <c r="E37" s="218" t="s">
        <v>39</v>
      </c>
      <c r="F37" s="219" t="s">
        <v>273</v>
      </c>
      <c r="G37" s="28"/>
      <c r="H37" s="226">
        <f>H38+H39</f>
        <v>29811.599999999999</v>
      </c>
      <c r="I37" s="226">
        <f>I38+I39</f>
        <v>29811.599999999999</v>
      </c>
    </row>
    <row r="38" spans="1:9" ht="36" x14ac:dyDescent="0.35">
      <c r="A38" s="342"/>
      <c r="B38" s="515" t="s">
        <v>55</v>
      </c>
      <c r="C38" s="217" t="s">
        <v>39</v>
      </c>
      <c r="D38" s="218" t="s">
        <v>45</v>
      </c>
      <c r="E38" s="218" t="s">
        <v>39</v>
      </c>
      <c r="F38" s="219" t="s">
        <v>273</v>
      </c>
      <c r="G38" s="28" t="s">
        <v>56</v>
      </c>
      <c r="H38" s="226">
        <f>'прил10 (ведом 24-25)'!M324</f>
        <v>4257.3999999999996</v>
      </c>
      <c r="I38" s="226">
        <f>'прил10 (ведом 24-25)'!N324</f>
        <v>4257.3999999999996</v>
      </c>
    </row>
    <row r="39" spans="1:9" ht="36" x14ac:dyDescent="0.35">
      <c r="A39" s="342"/>
      <c r="B39" s="515" t="s">
        <v>76</v>
      </c>
      <c r="C39" s="217" t="s">
        <v>39</v>
      </c>
      <c r="D39" s="218" t="s">
        <v>45</v>
      </c>
      <c r="E39" s="218" t="s">
        <v>39</v>
      </c>
      <c r="F39" s="219" t="s">
        <v>273</v>
      </c>
      <c r="G39" s="28" t="s">
        <v>77</v>
      </c>
      <c r="H39" s="226">
        <f>'прил10 (ведом 24-25)'!M325</f>
        <v>25554.2</v>
      </c>
      <c r="I39" s="226">
        <f>'прил10 (ведом 24-25)'!N325</f>
        <v>25554.2</v>
      </c>
    </row>
    <row r="40" spans="1:9" ht="36" x14ac:dyDescent="0.35">
      <c r="A40" s="342"/>
      <c r="B40" s="515" t="s">
        <v>208</v>
      </c>
      <c r="C40" s="217" t="s">
        <v>39</v>
      </c>
      <c r="D40" s="218" t="s">
        <v>45</v>
      </c>
      <c r="E40" s="218" t="s">
        <v>39</v>
      </c>
      <c r="F40" s="219" t="s">
        <v>274</v>
      </c>
      <c r="G40" s="28"/>
      <c r="H40" s="226">
        <f>SUM(H41:H44)</f>
        <v>17362.7</v>
      </c>
      <c r="I40" s="226">
        <f>SUM(I41:I44)</f>
        <v>17338.3</v>
      </c>
    </row>
    <row r="41" spans="1:9" ht="90" x14ac:dyDescent="0.35">
      <c r="A41" s="342"/>
      <c r="B41" s="518" t="s">
        <v>49</v>
      </c>
      <c r="C41" s="217" t="s">
        <v>39</v>
      </c>
      <c r="D41" s="218" t="s">
        <v>45</v>
      </c>
      <c r="E41" s="218" t="s">
        <v>39</v>
      </c>
      <c r="F41" s="219" t="s">
        <v>274</v>
      </c>
      <c r="G41" s="28" t="s">
        <v>50</v>
      </c>
      <c r="H41" s="226">
        <f>'прил10 (ведом 24-25)'!M327</f>
        <v>93.8</v>
      </c>
      <c r="I41" s="226">
        <f>'прил10 (ведом 24-25)'!N327</f>
        <v>93.8</v>
      </c>
    </row>
    <row r="42" spans="1:9" ht="36" x14ac:dyDescent="0.35">
      <c r="A42" s="342"/>
      <c r="B42" s="515" t="s">
        <v>55</v>
      </c>
      <c r="C42" s="217" t="s">
        <v>39</v>
      </c>
      <c r="D42" s="218" t="s">
        <v>45</v>
      </c>
      <c r="E42" s="218" t="s">
        <v>39</v>
      </c>
      <c r="F42" s="219" t="s">
        <v>274</v>
      </c>
      <c r="G42" s="28" t="s">
        <v>56</v>
      </c>
      <c r="H42" s="226">
        <f>'прил10 (ведом 24-25)'!M328</f>
        <v>546.20000000000005</v>
      </c>
      <c r="I42" s="226">
        <f>'прил10 (ведом 24-25)'!N328</f>
        <v>546.20000000000005</v>
      </c>
    </row>
    <row r="43" spans="1:9" ht="36" x14ac:dyDescent="0.35">
      <c r="A43" s="342"/>
      <c r="B43" s="516" t="s">
        <v>203</v>
      </c>
      <c r="C43" s="217" t="s">
        <v>39</v>
      </c>
      <c r="D43" s="218" t="s">
        <v>45</v>
      </c>
      <c r="E43" s="218" t="s">
        <v>39</v>
      </c>
      <c r="F43" s="219" t="s">
        <v>274</v>
      </c>
      <c r="G43" s="28" t="s">
        <v>204</v>
      </c>
      <c r="H43" s="226">
        <f>'прил10 (ведом 24-25)'!M269</f>
        <v>862.4</v>
      </c>
      <c r="I43" s="226">
        <f>'прил10 (ведом 24-25)'!N269</f>
        <v>838</v>
      </c>
    </row>
    <row r="44" spans="1:9" ht="36" x14ac:dyDescent="0.35">
      <c r="A44" s="342"/>
      <c r="B44" s="515" t="s">
        <v>76</v>
      </c>
      <c r="C44" s="217" t="s">
        <v>39</v>
      </c>
      <c r="D44" s="218" t="s">
        <v>45</v>
      </c>
      <c r="E44" s="218" t="s">
        <v>39</v>
      </c>
      <c r="F44" s="219" t="s">
        <v>274</v>
      </c>
      <c r="G44" s="28" t="s">
        <v>77</v>
      </c>
      <c r="H44" s="226">
        <f>'прил10 (ведом 24-25)'!M329</f>
        <v>15860.3</v>
      </c>
      <c r="I44" s="226">
        <f>'прил10 (ведом 24-25)'!N329</f>
        <v>15860.3</v>
      </c>
    </row>
    <row r="45" spans="1:9" ht="234" x14ac:dyDescent="0.35">
      <c r="A45" s="342"/>
      <c r="B45" s="515" t="s">
        <v>606</v>
      </c>
      <c r="C45" s="217" t="s">
        <v>39</v>
      </c>
      <c r="D45" s="218" t="s">
        <v>45</v>
      </c>
      <c r="E45" s="218" t="s">
        <v>39</v>
      </c>
      <c r="F45" s="219" t="s">
        <v>524</v>
      </c>
      <c r="G45" s="28"/>
      <c r="H45" s="226">
        <f>H46+H47</f>
        <v>35752.9</v>
      </c>
      <c r="I45" s="226">
        <f>I46+I47</f>
        <v>35752.9</v>
      </c>
    </row>
    <row r="46" spans="1:9" ht="90" x14ac:dyDescent="0.35">
      <c r="A46" s="342"/>
      <c r="B46" s="515" t="s">
        <v>49</v>
      </c>
      <c r="C46" s="217" t="s">
        <v>39</v>
      </c>
      <c r="D46" s="218" t="s">
        <v>45</v>
      </c>
      <c r="E46" s="218" t="s">
        <v>39</v>
      </c>
      <c r="F46" s="219" t="s">
        <v>524</v>
      </c>
      <c r="G46" s="28" t="s">
        <v>50</v>
      </c>
      <c r="H46" s="226">
        <f>'прил10 (ведом 24-25)'!M331</f>
        <v>2968.6</v>
      </c>
      <c r="I46" s="226">
        <f>'прил10 (ведом 24-25)'!N331</f>
        <v>2968.6</v>
      </c>
    </row>
    <row r="47" spans="1:9" ht="36" x14ac:dyDescent="0.35">
      <c r="A47" s="342"/>
      <c r="B47" s="515" t="s">
        <v>76</v>
      </c>
      <c r="C47" s="217" t="s">
        <v>39</v>
      </c>
      <c r="D47" s="218" t="s">
        <v>45</v>
      </c>
      <c r="E47" s="218" t="s">
        <v>39</v>
      </c>
      <c r="F47" s="219" t="s">
        <v>524</v>
      </c>
      <c r="G47" s="28" t="s">
        <v>77</v>
      </c>
      <c r="H47" s="226">
        <f>'прил10 (ведом 24-25)'!M332</f>
        <v>32784.300000000003</v>
      </c>
      <c r="I47" s="226">
        <f>'прил10 (ведом 24-25)'!N332</f>
        <v>32784.300000000003</v>
      </c>
    </row>
    <row r="48" spans="1:9" ht="162" x14ac:dyDescent="0.35">
      <c r="A48" s="342"/>
      <c r="B48" s="514" t="s">
        <v>268</v>
      </c>
      <c r="C48" s="217" t="s">
        <v>39</v>
      </c>
      <c r="D48" s="218" t="s">
        <v>45</v>
      </c>
      <c r="E48" s="218" t="s">
        <v>39</v>
      </c>
      <c r="F48" s="219" t="s">
        <v>269</v>
      </c>
      <c r="G48" s="28"/>
      <c r="H48" s="226">
        <f>SUM(H49:H51)</f>
        <v>1599.6</v>
      </c>
      <c r="I48" s="226">
        <f>SUM(I49:I51)</f>
        <v>1663.6</v>
      </c>
    </row>
    <row r="49" spans="1:9" ht="90" x14ac:dyDescent="0.35">
      <c r="A49" s="342"/>
      <c r="B49" s="515" t="s">
        <v>49</v>
      </c>
      <c r="C49" s="217" t="s">
        <v>39</v>
      </c>
      <c r="D49" s="218" t="s">
        <v>45</v>
      </c>
      <c r="E49" s="218" t="s">
        <v>39</v>
      </c>
      <c r="F49" s="219" t="s">
        <v>269</v>
      </c>
      <c r="G49" s="28" t="s">
        <v>50</v>
      </c>
      <c r="H49" s="226">
        <f>'прил10 (ведом 24-25)'!M334</f>
        <v>77.599999999999994</v>
      </c>
      <c r="I49" s="226">
        <f>'прил10 (ведом 24-25)'!N334</f>
        <v>80</v>
      </c>
    </row>
    <row r="50" spans="1:9" ht="18" x14ac:dyDescent="0.35">
      <c r="A50" s="342"/>
      <c r="B50" s="515" t="s">
        <v>120</v>
      </c>
      <c r="C50" s="217" t="s">
        <v>39</v>
      </c>
      <c r="D50" s="218" t="s">
        <v>45</v>
      </c>
      <c r="E50" s="218" t="s">
        <v>39</v>
      </c>
      <c r="F50" s="219" t="s">
        <v>269</v>
      </c>
      <c r="G50" s="28" t="s">
        <v>121</v>
      </c>
      <c r="H50" s="226">
        <f>'прил10 (ведом 24-25)'!M335</f>
        <v>5.5</v>
      </c>
      <c r="I50" s="226">
        <f>'прил10 (ведом 24-25)'!N335</f>
        <v>5.6</v>
      </c>
    </row>
    <row r="51" spans="1:9" ht="36" x14ac:dyDescent="0.35">
      <c r="A51" s="342"/>
      <c r="B51" s="514" t="s">
        <v>76</v>
      </c>
      <c r="C51" s="217" t="s">
        <v>39</v>
      </c>
      <c r="D51" s="218" t="s">
        <v>45</v>
      </c>
      <c r="E51" s="218" t="s">
        <v>39</v>
      </c>
      <c r="F51" s="219" t="s">
        <v>269</v>
      </c>
      <c r="G51" s="28" t="s">
        <v>77</v>
      </c>
      <c r="H51" s="226">
        <f>'прил10 (ведом 24-25)'!M336</f>
        <v>1516.5</v>
      </c>
      <c r="I51" s="226">
        <f>'прил10 (ведом 24-25)'!N336</f>
        <v>1578</v>
      </c>
    </row>
    <row r="52" spans="1:9" ht="90" x14ac:dyDescent="0.35">
      <c r="A52" s="342"/>
      <c r="B52" s="514" t="s">
        <v>345</v>
      </c>
      <c r="C52" s="217" t="s">
        <v>39</v>
      </c>
      <c r="D52" s="218" t="s">
        <v>45</v>
      </c>
      <c r="E52" s="218" t="s">
        <v>39</v>
      </c>
      <c r="F52" s="219" t="s">
        <v>270</v>
      </c>
      <c r="G52" s="28"/>
      <c r="H52" s="226">
        <f>SUM(H53:H55)</f>
        <v>444750.99999999994</v>
      </c>
      <c r="I52" s="226">
        <f>SUM(I53:I55)</f>
        <v>444788.39999999997</v>
      </c>
    </row>
    <row r="53" spans="1:9" ht="90" x14ac:dyDescent="0.35">
      <c r="A53" s="342"/>
      <c r="B53" s="514" t="s">
        <v>49</v>
      </c>
      <c r="C53" s="217" t="s">
        <v>39</v>
      </c>
      <c r="D53" s="218" t="s">
        <v>45</v>
      </c>
      <c r="E53" s="218" t="s">
        <v>39</v>
      </c>
      <c r="F53" s="219" t="s">
        <v>270</v>
      </c>
      <c r="G53" s="28" t="s">
        <v>50</v>
      </c>
      <c r="H53" s="226">
        <f>'прил10 (ведом 24-25)'!M338</f>
        <v>30259.8</v>
      </c>
      <c r="I53" s="226">
        <f>'прил10 (ведом 24-25)'!N338</f>
        <v>30259.8</v>
      </c>
    </row>
    <row r="54" spans="1:9" ht="36" x14ac:dyDescent="0.35">
      <c r="A54" s="342"/>
      <c r="B54" s="514" t="s">
        <v>55</v>
      </c>
      <c r="C54" s="217" t="s">
        <v>39</v>
      </c>
      <c r="D54" s="218" t="s">
        <v>45</v>
      </c>
      <c r="E54" s="218" t="s">
        <v>39</v>
      </c>
      <c r="F54" s="219" t="s">
        <v>270</v>
      </c>
      <c r="G54" s="28" t="s">
        <v>56</v>
      </c>
      <c r="H54" s="226">
        <f>'прил10 (ведом 24-25)'!M339</f>
        <v>1983</v>
      </c>
      <c r="I54" s="226">
        <f>'прил10 (ведом 24-25)'!N339</f>
        <v>1983</v>
      </c>
    </row>
    <row r="55" spans="1:9" ht="36" x14ac:dyDescent="0.35">
      <c r="A55" s="342"/>
      <c r="B55" s="514" t="s">
        <v>76</v>
      </c>
      <c r="C55" s="217" t="s">
        <v>39</v>
      </c>
      <c r="D55" s="218" t="s">
        <v>45</v>
      </c>
      <c r="E55" s="218" t="s">
        <v>39</v>
      </c>
      <c r="F55" s="219" t="s">
        <v>270</v>
      </c>
      <c r="G55" s="28" t="s">
        <v>77</v>
      </c>
      <c r="H55" s="226">
        <f>'прил10 (ведом 24-25)'!M340</f>
        <v>412508.19999999995</v>
      </c>
      <c r="I55" s="226">
        <f>'прил10 (ведом 24-25)'!N340</f>
        <v>412545.6</v>
      </c>
    </row>
    <row r="56" spans="1:9" ht="72" x14ac:dyDescent="0.35">
      <c r="A56" s="342"/>
      <c r="B56" s="514" t="s">
        <v>209</v>
      </c>
      <c r="C56" s="690" t="s">
        <v>39</v>
      </c>
      <c r="D56" s="690" t="s">
        <v>45</v>
      </c>
      <c r="E56" s="690" t="s">
        <v>39</v>
      </c>
      <c r="F56" s="691" t="s">
        <v>275</v>
      </c>
      <c r="G56" s="247"/>
      <c r="H56" s="226">
        <f>SUM(H57:H58)</f>
        <v>2502.6</v>
      </c>
      <c r="I56" s="226">
        <f>SUM(I57:I58)</f>
        <v>2502.6</v>
      </c>
    </row>
    <row r="57" spans="1:9" ht="36" x14ac:dyDescent="0.35">
      <c r="A57" s="342"/>
      <c r="B57" s="515" t="s">
        <v>55</v>
      </c>
      <c r="C57" s="217" t="s">
        <v>39</v>
      </c>
      <c r="D57" s="218" t="s">
        <v>45</v>
      </c>
      <c r="E57" s="218" t="s">
        <v>39</v>
      </c>
      <c r="F57" s="219" t="s">
        <v>275</v>
      </c>
      <c r="G57" s="28" t="s">
        <v>56</v>
      </c>
      <c r="H57" s="226">
        <f>'прил10 (ведом 24-25)'!M342</f>
        <v>129.9</v>
      </c>
      <c r="I57" s="226">
        <f>'прил10 (ведом 24-25)'!N342</f>
        <v>129.9</v>
      </c>
    </row>
    <row r="58" spans="1:9" ht="36" x14ac:dyDescent="0.35">
      <c r="A58" s="342"/>
      <c r="B58" s="514" t="s">
        <v>76</v>
      </c>
      <c r="C58" s="690" t="s">
        <v>39</v>
      </c>
      <c r="D58" s="690" t="s">
        <v>45</v>
      </c>
      <c r="E58" s="690" t="s">
        <v>39</v>
      </c>
      <c r="F58" s="691" t="s">
        <v>275</v>
      </c>
      <c r="G58" s="247" t="s">
        <v>77</v>
      </c>
      <c r="H58" s="226">
        <f>'прил10 (ведом 24-25)'!M343</f>
        <v>2372.6999999999998</v>
      </c>
      <c r="I58" s="226">
        <f>'прил10 (ведом 24-25)'!N343</f>
        <v>2372.6999999999998</v>
      </c>
    </row>
    <row r="59" spans="1:9" ht="126" x14ac:dyDescent="0.35">
      <c r="A59" s="342"/>
      <c r="B59" s="518" t="s">
        <v>553</v>
      </c>
      <c r="C59" s="696" t="s">
        <v>39</v>
      </c>
      <c r="D59" s="697" t="s">
        <v>45</v>
      </c>
      <c r="E59" s="697" t="s">
        <v>39</v>
      </c>
      <c r="F59" s="698" t="s">
        <v>552</v>
      </c>
      <c r="G59" s="10"/>
      <c r="H59" s="226">
        <f>SUM(H60:H62)</f>
        <v>2232.2000000000003</v>
      </c>
      <c r="I59" s="226">
        <f>SUM(I60:I62)</f>
        <v>2086.4</v>
      </c>
    </row>
    <row r="60" spans="1:9" ht="36" x14ac:dyDescent="0.35">
      <c r="A60" s="342"/>
      <c r="B60" s="518" t="s">
        <v>55</v>
      </c>
      <c r="C60" s="696" t="s">
        <v>39</v>
      </c>
      <c r="D60" s="697" t="s">
        <v>45</v>
      </c>
      <c r="E60" s="697" t="s">
        <v>39</v>
      </c>
      <c r="F60" s="698" t="s">
        <v>552</v>
      </c>
      <c r="G60" s="10" t="s">
        <v>56</v>
      </c>
      <c r="H60" s="226">
        <f>'прил10 (ведом 24-25)'!M345</f>
        <v>79.900000000000006</v>
      </c>
      <c r="I60" s="226">
        <f>'прил10 (ведом 24-25)'!N345</f>
        <v>66.3</v>
      </c>
    </row>
    <row r="61" spans="1:9" ht="18" x14ac:dyDescent="0.35">
      <c r="A61" s="342"/>
      <c r="B61" s="515" t="s">
        <v>120</v>
      </c>
      <c r="C61" s="217" t="s">
        <v>39</v>
      </c>
      <c r="D61" s="218" t="s">
        <v>45</v>
      </c>
      <c r="E61" s="218" t="s">
        <v>39</v>
      </c>
      <c r="F61" s="219" t="s">
        <v>552</v>
      </c>
      <c r="G61" s="28" t="s">
        <v>121</v>
      </c>
      <c r="H61" s="226">
        <f>'прил10 (ведом 24-25)'!M346</f>
        <v>25.5</v>
      </c>
      <c r="I61" s="226">
        <f>'прил10 (ведом 24-25)'!N346</f>
        <v>23.6</v>
      </c>
    </row>
    <row r="62" spans="1:9" ht="36" x14ac:dyDescent="0.35">
      <c r="A62" s="342"/>
      <c r="B62" s="518" t="s">
        <v>76</v>
      </c>
      <c r="C62" s="696" t="s">
        <v>39</v>
      </c>
      <c r="D62" s="697" t="s">
        <v>45</v>
      </c>
      <c r="E62" s="697" t="s">
        <v>39</v>
      </c>
      <c r="F62" s="698" t="s">
        <v>552</v>
      </c>
      <c r="G62" s="10" t="s">
        <v>77</v>
      </c>
      <c r="H62" s="226">
        <f>'прил10 (ведом 24-25)'!M347</f>
        <v>2126.8000000000002</v>
      </c>
      <c r="I62" s="226">
        <f>'прил10 (ведом 24-25)'!N347</f>
        <v>1996.5</v>
      </c>
    </row>
    <row r="63" spans="1:9" ht="72" x14ac:dyDescent="0.35">
      <c r="A63" s="342"/>
      <c r="B63" s="515" t="s">
        <v>457</v>
      </c>
      <c r="C63" s="217" t="s">
        <v>39</v>
      </c>
      <c r="D63" s="218" t="s">
        <v>45</v>
      </c>
      <c r="E63" s="218" t="s">
        <v>39</v>
      </c>
      <c r="F63" s="219" t="s">
        <v>456</v>
      </c>
      <c r="G63" s="28"/>
      <c r="H63" s="226">
        <f>H64+H65</f>
        <v>63320.5</v>
      </c>
      <c r="I63" s="226">
        <f>I64+I65</f>
        <v>62761.9</v>
      </c>
    </row>
    <row r="64" spans="1:9" ht="36" x14ac:dyDescent="0.35">
      <c r="A64" s="342"/>
      <c r="B64" s="515" t="s">
        <v>55</v>
      </c>
      <c r="C64" s="217" t="s">
        <v>39</v>
      </c>
      <c r="D64" s="218" t="s">
        <v>45</v>
      </c>
      <c r="E64" s="218" t="s">
        <v>39</v>
      </c>
      <c r="F64" s="219" t="s">
        <v>456</v>
      </c>
      <c r="G64" s="28" t="s">
        <v>56</v>
      </c>
      <c r="H64" s="226">
        <f>'прил10 (ведом 24-25)'!M349</f>
        <v>1902.9</v>
      </c>
      <c r="I64" s="226">
        <f>'прил10 (ведом 24-25)'!N349</f>
        <v>1917.7</v>
      </c>
    </row>
    <row r="65" spans="1:9" ht="36" x14ac:dyDescent="0.35">
      <c r="A65" s="342"/>
      <c r="B65" s="515" t="s">
        <v>76</v>
      </c>
      <c r="C65" s="217" t="s">
        <v>39</v>
      </c>
      <c r="D65" s="218" t="s">
        <v>45</v>
      </c>
      <c r="E65" s="218" t="s">
        <v>39</v>
      </c>
      <c r="F65" s="219" t="s">
        <v>456</v>
      </c>
      <c r="G65" s="28" t="s">
        <v>77</v>
      </c>
      <c r="H65" s="226">
        <f>'прил10 (ведом 24-25)'!M350</f>
        <v>61417.599999999999</v>
      </c>
      <c r="I65" s="226">
        <f>'прил10 (ведом 24-25)'!N350</f>
        <v>60844.200000000004</v>
      </c>
    </row>
    <row r="66" spans="1:9" ht="108" x14ac:dyDescent="0.35">
      <c r="A66" s="342"/>
      <c r="B66" s="607" t="s">
        <v>505</v>
      </c>
      <c r="C66" s="374" t="s">
        <v>39</v>
      </c>
      <c r="D66" s="375" t="s">
        <v>45</v>
      </c>
      <c r="E66" s="375" t="s">
        <v>39</v>
      </c>
      <c r="F66" s="376" t="s">
        <v>504</v>
      </c>
      <c r="G66" s="434"/>
      <c r="H66" s="226">
        <f>H67</f>
        <v>17968.2</v>
      </c>
      <c r="I66" s="226">
        <f>I67</f>
        <v>0</v>
      </c>
    </row>
    <row r="67" spans="1:9" ht="36" x14ac:dyDescent="0.35">
      <c r="A67" s="342"/>
      <c r="B67" s="607" t="s">
        <v>203</v>
      </c>
      <c r="C67" s="615" t="s">
        <v>39</v>
      </c>
      <c r="D67" s="616" t="s">
        <v>45</v>
      </c>
      <c r="E67" s="616" t="s">
        <v>39</v>
      </c>
      <c r="F67" s="617" t="s">
        <v>504</v>
      </c>
      <c r="G67" s="434" t="s">
        <v>204</v>
      </c>
      <c r="H67" s="226">
        <f>'прил10 (ведом 24-25)'!M271</f>
        <v>17968.2</v>
      </c>
      <c r="I67" s="226">
        <f>'прил10 (ведом 24-25)'!N271</f>
        <v>0</v>
      </c>
    </row>
    <row r="68" spans="1:9" ht="162" x14ac:dyDescent="0.35">
      <c r="A68" s="342"/>
      <c r="B68" s="518" t="s">
        <v>554</v>
      </c>
      <c r="C68" s="696" t="s">
        <v>39</v>
      </c>
      <c r="D68" s="697" t="s">
        <v>45</v>
      </c>
      <c r="E68" s="697" t="s">
        <v>39</v>
      </c>
      <c r="F68" s="698" t="s">
        <v>555</v>
      </c>
      <c r="G68" s="10"/>
      <c r="H68" s="226">
        <f>H69</f>
        <v>3900.6</v>
      </c>
      <c r="I68" s="226">
        <f>I69</f>
        <v>0</v>
      </c>
    </row>
    <row r="69" spans="1:9" ht="36" x14ac:dyDescent="0.35">
      <c r="A69" s="342"/>
      <c r="B69" s="518" t="s">
        <v>76</v>
      </c>
      <c r="C69" s="696" t="s">
        <v>39</v>
      </c>
      <c r="D69" s="697" t="s">
        <v>45</v>
      </c>
      <c r="E69" s="697" t="s">
        <v>39</v>
      </c>
      <c r="F69" s="698" t="s">
        <v>555</v>
      </c>
      <c r="G69" s="10" t="s">
        <v>77</v>
      </c>
      <c r="H69" s="226">
        <f>'прил10 (ведом 24-25)'!M352</f>
        <v>3900.6</v>
      </c>
      <c r="I69" s="226">
        <f>'прил10 (ведом 24-25)'!N352</f>
        <v>0</v>
      </c>
    </row>
    <row r="70" spans="1:9" ht="72" x14ac:dyDescent="0.35">
      <c r="A70" s="342"/>
      <c r="B70" s="518" t="s">
        <v>550</v>
      </c>
      <c r="C70" s="696" t="s">
        <v>39</v>
      </c>
      <c r="D70" s="697" t="s">
        <v>45</v>
      </c>
      <c r="E70" s="697" t="s">
        <v>39</v>
      </c>
      <c r="F70" s="698" t="s">
        <v>549</v>
      </c>
      <c r="G70" s="28"/>
      <c r="H70" s="226">
        <f>H71+H72+H73</f>
        <v>14388.6</v>
      </c>
      <c r="I70" s="226">
        <f>I71+I72+I73</f>
        <v>13206.8</v>
      </c>
    </row>
    <row r="71" spans="1:9" ht="36" x14ac:dyDescent="0.35">
      <c r="A71" s="342"/>
      <c r="B71" s="518" t="s">
        <v>55</v>
      </c>
      <c r="C71" s="696" t="s">
        <v>39</v>
      </c>
      <c r="D71" s="697" t="s">
        <v>45</v>
      </c>
      <c r="E71" s="697" t="s">
        <v>39</v>
      </c>
      <c r="F71" s="698" t="s">
        <v>549</v>
      </c>
      <c r="G71" s="10" t="s">
        <v>56</v>
      </c>
      <c r="H71" s="226">
        <f>'прил10 (ведом 24-25)'!M354</f>
        <v>90.6</v>
      </c>
      <c r="I71" s="226">
        <f>'прил10 (ведом 24-25)'!N354</f>
        <v>71.900000000000006</v>
      </c>
    </row>
    <row r="72" spans="1:9" ht="18" x14ac:dyDescent="0.35">
      <c r="A72" s="342"/>
      <c r="B72" s="518" t="s">
        <v>120</v>
      </c>
      <c r="C72" s="696" t="s">
        <v>39</v>
      </c>
      <c r="D72" s="697" t="s">
        <v>45</v>
      </c>
      <c r="E72" s="697" t="s">
        <v>39</v>
      </c>
      <c r="F72" s="698" t="s">
        <v>549</v>
      </c>
      <c r="G72" s="10" t="s">
        <v>121</v>
      </c>
      <c r="H72" s="226">
        <f>'прил10 (ведом 24-25)'!M355</f>
        <v>102</v>
      </c>
      <c r="I72" s="226">
        <f>'прил10 (ведом 24-25)'!N355</f>
        <v>102</v>
      </c>
    </row>
    <row r="73" spans="1:9" ht="36" x14ac:dyDescent="0.35">
      <c r="A73" s="342"/>
      <c r="B73" s="518" t="s">
        <v>76</v>
      </c>
      <c r="C73" s="696" t="s">
        <v>39</v>
      </c>
      <c r="D73" s="697" t="s">
        <v>45</v>
      </c>
      <c r="E73" s="697" t="s">
        <v>39</v>
      </c>
      <c r="F73" s="698" t="s">
        <v>549</v>
      </c>
      <c r="G73" s="10" t="s">
        <v>77</v>
      </c>
      <c r="H73" s="226">
        <f>'прил10 (ведом 24-25)'!M356</f>
        <v>14196</v>
      </c>
      <c r="I73" s="226">
        <f>'прил10 (ведом 24-25)'!N356</f>
        <v>13032.9</v>
      </c>
    </row>
    <row r="74" spans="1:9" ht="72" x14ac:dyDescent="0.35">
      <c r="A74" s="342"/>
      <c r="B74" s="518" t="s">
        <v>676</v>
      </c>
      <c r="C74" s="696" t="s">
        <v>39</v>
      </c>
      <c r="D74" s="697" t="s">
        <v>45</v>
      </c>
      <c r="E74" s="697" t="s">
        <v>657</v>
      </c>
      <c r="F74" s="698" t="s">
        <v>675</v>
      </c>
      <c r="G74" s="10"/>
      <c r="H74" s="226">
        <f>H75+H76</f>
        <v>5457.5</v>
      </c>
      <c r="I74" s="226">
        <f>I75+I76</f>
        <v>5457.5</v>
      </c>
    </row>
    <row r="75" spans="1:9" ht="90" x14ac:dyDescent="0.35">
      <c r="A75" s="342"/>
      <c r="B75" s="518" t="s">
        <v>49</v>
      </c>
      <c r="C75" s="696" t="s">
        <v>39</v>
      </c>
      <c r="D75" s="697" t="s">
        <v>45</v>
      </c>
      <c r="E75" s="697" t="s">
        <v>657</v>
      </c>
      <c r="F75" s="698" t="s">
        <v>675</v>
      </c>
      <c r="G75" s="10" t="s">
        <v>50</v>
      </c>
      <c r="H75" s="226">
        <f>'прил10 (ведом 24-25)'!M358</f>
        <v>399.32925</v>
      </c>
      <c r="I75" s="226">
        <f>'прил10 (ведом 24-25)'!N358</f>
        <v>399.32925</v>
      </c>
    </row>
    <row r="76" spans="1:9" ht="36" x14ac:dyDescent="0.35">
      <c r="A76" s="342"/>
      <c r="B76" s="518" t="s">
        <v>76</v>
      </c>
      <c r="C76" s="696" t="s">
        <v>39</v>
      </c>
      <c r="D76" s="697" t="s">
        <v>45</v>
      </c>
      <c r="E76" s="697" t="s">
        <v>657</v>
      </c>
      <c r="F76" s="698" t="s">
        <v>675</v>
      </c>
      <c r="G76" s="10" t="s">
        <v>77</v>
      </c>
      <c r="H76" s="226">
        <f>'прил10 (ведом 24-25)'!M359</f>
        <v>5058.1707500000002</v>
      </c>
      <c r="I76" s="226">
        <f>'прил10 (ведом 24-25)'!N359</f>
        <v>5058.1707500000002</v>
      </c>
    </row>
    <row r="77" spans="1:9" ht="18" x14ac:dyDescent="0.35">
      <c r="A77" s="342"/>
      <c r="B77" s="514" t="s">
        <v>210</v>
      </c>
      <c r="C77" s="217" t="s">
        <v>39</v>
      </c>
      <c r="D77" s="218" t="s">
        <v>89</v>
      </c>
      <c r="E77" s="218" t="s">
        <v>43</v>
      </c>
      <c r="F77" s="219" t="s">
        <v>44</v>
      </c>
      <c r="G77" s="247"/>
      <c r="H77" s="226">
        <f>H78</f>
        <v>70176.600000000006</v>
      </c>
      <c r="I77" s="226">
        <f>I78</f>
        <v>80775.10000000002</v>
      </c>
    </row>
    <row r="78" spans="1:9" ht="36" x14ac:dyDescent="0.35">
      <c r="A78" s="342"/>
      <c r="B78" s="514" t="s">
        <v>276</v>
      </c>
      <c r="C78" s="217" t="s">
        <v>39</v>
      </c>
      <c r="D78" s="218" t="s">
        <v>89</v>
      </c>
      <c r="E78" s="218" t="s">
        <v>37</v>
      </c>
      <c r="F78" s="219" t="s">
        <v>44</v>
      </c>
      <c r="G78" s="247"/>
      <c r="H78" s="226">
        <f>H79+H87+H89+H84</f>
        <v>70176.600000000006</v>
      </c>
      <c r="I78" s="226">
        <f>I79+I87+I89+I84</f>
        <v>80775.10000000002</v>
      </c>
    </row>
    <row r="79" spans="1:9" ht="36" x14ac:dyDescent="0.35">
      <c r="A79" s="342"/>
      <c r="B79" s="514" t="s">
        <v>466</v>
      </c>
      <c r="C79" s="217" t="s">
        <v>39</v>
      </c>
      <c r="D79" s="218" t="s">
        <v>89</v>
      </c>
      <c r="E79" s="218" t="s">
        <v>37</v>
      </c>
      <c r="F79" s="219" t="s">
        <v>91</v>
      </c>
      <c r="G79" s="28"/>
      <c r="H79" s="226">
        <f>SUM(H80:H83)</f>
        <v>53765.8</v>
      </c>
      <c r="I79" s="226">
        <f>SUM(I80:I83)</f>
        <v>64360.80000000001</v>
      </c>
    </row>
    <row r="80" spans="1:9" ht="90" x14ac:dyDescent="0.35">
      <c r="A80" s="342"/>
      <c r="B80" s="515" t="s">
        <v>49</v>
      </c>
      <c r="C80" s="217" t="s">
        <v>39</v>
      </c>
      <c r="D80" s="218" t="s">
        <v>89</v>
      </c>
      <c r="E80" s="218" t="s">
        <v>37</v>
      </c>
      <c r="F80" s="219" t="s">
        <v>91</v>
      </c>
      <c r="G80" s="28" t="s">
        <v>50</v>
      </c>
      <c r="H80" s="226">
        <f>'прил10 (ведом 24-25)'!M370</f>
        <v>15332.3</v>
      </c>
      <c r="I80" s="226">
        <f>'прил10 (ведом 24-25)'!N370</f>
        <v>15332.3</v>
      </c>
    </row>
    <row r="81" spans="1:9" ht="36" x14ac:dyDescent="0.35">
      <c r="A81" s="342"/>
      <c r="B81" s="515" t="s">
        <v>55</v>
      </c>
      <c r="C81" s="217" t="s">
        <v>39</v>
      </c>
      <c r="D81" s="218" t="s">
        <v>89</v>
      </c>
      <c r="E81" s="218" t="s">
        <v>37</v>
      </c>
      <c r="F81" s="219" t="s">
        <v>91</v>
      </c>
      <c r="G81" s="28" t="s">
        <v>56</v>
      </c>
      <c r="H81" s="226">
        <f>'прил10 (ведом 24-25)'!M371</f>
        <v>1122.5915299999999</v>
      </c>
      <c r="I81" s="226">
        <f>'прил10 (ведом 24-25)'!N371</f>
        <v>6539.5915300000006</v>
      </c>
    </row>
    <row r="82" spans="1:9" ht="36" x14ac:dyDescent="0.35">
      <c r="A82" s="342"/>
      <c r="B82" s="514" t="s">
        <v>76</v>
      </c>
      <c r="C82" s="217" t="s">
        <v>39</v>
      </c>
      <c r="D82" s="218" t="s">
        <v>89</v>
      </c>
      <c r="E82" s="218" t="s">
        <v>37</v>
      </c>
      <c r="F82" s="219" t="s">
        <v>91</v>
      </c>
      <c r="G82" s="28" t="s">
        <v>77</v>
      </c>
      <c r="H82" s="226">
        <f>'прил10 (ведом 24-25)'!M372</f>
        <v>37266.408470000002</v>
      </c>
      <c r="I82" s="226">
        <f>'прил10 (ведом 24-25)'!N372</f>
        <v>42444.608470000006</v>
      </c>
    </row>
    <row r="83" spans="1:9" ht="18" x14ac:dyDescent="0.35">
      <c r="A83" s="342"/>
      <c r="B83" s="515" t="s">
        <v>57</v>
      </c>
      <c r="C83" s="217" t="s">
        <v>39</v>
      </c>
      <c r="D83" s="218" t="s">
        <v>89</v>
      </c>
      <c r="E83" s="218" t="s">
        <v>37</v>
      </c>
      <c r="F83" s="219" t="s">
        <v>91</v>
      </c>
      <c r="G83" s="28" t="s">
        <v>58</v>
      </c>
      <c r="H83" s="226">
        <f>'прил10 (ведом 24-25)'!M373</f>
        <v>44.5</v>
      </c>
      <c r="I83" s="226">
        <f>'прил10 (ведом 24-25)'!N373</f>
        <v>44.3</v>
      </c>
    </row>
    <row r="84" spans="1:9" ht="36" x14ac:dyDescent="0.35">
      <c r="A84" s="342"/>
      <c r="B84" s="515" t="s">
        <v>207</v>
      </c>
      <c r="C84" s="217" t="s">
        <v>39</v>
      </c>
      <c r="D84" s="218" t="s">
        <v>89</v>
      </c>
      <c r="E84" s="218" t="s">
        <v>37</v>
      </c>
      <c r="F84" s="219" t="s">
        <v>273</v>
      </c>
      <c r="G84" s="28"/>
      <c r="H84" s="226">
        <f>H85+H86</f>
        <v>5321.7999999999993</v>
      </c>
      <c r="I84" s="226">
        <f>I85+I86</f>
        <v>5321.7999999999993</v>
      </c>
    </row>
    <row r="85" spans="1:9" ht="36" x14ac:dyDescent="0.35">
      <c r="A85" s="342"/>
      <c r="B85" s="515" t="s">
        <v>55</v>
      </c>
      <c r="C85" s="217" t="s">
        <v>39</v>
      </c>
      <c r="D85" s="218" t="s">
        <v>89</v>
      </c>
      <c r="E85" s="218" t="s">
        <v>37</v>
      </c>
      <c r="F85" s="219" t="s">
        <v>273</v>
      </c>
      <c r="G85" s="28" t="s">
        <v>56</v>
      </c>
      <c r="H85" s="226">
        <f>'прил10 (ведом 24-25)'!M375</f>
        <v>1064.3499999999999</v>
      </c>
      <c r="I85" s="226">
        <f>'прил10 (ведом 24-25)'!N375</f>
        <v>1064.3499999999999</v>
      </c>
    </row>
    <row r="86" spans="1:9" ht="36" x14ac:dyDescent="0.35">
      <c r="A86" s="342"/>
      <c r="B86" s="519" t="s">
        <v>76</v>
      </c>
      <c r="C86" s="217" t="s">
        <v>39</v>
      </c>
      <c r="D86" s="218" t="s">
        <v>89</v>
      </c>
      <c r="E86" s="218" t="s">
        <v>37</v>
      </c>
      <c r="F86" s="219" t="s">
        <v>273</v>
      </c>
      <c r="G86" s="28" t="s">
        <v>77</v>
      </c>
      <c r="H86" s="226">
        <f>'прил10 (ведом 24-25)'!M376</f>
        <v>4257.45</v>
      </c>
      <c r="I86" s="226">
        <f>'прил10 (ведом 24-25)'!N376</f>
        <v>4257.45</v>
      </c>
    </row>
    <row r="87" spans="1:9" ht="162" x14ac:dyDescent="0.35">
      <c r="A87" s="342"/>
      <c r="B87" s="514" t="s">
        <v>268</v>
      </c>
      <c r="C87" s="217" t="s">
        <v>39</v>
      </c>
      <c r="D87" s="218" t="s">
        <v>89</v>
      </c>
      <c r="E87" s="218" t="s">
        <v>37</v>
      </c>
      <c r="F87" s="219" t="s">
        <v>269</v>
      </c>
      <c r="G87" s="28"/>
      <c r="H87" s="226">
        <f>H88</f>
        <v>89</v>
      </c>
      <c r="I87" s="226">
        <f>I88</f>
        <v>92.5</v>
      </c>
    </row>
    <row r="88" spans="1:9" ht="36" x14ac:dyDescent="0.35">
      <c r="A88" s="342"/>
      <c r="B88" s="515" t="s">
        <v>76</v>
      </c>
      <c r="C88" s="217" t="s">
        <v>39</v>
      </c>
      <c r="D88" s="218" t="s">
        <v>89</v>
      </c>
      <c r="E88" s="218" t="s">
        <v>37</v>
      </c>
      <c r="F88" s="219" t="s">
        <v>269</v>
      </c>
      <c r="G88" s="28" t="s">
        <v>77</v>
      </c>
      <c r="H88" s="226">
        <f>'прил10 (ведом 24-25)'!M378</f>
        <v>89</v>
      </c>
      <c r="I88" s="226">
        <f>'прил10 (ведом 24-25)'!N378</f>
        <v>92.5</v>
      </c>
    </row>
    <row r="89" spans="1:9" ht="90" x14ac:dyDescent="0.35">
      <c r="A89" s="342"/>
      <c r="B89" s="515" t="s">
        <v>345</v>
      </c>
      <c r="C89" s="217" t="s">
        <v>39</v>
      </c>
      <c r="D89" s="218" t="s">
        <v>89</v>
      </c>
      <c r="E89" s="218" t="s">
        <v>37</v>
      </c>
      <c r="F89" s="219" t="s">
        <v>270</v>
      </c>
      <c r="G89" s="28"/>
      <c r="H89" s="226">
        <f>H90</f>
        <v>11000</v>
      </c>
      <c r="I89" s="226">
        <f>I90</f>
        <v>11000</v>
      </c>
    </row>
    <row r="90" spans="1:9" ht="36" x14ac:dyDescent="0.35">
      <c r="A90" s="342"/>
      <c r="B90" s="515" t="s">
        <v>76</v>
      </c>
      <c r="C90" s="217" t="s">
        <v>39</v>
      </c>
      <c r="D90" s="218" t="s">
        <v>89</v>
      </c>
      <c r="E90" s="218" t="s">
        <v>37</v>
      </c>
      <c r="F90" s="219" t="s">
        <v>270</v>
      </c>
      <c r="G90" s="28" t="s">
        <v>77</v>
      </c>
      <c r="H90" s="226">
        <f>'прил10 (ведом 24-25)'!M380</f>
        <v>11000</v>
      </c>
      <c r="I90" s="226">
        <f>'прил10 (ведом 24-25)'!N380</f>
        <v>11000</v>
      </c>
    </row>
    <row r="91" spans="1:9" ht="36" x14ac:dyDescent="0.35">
      <c r="A91" s="342"/>
      <c r="B91" s="514" t="s">
        <v>212</v>
      </c>
      <c r="C91" s="217" t="s">
        <v>39</v>
      </c>
      <c r="D91" s="218" t="s">
        <v>30</v>
      </c>
      <c r="E91" s="218" t="s">
        <v>43</v>
      </c>
      <c r="F91" s="219" t="s">
        <v>44</v>
      </c>
      <c r="G91" s="247"/>
      <c r="H91" s="226">
        <f>H92+H110+H115+H118+H121</f>
        <v>91427.300000000017</v>
      </c>
      <c r="I91" s="226">
        <f>I92+I110+I115+I118+I121</f>
        <v>91171.300000000017</v>
      </c>
    </row>
    <row r="92" spans="1:9" ht="36" x14ac:dyDescent="0.35">
      <c r="A92" s="342"/>
      <c r="B92" s="514" t="s">
        <v>282</v>
      </c>
      <c r="C92" s="217" t="s">
        <v>39</v>
      </c>
      <c r="D92" s="218" t="s">
        <v>30</v>
      </c>
      <c r="E92" s="218" t="s">
        <v>37</v>
      </c>
      <c r="F92" s="219" t="s">
        <v>44</v>
      </c>
      <c r="G92" s="247"/>
      <c r="H92" s="226">
        <f>H93+H97+H107+H104+H102</f>
        <v>83246.600000000006</v>
      </c>
      <c r="I92" s="226">
        <f>I93+I97+I107+I104+I102</f>
        <v>82758.600000000006</v>
      </c>
    </row>
    <row r="93" spans="1:9" ht="36" x14ac:dyDescent="0.35">
      <c r="A93" s="342"/>
      <c r="B93" s="514" t="s">
        <v>47</v>
      </c>
      <c r="C93" s="217" t="s">
        <v>39</v>
      </c>
      <c r="D93" s="218" t="s">
        <v>30</v>
      </c>
      <c r="E93" s="218" t="s">
        <v>37</v>
      </c>
      <c r="F93" s="219" t="s">
        <v>48</v>
      </c>
      <c r="G93" s="28"/>
      <c r="H93" s="226">
        <f>SUM(H94:H96)</f>
        <v>12618</v>
      </c>
      <c r="I93" s="226">
        <f>SUM(I94:I96)</f>
        <v>12624.6</v>
      </c>
    </row>
    <row r="94" spans="1:9" ht="90" x14ac:dyDescent="0.35">
      <c r="A94" s="342"/>
      <c r="B94" s="514" t="s">
        <v>49</v>
      </c>
      <c r="C94" s="217" t="s">
        <v>39</v>
      </c>
      <c r="D94" s="218" t="s">
        <v>30</v>
      </c>
      <c r="E94" s="218" t="s">
        <v>37</v>
      </c>
      <c r="F94" s="219" t="s">
        <v>48</v>
      </c>
      <c r="G94" s="28" t="s">
        <v>50</v>
      </c>
      <c r="H94" s="226">
        <f>'прил10 (ведом 24-25)'!M386</f>
        <v>11816.7</v>
      </c>
      <c r="I94" s="226">
        <f>'прил10 (ведом 24-25)'!N386</f>
        <v>11816.7</v>
      </c>
    </row>
    <row r="95" spans="1:9" ht="36" x14ac:dyDescent="0.35">
      <c r="A95" s="342"/>
      <c r="B95" s="514" t="s">
        <v>55</v>
      </c>
      <c r="C95" s="217" t="s">
        <v>39</v>
      </c>
      <c r="D95" s="218" t="s">
        <v>30</v>
      </c>
      <c r="E95" s="218" t="s">
        <v>37</v>
      </c>
      <c r="F95" s="219" t="s">
        <v>48</v>
      </c>
      <c r="G95" s="28" t="s">
        <v>56</v>
      </c>
      <c r="H95" s="226">
        <f>'прил10 (ведом 24-25)'!M387</f>
        <v>784.4</v>
      </c>
      <c r="I95" s="226">
        <f>'прил10 (ведом 24-25)'!N387</f>
        <v>791.1</v>
      </c>
    </row>
    <row r="96" spans="1:9" ht="18" x14ac:dyDescent="0.35">
      <c r="A96" s="342"/>
      <c r="B96" s="514" t="s">
        <v>57</v>
      </c>
      <c r="C96" s="217" t="s">
        <v>39</v>
      </c>
      <c r="D96" s="218" t="s">
        <v>30</v>
      </c>
      <c r="E96" s="218" t="s">
        <v>37</v>
      </c>
      <c r="F96" s="219" t="s">
        <v>48</v>
      </c>
      <c r="G96" s="28" t="s">
        <v>58</v>
      </c>
      <c r="H96" s="226">
        <f>'прил10 (ведом 24-25)'!M388</f>
        <v>16.899999999999999</v>
      </c>
      <c r="I96" s="226">
        <f>'прил10 (ведом 24-25)'!N388</f>
        <v>16.8</v>
      </c>
    </row>
    <row r="97" spans="1:9" ht="36" x14ac:dyDescent="0.35">
      <c r="A97" s="342"/>
      <c r="B97" s="514" t="s">
        <v>466</v>
      </c>
      <c r="C97" s="217" t="s">
        <v>39</v>
      </c>
      <c r="D97" s="218" t="s">
        <v>30</v>
      </c>
      <c r="E97" s="218" t="s">
        <v>37</v>
      </c>
      <c r="F97" s="219" t="s">
        <v>91</v>
      </c>
      <c r="G97" s="28"/>
      <c r="H97" s="226">
        <f>SUM(H98:H101)</f>
        <v>61101.2</v>
      </c>
      <c r="I97" s="226">
        <f>SUM(I98:I101)</f>
        <v>61130.5</v>
      </c>
    </row>
    <row r="98" spans="1:9" ht="90" x14ac:dyDescent="0.35">
      <c r="A98" s="342"/>
      <c r="B98" s="514" t="s">
        <v>49</v>
      </c>
      <c r="C98" s="217" t="s">
        <v>39</v>
      </c>
      <c r="D98" s="218" t="s">
        <v>30</v>
      </c>
      <c r="E98" s="218" t="s">
        <v>37</v>
      </c>
      <c r="F98" s="219" t="s">
        <v>91</v>
      </c>
      <c r="G98" s="28" t="s">
        <v>50</v>
      </c>
      <c r="H98" s="226">
        <f>'прил10 (ведом 24-25)'!M390</f>
        <v>37625.5</v>
      </c>
      <c r="I98" s="226">
        <f>'прил10 (ведом 24-25)'!N390</f>
        <v>37625.5</v>
      </c>
    </row>
    <row r="99" spans="1:9" ht="36" x14ac:dyDescent="0.35">
      <c r="A99" s="342"/>
      <c r="B99" s="514" t="s">
        <v>55</v>
      </c>
      <c r="C99" s="217" t="s">
        <v>39</v>
      </c>
      <c r="D99" s="218" t="s">
        <v>30</v>
      </c>
      <c r="E99" s="218" t="s">
        <v>37</v>
      </c>
      <c r="F99" s="219" t="s">
        <v>91</v>
      </c>
      <c r="G99" s="28" t="s">
        <v>56</v>
      </c>
      <c r="H99" s="226">
        <f>'прил10 (ведом 24-25)'!M391</f>
        <v>3061.4</v>
      </c>
      <c r="I99" s="226">
        <f>'прил10 (ведом 24-25)'!N391</f>
        <v>3091.4</v>
      </c>
    </row>
    <row r="100" spans="1:9" ht="36" x14ac:dyDescent="0.35">
      <c r="A100" s="342"/>
      <c r="B100" s="515" t="s">
        <v>76</v>
      </c>
      <c r="C100" s="217" t="s">
        <v>39</v>
      </c>
      <c r="D100" s="218" t="s">
        <v>30</v>
      </c>
      <c r="E100" s="218" t="s">
        <v>37</v>
      </c>
      <c r="F100" s="219" t="s">
        <v>91</v>
      </c>
      <c r="G100" s="28" t="s">
        <v>77</v>
      </c>
      <c r="H100" s="226">
        <f>'прил10 (ведом 24-25)'!M392</f>
        <v>20409.3</v>
      </c>
      <c r="I100" s="226">
        <f>'прил10 (ведом 24-25)'!N392</f>
        <v>20409.3</v>
      </c>
    </row>
    <row r="101" spans="1:9" ht="18" x14ac:dyDescent="0.35">
      <c r="A101" s="342"/>
      <c r="B101" s="515" t="s">
        <v>57</v>
      </c>
      <c r="C101" s="217" t="s">
        <v>39</v>
      </c>
      <c r="D101" s="218" t="s">
        <v>30</v>
      </c>
      <c r="E101" s="218" t="s">
        <v>37</v>
      </c>
      <c r="F101" s="219" t="s">
        <v>91</v>
      </c>
      <c r="G101" s="28" t="s">
        <v>58</v>
      </c>
      <c r="H101" s="226">
        <f>'прил10 (ведом 24-25)'!M393</f>
        <v>5</v>
      </c>
      <c r="I101" s="226">
        <f>'прил10 (ведом 24-25)'!N393</f>
        <v>4.3</v>
      </c>
    </row>
    <row r="102" spans="1:9" ht="36" x14ac:dyDescent="0.35">
      <c r="A102" s="342"/>
      <c r="B102" s="518" t="s">
        <v>581</v>
      </c>
      <c r="C102" s="696" t="s">
        <v>39</v>
      </c>
      <c r="D102" s="697" t="s">
        <v>30</v>
      </c>
      <c r="E102" s="697" t="s">
        <v>37</v>
      </c>
      <c r="F102" s="698" t="s">
        <v>580</v>
      </c>
      <c r="G102" s="10"/>
      <c r="H102" s="226">
        <f>H103</f>
        <v>518.6</v>
      </c>
      <c r="I102" s="226">
        <f>I103</f>
        <v>0</v>
      </c>
    </row>
    <row r="103" spans="1:9" ht="36" x14ac:dyDescent="0.35">
      <c r="A103" s="342"/>
      <c r="B103" s="518" t="s">
        <v>76</v>
      </c>
      <c r="C103" s="696" t="s">
        <v>39</v>
      </c>
      <c r="D103" s="697" t="s">
        <v>30</v>
      </c>
      <c r="E103" s="697" t="s">
        <v>37</v>
      </c>
      <c r="F103" s="698" t="s">
        <v>580</v>
      </c>
      <c r="G103" s="10" t="s">
        <v>77</v>
      </c>
      <c r="H103" s="226">
        <f>'прил10 (ведом 24-25)'!M395</f>
        <v>518.6</v>
      </c>
      <c r="I103" s="226">
        <f>'прил10 (ведом 24-25)'!N395</f>
        <v>0</v>
      </c>
    </row>
    <row r="104" spans="1:9" ht="90" x14ac:dyDescent="0.35">
      <c r="A104" s="342"/>
      <c r="B104" s="515" t="s">
        <v>345</v>
      </c>
      <c r="C104" s="217" t="s">
        <v>39</v>
      </c>
      <c r="D104" s="218" t="s">
        <v>30</v>
      </c>
      <c r="E104" s="218" t="s">
        <v>37</v>
      </c>
      <c r="F104" s="219" t="s">
        <v>270</v>
      </c>
      <c r="G104" s="28"/>
      <c r="H104" s="226">
        <f>SUM(H105:H106)</f>
        <v>6836.2000000000007</v>
      </c>
      <c r="I104" s="226">
        <f>SUM(I105:I106)</f>
        <v>6836.8</v>
      </c>
    </row>
    <row r="105" spans="1:9" ht="90" x14ac:dyDescent="0.35">
      <c r="A105" s="342"/>
      <c r="B105" s="515" t="s">
        <v>49</v>
      </c>
      <c r="C105" s="217" t="s">
        <v>39</v>
      </c>
      <c r="D105" s="218" t="s">
        <v>30</v>
      </c>
      <c r="E105" s="218" t="s">
        <v>37</v>
      </c>
      <c r="F105" s="219" t="s">
        <v>270</v>
      </c>
      <c r="G105" s="28" t="s">
        <v>50</v>
      </c>
      <c r="H105" s="226">
        <f>'прил10 (ведом 24-25)'!M397</f>
        <v>6820.6</v>
      </c>
      <c r="I105" s="226">
        <f>'прил10 (ведом 24-25)'!N397</f>
        <v>6821.2</v>
      </c>
    </row>
    <row r="106" spans="1:9" ht="36" x14ac:dyDescent="0.35">
      <c r="A106" s="342"/>
      <c r="B106" s="518" t="s">
        <v>55</v>
      </c>
      <c r="C106" s="696" t="s">
        <v>39</v>
      </c>
      <c r="D106" s="697" t="s">
        <v>30</v>
      </c>
      <c r="E106" s="697" t="s">
        <v>37</v>
      </c>
      <c r="F106" s="698" t="s">
        <v>270</v>
      </c>
      <c r="G106" s="10" t="s">
        <v>56</v>
      </c>
      <c r="H106" s="226">
        <f>'прил10 (ведом 24-25)'!M398</f>
        <v>15.6</v>
      </c>
      <c r="I106" s="226">
        <f>'прил10 (ведом 24-25)'!N398</f>
        <v>15.6</v>
      </c>
    </row>
    <row r="107" spans="1:9" ht="216" x14ac:dyDescent="0.35">
      <c r="A107" s="342"/>
      <c r="B107" s="515" t="s">
        <v>436</v>
      </c>
      <c r="C107" s="217" t="s">
        <v>39</v>
      </c>
      <c r="D107" s="218" t="s">
        <v>30</v>
      </c>
      <c r="E107" s="218" t="s">
        <v>37</v>
      </c>
      <c r="F107" s="219" t="s">
        <v>346</v>
      </c>
      <c r="G107" s="28"/>
      <c r="H107" s="226">
        <f>SUM(H108:H109)</f>
        <v>2172.6</v>
      </c>
      <c r="I107" s="226">
        <f>SUM(I108:I109)</f>
        <v>2166.6999999999998</v>
      </c>
    </row>
    <row r="108" spans="1:9" ht="90" x14ac:dyDescent="0.35">
      <c r="A108" s="342"/>
      <c r="B108" s="518" t="s">
        <v>49</v>
      </c>
      <c r="C108" s="696" t="s">
        <v>39</v>
      </c>
      <c r="D108" s="697" t="s">
        <v>30</v>
      </c>
      <c r="E108" s="697" t="s">
        <v>37</v>
      </c>
      <c r="F108" s="698" t="s">
        <v>346</v>
      </c>
      <c r="G108" s="10" t="s">
        <v>50</v>
      </c>
      <c r="H108" s="226">
        <f>'прил10 (ведом 24-25)'!M363</f>
        <v>8.1999999999999993</v>
      </c>
      <c r="I108" s="226">
        <f>'прил10 (ведом 24-25)'!N363</f>
        <v>8.1999999999999993</v>
      </c>
    </row>
    <row r="109" spans="1:9" ht="36" x14ac:dyDescent="0.35">
      <c r="A109" s="342"/>
      <c r="B109" s="515" t="s">
        <v>76</v>
      </c>
      <c r="C109" s="217" t="s">
        <v>39</v>
      </c>
      <c r="D109" s="218" t="s">
        <v>30</v>
      </c>
      <c r="E109" s="218" t="s">
        <v>37</v>
      </c>
      <c r="F109" s="219" t="s">
        <v>346</v>
      </c>
      <c r="G109" s="28" t="s">
        <v>77</v>
      </c>
      <c r="H109" s="226">
        <f>'прил10 (ведом 24-25)'!M364</f>
        <v>2164.4</v>
      </c>
      <c r="I109" s="226">
        <f>'прил10 (ведом 24-25)'!N364</f>
        <v>2158.5</v>
      </c>
    </row>
    <row r="110" spans="1:9" ht="36" x14ac:dyDescent="0.35">
      <c r="A110" s="342"/>
      <c r="B110" s="515" t="s">
        <v>281</v>
      </c>
      <c r="C110" s="217" t="s">
        <v>39</v>
      </c>
      <c r="D110" s="218" t="s">
        <v>30</v>
      </c>
      <c r="E110" s="218" t="s">
        <v>39</v>
      </c>
      <c r="F110" s="219" t="s">
        <v>44</v>
      </c>
      <c r="G110" s="28"/>
      <c r="H110" s="226">
        <f>H111+H113</f>
        <v>7904.6</v>
      </c>
      <c r="I110" s="226">
        <f>I111+I113</f>
        <v>8136.6</v>
      </c>
    </row>
    <row r="111" spans="1:9" ht="36" x14ac:dyDescent="0.35">
      <c r="A111" s="342"/>
      <c r="B111" s="515" t="s">
        <v>472</v>
      </c>
      <c r="C111" s="217" t="s">
        <v>39</v>
      </c>
      <c r="D111" s="218" t="s">
        <v>30</v>
      </c>
      <c r="E111" s="218" t="s">
        <v>39</v>
      </c>
      <c r="F111" s="219" t="s">
        <v>471</v>
      </c>
      <c r="G111" s="28"/>
      <c r="H111" s="226">
        <f>H112</f>
        <v>2107.5</v>
      </c>
      <c r="I111" s="226">
        <f>I112</f>
        <v>2107.5</v>
      </c>
    </row>
    <row r="112" spans="1:9" ht="36" x14ac:dyDescent="0.35">
      <c r="A112" s="342"/>
      <c r="B112" s="515" t="s">
        <v>76</v>
      </c>
      <c r="C112" s="217" t="s">
        <v>39</v>
      </c>
      <c r="D112" s="218" t="s">
        <v>30</v>
      </c>
      <c r="E112" s="218" t="s">
        <v>39</v>
      </c>
      <c r="F112" s="219" t="s">
        <v>471</v>
      </c>
      <c r="G112" s="28" t="s">
        <v>77</v>
      </c>
      <c r="H112" s="226">
        <f>'прил10 (ведом 24-25)'!M401</f>
        <v>2107.5</v>
      </c>
      <c r="I112" s="226">
        <f>'прил10 (ведом 24-25)'!N401</f>
        <v>2107.5</v>
      </c>
    </row>
    <row r="113" spans="1:9" ht="108" x14ac:dyDescent="0.35">
      <c r="A113" s="342"/>
      <c r="B113" s="515" t="s">
        <v>441</v>
      </c>
      <c r="C113" s="217" t="s">
        <v>39</v>
      </c>
      <c r="D113" s="218" t="s">
        <v>30</v>
      </c>
      <c r="E113" s="218" t="s">
        <v>39</v>
      </c>
      <c r="F113" s="219" t="s">
        <v>440</v>
      </c>
      <c r="G113" s="28"/>
      <c r="H113" s="226">
        <f>H114</f>
        <v>5797.1</v>
      </c>
      <c r="I113" s="226">
        <f>I114</f>
        <v>6029.1</v>
      </c>
    </row>
    <row r="114" spans="1:9" ht="36" x14ac:dyDescent="0.35">
      <c r="A114" s="342"/>
      <c r="B114" s="515" t="s">
        <v>76</v>
      </c>
      <c r="C114" s="217" t="s">
        <v>39</v>
      </c>
      <c r="D114" s="218" t="s">
        <v>30</v>
      </c>
      <c r="E114" s="218" t="s">
        <v>39</v>
      </c>
      <c r="F114" s="219" t="s">
        <v>440</v>
      </c>
      <c r="G114" s="28" t="s">
        <v>77</v>
      </c>
      <c r="H114" s="226">
        <f>'прил10 (ведом 24-25)'!M403</f>
        <v>5797.1</v>
      </c>
      <c r="I114" s="226">
        <f>'прил10 (ведом 24-25)'!N403</f>
        <v>6029.1</v>
      </c>
    </row>
    <row r="115" spans="1:9" ht="36" x14ac:dyDescent="0.35">
      <c r="A115" s="342"/>
      <c r="B115" s="520" t="s">
        <v>351</v>
      </c>
      <c r="C115" s="689" t="s">
        <v>39</v>
      </c>
      <c r="D115" s="690" t="s">
        <v>30</v>
      </c>
      <c r="E115" s="690" t="s">
        <v>63</v>
      </c>
      <c r="F115" s="691" t="s">
        <v>44</v>
      </c>
      <c r="G115" s="247"/>
      <c r="H115" s="226">
        <f>H116</f>
        <v>141.5</v>
      </c>
      <c r="I115" s="226">
        <f>I116</f>
        <v>141.5</v>
      </c>
    </row>
    <row r="116" spans="1:9" ht="54" x14ac:dyDescent="0.35">
      <c r="A116" s="342"/>
      <c r="B116" s="520" t="s">
        <v>474</v>
      </c>
      <c r="C116" s="689" t="s">
        <v>39</v>
      </c>
      <c r="D116" s="690" t="s">
        <v>30</v>
      </c>
      <c r="E116" s="690" t="s">
        <v>63</v>
      </c>
      <c r="F116" s="691" t="s">
        <v>105</v>
      </c>
      <c r="G116" s="247"/>
      <c r="H116" s="226">
        <f>H117</f>
        <v>141.5</v>
      </c>
      <c r="I116" s="226">
        <f>I117</f>
        <v>141.5</v>
      </c>
    </row>
    <row r="117" spans="1:9" ht="36" x14ac:dyDescent="0.35">
      <c r="A117" s="342"/>
      <c r="B117" s="520" t="s">
        <v>55</v>
      </c>
      <c r="C117" s="689" t="s">
        <v>39</v>
      </c>
      <c r="D117" s="690" t="s">
        <v>30</v>
      </c>
      <c r="E117" s="690" t="s">
        <v>63</v>
      </c>
      <c r="F117" s="691" t="s">
        <v>105</v>
      </c>
      <c r="G117" s="247" t="s">
        <v>56</v>
      </c>
      <c r="H117" s="226">
        <f>'прил10 (ведом 24-25)'!M289</f>
        <v>141.5</v>
      </c>
      <c r="I117" s="226">
        <f>'прил10 (ведом 24-25)'!N289</f>
        <v>141.5</v>
      </c>
    </row>
    <row r="118" spans="1:9" ht="36" x14ac:dyDescent="0.35">
      <c r="A118" s="342"/>
      <c r="B118" s="520" t="s">
        <v>470</v>
      </c>
      <c r="C118" s="689" t="s">
        <v>39</v>
      </c>
      <c r="D118" s="690" t="s">
        <v>30</v>
      </c>
      <c r="E118" s="690" t="s">
        <v>52</v>
      </c>
      <c r="F118" s="691" t="s">
        <v>44</v>
      </c>
      <c r="G118" s="247"/>
      <c r="H118" s="226">
        <f>H119</f>
        <v>24</v>
      </c>
      <c r="I118" s="226">
        <f>I119</f>
        <v>24</v>
      </c>
    </row>
    <row r="119" spans="1:9" ht="18" x14ac:dyDescent="0.35">
      <c r="A119" s="342"/>
      <c r="B119" s="520" t="s">
        <v>475</v>
      </c>
      <c r="C119" s="689" t="s">
        <v>39</v>
      </c>
      <c r="D119" s="690" t="s">
        <v>30</v>
      </c>
      <c r="E119" s="690" t="s">
        <v>52</v>
      </c>
      <c r="F119" s="691" t="s">
        <v>469</v>
      </c>
      <c r="G119" s="247"/>
      <c r="H119" s="226">
        <f>H120</f>
        <v>24</v>
      </c>
      <c r="I119" s="226">
        <f>I120</f>
        <v>24</v>
      </c>
    </row>
    <row r="120" spans="1:9" ht="36" x14ac:dyDescent="0.35">
      <c r="A120" s="342"/>
      <c r="B120" s="520" t="s">
        <v>55</v>
      </c>
      <c r="C120" s="689" t="s">
        <v>39</v>
      </c>
      <c r="D120" s="690" t="s">
        <v>30</v>
      </c>
      <c r="E120" s="690" t="s">
        <v>52</v>
      </c>
      <c r="F120" s="691" t="s">
        <v>469</v>
      </c>
      <c r="G120" s="247" t="s">
        <v>56</v>
      </c>
      <c r="H120" s="226">
        <f>'прил10 (ведом 24-25)'!M292</f>
        <v>24</v>
      </c>
      <c r="I120" s="226">
        <f>'прил10 (ведом 24-25)'!N292</f>
        <v>24</v>
      </c>
    </row>
    <row r="121" spans="1:9" ht="36" x14ac:dyDescent="0.35">
      <c r="A121" s="342"/>
      <c r="B121" s="520" t="s">
        <v>473</v>
      </c>
      <c r="C121" s="689" t="s">
        <v>39</v>
      </c>
      <c r="D121" s="690" t="s">
        <v>30</v>
      </c>
      <c r="E121" s="690" t="s">
        <v>65</v>
      </c>
      <c r="F121" s="691" t="s">
        <v>44</v>
      </c>
      <c r="G121" s="247"/>
      <c r="H121" s="226">
        <f>H122</f>
        <v>110.6</v>
      </c>
      <c r="I121" s="226">
        <f>I122</f>
        <v>110.6</v>
      </c>
    </row>
    <row r="122" spans="1:9" ht="36" x14ac:dyDescent="0.35">
      <c r="A122" s="342"/>
      <c r="B122" s="520" t="s">
        <v>127</v>
      </c>
      <c r="C122" s="689" t="s">
        <v>39</v>
      </c>
      <c r="D122" s="690" t="s">
        <v>30</v>
      </c>
      <c r="E122" s="690" t="s">
        <v>65</v>
      </c>
      <c r="F122" s="691" t="s">
        <v>90</v>
      </c>
      <c r="G122" s="247"/>
      <c r="H122" s="226">
        <f>H123</f>
        <v>110.6</v>
      </c>
      <c r="I122" s="226">
        <f>I123</f>
        <v>110.6</v>
      </c>
    </row>
    <row r="123" spans="1:9" ht="36" x14ac:dyDescent="0.35">
      <c r="A123" s="342"/>
      <c r="B123" s="520" t="s">
        <v>55</v>
      </c>
      <c r="C123" s="689" t="s">
        <v>39</v>
      </c>
      <c r="D123" s="690" t="s">
        <v>30</v>
      </c>
      <c r="E123" s="690" t="s">
        <v>65</v>
      </c>
      <c r="F123" s="691" t="s">
        <v>90</v>
      </c>
      <c r="G123" s="247" t="s">
        <v>56</v>
      </c>
      <c r="H123" s="226">
        <f>'прил10 (ведом 24-25)'!M295</f>
        <v>110.6</v>
      </c>
      <c r="I123" s="226">
        <f>'прил10 (ведом 24-25)'!N295</f>
        <v>110.6</v>
      </c>
    </row>
    <row r="124" spans="1:9" ht="18" x14ac:dyDescent="0.35">
      <c r="A124" s="342"/>
      <c r="B124" s="521"/>
      <c r="C124" s="689"/>
      <c r="D124" s="690"/>
      <c r="E124" s="690"/>
      <c r="F124" s="691"/>
      <c r="G124" s="247"/>
      <c r="H124" s="226"/>
      <c r="I124" s="226"/>
    </row>
    <row r="125" spans="1:9" s="352" customFormat="1" ht="52.2" x14ac:dyDescent="0.3">
      <c r="A125" s="357">
        <v>2</v>
      </c>
      <c r="B125" s="513" t="s">
        <v>213</v>
      </c>
      <c r="C125" s="358" t="s">
        <v>63</v>
      </c>
      <c r="D125" s="358" t="s">
        <v>42</v>
      </c>
      <c r="E125" s="358" t="s">
        <v>43</v>
      </c>
      <c r="F125" s="359" t="s">
        <v>44</v>
      </c>
      <c r="G125" s="351"/>
      <c r="H125" s="263">
        <f>H126+H152+H146</f>
        <v>96417.300000000017</v>
      </c>
      <c r="I125" s="263">
        <f>I126+I152+I146</f>
        <v>96420.200000000026</v>
      </c>
    </row>
    <row r="126" spans="1:9" s="352" customFormat="1" ht="54" x14ac:dyDescent="0.35">
      <c r="A126" s="342"/>
      <c r="B126" s="522" t="s">
        <v>214</v>
      </c>
      <c r="C126" s="217" t="s">
        <v>63</v>
      </c>
      <c r="D126" s="218" t="s">
        <v>45</v>
      </c>
      <c r="E126" s="218" t="s">
        <v>43</v>
      </c>
      <c r="F126" s="219" t="s">
        <v>44</v>
      </c>
      <c r="G126" s="247"/>
      <c r="H126" s="226">
        <f>H127+H132+H135+H140+H143</f>
        <v>84485.200000000012</v>
      </c>
      <c r="I126" s="226">
        <f>I127+I132+I135+I140+I143</f>
        <v>84484.500000000015</v>
      </c>
    </row>
    <row r="127" spans="1:9" s="352" customFormat="1" ht="36" x14ac:dyDescent="0.35">
      <c r="A127" s="342"/>
      <c r="B127" s="522" t="s">
        <v>276</v>
      </c>
      <c r="C127" s="217" t="s">
        <v>63</v>
      </c>
      <c r="D127" s="218" t="s">
        <v>45</v>
      </c>
      <c r="E127" s="218" t="s">
        <v>37</v>
      </c>
      <c r="F127" s="219" t="s">
        <v>44</v>
      </c>
      <c r="G127" s="247"/>
      <c r="H127" s="226">
        <f>H128+H130</f>
        <v>60029.8</v>
      </c>
      <c r="I127" s="226">
        <f>I128+I130</f>
        <v>60086.6</v>
      </c>
    </row>
    <row r="128" spans="1:9" s="352" customFormat="1" ht="36" x14ac:dyDescent="0.35">
      <c r="A128" s="342"/>
      <c r="B128" s="514" t="s">
        <v>466</v>
      </c>
      <c r="C128" s="217" t="s">
        <v>63</v>
      </c>
      <c r="D128" s="218" t="s">
        <v>45</v>
      </c>
      <c r="E128" s="218" t="s">
        <v>37</v>
      </c>
      <c r="F128" s="219" t="s">
        <v>91</v>
      </c>
      <c r="G128" s="28"/>
      <c r="H128" s="226">
        <f>H129</f>
        <v>54257</v>
      </c>
      <c r="I128" s="226">
        <f>I129</f>
        <v>54257.7</v>
      </c>
    </row>
    <row r="129" spans="1:9" s="352" customFormat="1" ht="36" x14ac:dyDescent="0.35">
      <c r="A129" s="342"/>
      <c r="B129" s="517" t="s">
        <v>76</v>
      </c>
      <c r="C129" s="217" t="s">
        <v>63</v>
      </c>
      <c r="D129" s="218" t="s">
        <v>45</v>
      </c>
      <c r="E129" s="218" t="s">
        <v>37</v>
      </c>
      <c r="F129" s="219" t="s">
        <v>91</v>
      </c>
      <c r="G129" s="28" t="s">
        <v>77</v>
      </c>
      <c r="H129" s="226">
        <f>'прил10 (ведом 24-25)'!M427</f>
        <v>54257</v>
      </c>
      <c r="I129" s="226">
        <f>'прил10 (ведом 24-25)'!N427</f>
        <v>54257.7</v>
      </c>
    </row>
    <row r="130" spans="1:9" s="352" customFormat="1" ht="36" x14ac:dyDescent="0.35">
      <c r="A130" s="342"/>
      <c r="B130" s="523" t="s">
        <v>315</v>
      </c>
      <c r="C130" s="217" t="s">
        <v>63</v>
      </c>
      <c r="D130" s="218" t="s">
        <v>45</v>
      </c>
      <c r="E130" s="218" t="s">
        <v>37</v>
      </c>
      <c r="F130" s="219" t="s">
        <v>316</v>
      </c>
      <c r="G130" s="28"/>
      <c r="H130" s="226">
        <f>'прил10 (ведом 24-25)'!M428</f>
        <v>5772.8</v>
      </c>
      <c r="I130" s="226">
        <f>'прил10 (ведом 24-25)'!N428</f>
        <v>5828.9</v>
      </c>
    </row>
    <row r="131" spans="1:9" s="352" customFormat="1" ht="36" x14ac:dyDescent="0.35">
      <c r="A131" s="342"/>
      <c r="B131" s="523" t="s">
        <v>76</v>
      </c>
      <c r="C131" s="217" t="s">
        <v>63</v>
      </c>
      <c r="D131" s="218" t="s">
        <v>45</v>
      </c>
      <c r="E131" s="218" t="s">
        <v>37</v>
      </c>
      <c r="F131" s="219" t="s">
        <v>316</v>
      </c>
      <c r="G131" s="28" t="s">
        <v>77</v>
      </c>
      <c r="H131" s="226">
        <f>'прил10 (ведом 24-25)'!M429</f>
        <v>5772.8</v>
      </c>
      <c r="I131" s="226">
        <f>'прил10 (ведом 24-25)'!N429</f>
        <v>5828.9</v>
      </c>
    </row>
    <row r="132" spans="1:9" s="352" customFormat="1" ht="18" x14ac:dyDescent="0.35">
      <c r="A132" s="342"/>
      <c r="B132" s="523" t="s">
        <v>277</v>
      </c>
      <c r="C132" s="217" t="s">
        <v>63</v>
      </c>
      <c r="D132" s="218" t="s">
        <v>45</v>
      </c>
      <c r="E132" s="218" t="s">
        <v>39</v>
      </c>
      <c r="F132" s="219" t="s">
        <v>44</v>
      </c>
      <c r="G132" s="28"/>
      <c r="H132" s="226">
        <f>H133</f>
        <v>375</v>
      </c>
      <c r="I132" s="226">
        <f>I133</f>
        <v>375</v>
      </c>
    </row>
    <row r="133" spans="1:9" s="352" customFormat="1" ht="36" x14ac:dyDescent="0.35">
      <c r="A133" s="342"/>
      <c r="B133" s="523" t="s">
        <v>211</v>
      </c>
      <c r="C133" s="217" t="s">
        <v>63</v>
      </c>
      <c r="D133" s="218" t="s">
        <v>45</v>
      </c>
      <c r="E133" s="218" t="s">
        <v>39</v>
      </c>
      <c r="F133" s="219" t="s">
        <v>279</v>
      </c>
      <c r="G133" s="28"/>
      <c r="H133" s="226">
        <f>H134</f>
        <v>375</v>
      </c>
      <c r="I133" s="226">
        <f>I134</f>
        <v>375</v>
      </c>
    </row>
    <row r="134" spans="1:9" s="352" customFormat="1" ht="18" x14ac:dyDescent="0.35">
      <c r="A134" s="342"/>
      <c r="B134" s="523" t="s">
        <v>120</v>
      </c>
      <c r="C134" s="217" t="s">
        <v>63</v>
      </c>
      <c r="D134" s="218" t="s">
        <v>45</v>
      </c>
      <c r="E134" s="218" t="s">
        <v>39</v>
      </c>
      <c r="F134" s="219" t="s">
        <v>279</v>
      </c>
      <c r="G134" s="28" t="s">
        <v>121</v>
      </c>
      <c r="H134" s="226">
        <f>'прил10 (ведом 24-25)'!M435</f>
        <v>375</v>
      </c>
      <c r="I134" s="226">
        <f>'прил10 (ведом 24-25)'!N435</f>
        <v>375</v>
      </c>
    </row>
    <row r="135" spans="1:9" s="352" customFormat="1" ht="18" x14ac:dyDescent="0.35">
      <c r="A135" s="342"/>
      <c r="B135" s="514" t="s">
        <v>317</v>
      </c>
      <c r="C135" s="360" t="s">
        <v>63</v>
      </c>
      <c r="D135" s="361" t="s">
        <v>45</v>
      </c>
      <c r="E135" s="361" t="s">
        <v>63</v>
      </c>
      <c r="F135" s="362" t="s">
        <v>44</v>
      </c>
      <c r="G135" s="363"/>
      <c r="H135" s="226">
        <f>H136+H138</f>
        <v>12452.699999999999</v>
      </c>
      <c r="I135" s="226">
        <f>I136+I138</f>
        <v>12395</v>
      </c>
    </row>
    <row r="136" spans="1:9" s="352" customFormat="1" ht="36" x14ac:dyDescent="0.35">
      <c r="A136" s="342"/>
      <c r="B136" s="514" t="s">
        <v>466</v>
      </c>
      <c r="C136" s="360" t="s">
        <v>63</v>
      </c>
      <c r="D136" s="361" t="s">
        <v>45</v>
      </c>
      <c r="E136" s="361" t="s">
        <v>63</v>
      </c>
      <c r="F136" s="362" t="s">
        <v>91</v>
      </c>
      <c r="G136" s="363"/>
      <c r="H136" s="226">
        <f>H137</f>
        <v>11901.3</v>
      </c>
      <c r="I136" s="226">
        <f>I137</f>
        <v>11901.3</v>
      </c>
    </row>
    <row r="137" spans="1:9" s="352" customFormat="1" ht="36" x14ac:dyDescent="0.35">
      <c r="A137" s="342"/>
      <c r="B137" s="517" t="s">
        <v>76</v>
      </c>
      <c r="C137" s="217" t="s">
        <v>63</v>
      </c>
      <c r="D137" s="218" t="s">
        <v>45</v>
      </c>
      <c r="E137" s="218" t="s">
        <v>63</v>
      </c>
      <c r="F137" s="219" t="s">
        <v>91</v>
      </c>
      <c r="G137" s="28" t="s">
        <v>77</v>
      </c>
      <c r="H137" s="226">
        <f>'прил10 (ведом 24-25)'!M445</f>
        <v>11901.3</v>
      </c>
      <c r="I137" s="226">
        <f>'прил10 (ведом 24-25)'!N445</f>
        <v>11901.3</v>
      </c>
    </row>
    <row r="138" spans="1:9" s="352" customFormat="1" ht="18" x14ac:dyDescent="0.35">
      <c r="A138" s="342"/>
      <c r="B138" s="525" t="s">
        <v>570</v>
      </c>
      <c r="C138" s="696" t="s">
        <v>63</v>
      </c>
      <c r="D138" s="697" t="s">
        <v>45</v>
      </c>
      <c r="E138" s="697" t="s">
        <v>63</v>
      </c>
      <c r="F138" s="698" t="s">
        <v>569</v>
      </c>
      <c r="G138" s="10"/>
      <c r="H138" s="226">
        <f>H139</f>
        <v>551.4</v>
      </c>
      <c r="I138" s="226">
        <f>I139</f>
        <v>493.7</v>
      </c>
    </row>
    <row r="139" spans="1:9" s="352" customFormat="1" ht="36" x14ac:dyDescent="0.35">
      <c r="A139" s="342"/>
      <c r="B139" s="525" t="s">
        <v>76</v>
      </c>
      <c r="C139" s="696" t="s">
        <v>63</v>
      </c>
      <c r="D139" s="697" t="s">
        <v>45</v>
      </c>
      <c r="E139" s="697" t="s">
        <v>63</v>
      </c>
      <c r="F139" s="698" t="s">
        <v>569</v>
      </c>
      <c r="G139" s="10" t="s">
        <v>77</v>
      </c>
      <c r="H139" s="226">
        <f>'прил10 (ведом 24-25)'!M447</f>
        <v>551.4</v>
      </c>
      <c r="I139" s="226">
        <f>'прил10 (ведом 24-25)'!N447</f>
        <v>493.7</v>
      </c>
    </row>
    <row r="140" spans="1:9" s="352" customFormat="1" ht="36" x14ac:dyDescent="0.35">
      <c r="A140" s="342"/>
      <c r="B140" s="517" t="s">
        <v>319</v>
      </c>
      <c r="C140" s="360" t="s">
        <v>63</v>
      </c>
      <c r="D140" s="361" t="s">
        <v>45</v>
      </c>
      <c r="E140" s="361" t="s">
        <v>52</v>
      </c>
      <c r="F140" s="219" t="s">
        <v>44</v>
      </c>
      <c r="G140" s="28"/>
      <c r="H140" s="226">
        <f>H141</f>
        <v>11327.1</v>
      </c>
      <c r="I140" s="226">
        <f>I141</f>
        <v>11327.3</v>
      </c>
    </row>
    <row r="141" spans="1:9" s="352" customFormat="1" ht="36" x14ac:dyDescent="0.35">
      <c r="A141" s="342"/>
      <c r="B141" s="514" t="s">
        <v>466</v>
      </c>
      <c r="C141" s="360" t="s">
        <v>63</v>
      </c>
      <c r="D141" s="361" t="s">
        <v>45</v>
      </c>
      <c r="E141" s="361" t="s">
        <v>52</v>
      </c>
      <c r="F141" s="362" t="s">
        <v>91</v>
      </c>
      <c r="G141" s="363"/>
      <c r="H141" s="226">
        <f>SUM(H142:H142)</f>
        <v>11327.1</v>
      </c>
      <c r="I141" s="226">
        <f>SUM(I142:I142)</f>
        <v>11327.3</v>
      </c>
    </row>
    <row r="142" spans="1:9" s="352" customFormat="1" ht="90" x14ac:dyDescent="0.35">
      <c r="A142" s="342"/>
      <c r="B142" s="515" t="s">
        <v>49</v>
      </c>
      <c r="C142" s="217" t="s">
        <v>63</v>
      </c>
      <c r="D142" s="218" t="s">
        <v>45</v>
      </c>
      <c r="E142" s="218" t="s">
        <v>52</v>
      </c>
      <c r="F142" s="219" t="s">
        <v>91</v>
      </c>
      <c r="G142" s="28" t="s">
        <v>50</v>
      </c>
      <c r="H142" s="226">
        <f>'прил10 (ведом 24-25)'!M450</f>
        <v>11327.1</v>
      </c>
      <c r="I142" s="226">
        <f>'прил10 (ведом 24-25)'!N450</f>
        <v>11327.3</v>
      </c>
    </row>
    <row r="143" spans="1:9" s="352" customFormat="1" ht="36" x14ac:dyDescent="0.35">
      <c r="A143" s="342"/>
      <c r="B143" s="523" t="s">
        <v>281</v>
      </c>
      <c r="C143" s="217" t="s">
        <v>63</v>
      </c>
      <c r="D143" s="218" t="s">
        <v>45</v>
      </c>
      <c r="E143" s="218" t="s">
        <v>65</v>
      </c>
      <c r="F143" s="219" t="s">
        <v>44</v>
      </c>
      <c r="G143" s="28"/>
      <c r="H143" s="226">
        <f>H144</f>
        <v>300.60000000000002</v>
      </c>
      <c r="I143" s="226">
        <f>I144</f>
        <v>300.60000000000002</v>
      </c>
    </row>
    <row r="144" spans="1:9" s="352" customFormat="1" ht="36" x14ac:dyDescent="0.35">
      <c r="A144" s="342"/>
      <c r="B144" s="523" t="s">
        <v>472</v>
      </c>
      <c r="C144" s="217" t="s">
        <v>63</v>
      </c>
      <c r="D144" s="218" t="s">
        <v>45</v>
      </c>
      <c r="E144" s="218" t="s">
        <v>65</v>
      </c>
      <c r="F144" s="219" t="s">
        <v>471</v>
      </c>
      <c r="G144" s="28"/>
      <c r="H144" s="226">
        <f>H145</f>
        <v>300.60000000000002</v>
      </c>
      <c r="I144" s="226">
        <f>I145</f>
        <v>300.60000000000002</v>
      </c>
    </row>
    <row r="145" spans="1:9" s="352" customFormat="1" ht="36" x14ac:dyDescent="0.35">
      <c r="A145" s="342"/>
      <c r="B145" s="523" t="s">
        <v>76</v>
      </c>
      <c r="C145" s="217" t="s">
        <v>63</v>
      </c>
      <c r="D145" s="218" t="s">
        <v>45</v>
      </c>
      <c r="E145" s="218" t="s">
        <v>65</v>
      </c>
      <c r="F145" s="219" t="s">
        <v>471</v>
      </c>
      <c r="G145" s="28" t="s">
        <v>77</v>
      </c>
      <c r="H145" s="226">
        <f>'прил10 (ведом 24-25)'!M438</f>
        <v>300.60000000000002</v>
      </c>
      <c r="I145" s="226">
        <f>'прил10 (ведом 24-25)'!N438</f>
        <v>300.60000000000002</v>
      </c>
    </row>
    <row r="146" spans="1:9" s="352" customFormat="1" ht="36" x14ac:dyDescent="0.35">
      <c r="A146" s="342"/>
      <c r="B146" s="515" t="s">
        <v>327</v>
      </c>
      <c r="C146" s="360" t="s">
        <v>63</v>
      </c>
      <c r="D146" s="361" t="s">
        <v>89</v>
      </c>
      <c r="E146" s="361" t="s">
        <v>43</v>
      </c>
      <c r="F146" s="219" t="s">
        <v>44</v>
      </c>
      <c r="G146" s="28"/>
      <c r="H146" s="226">
        <f>H147</f>
        <v>436</v>
      </c>
      <c r="I146" s="226">
        <f>I147</f>
        <v>435.1</v>
      </c>
    </row>
    <row r="147" spans="1:9" s="352" customFormat="1" ht="90" x14ac:dyDescent="0.35">
      <c r="A147" s="342"/>
      <c r="B147" s="523" t="s">
        <v>320</v>
      </c>
      <c r="C147" s="360" t="s">
        <v>63</v>
      </c>
      <c r="D147" s="361" t="s">
        <v>89</v>
      </c>
      <c r="E147" s="361" t="s">
        <v>63</v>
      </c>
      <c r="F147" s="219" t="s">
        <v>44</v>
      </c>
      <c r="G147" s="28"/>
      <c r="H147" s="226">
        <f>H150+H148</f>
        <v>436</v>
      </c>
      <c r="I147" s="226">
        <f>I150+I148</f>
        <v>435.1</v>
      </c>
    </row>
    <row r="148" spans="1:9" s="352" customFormat="1" ht="36" x14ac:dyDescent="0.35">
      <c r="A148" s="342"/>
      <c r="B148" s="523" t="s">
        <v>315</v>
      </c>
      <c r="C148" s="360" t="s">
        <v>63</v>
      </c>
      <c r="D148" s="361" t="s">
        <v>89</v>
      </c>
      <c r="E148" s="361" t="s">
        <v>63</v>
      </c>
      <c r="F148" s="219" t="s">
        <v>316</v>
      </c>
      <c r="G148" s="28"/>
      <c r="H148" s="226">
        <f>H149</f>
        <v>393.9</v>
      </c>
      <c r="I148" s="226">
        <f>I149</f>
        <v>393</v>
      </c>
    </row>
    <row r="149" spans="1:9" s="352" customFormat="1" ht="36" x14ac:dyDescent="0.35">
      <c r="A149" s="342"/>
      <c r="B149" s="515" t="s">
        <v>55</v>
      </c>
      <c r="C149" s="360" t="s">
        <v>63</v>
      </c>
      <c r="D149" s="361" t="s">
        <v>89</v>
      </c>
      <c r="E149" s="361" t="s">
        <v>63</v>
      </c>
      <c r="F149" s="219" t="s">
        <v>316</v>
      </c>
      <c r="G149" s="28" t="s">
        <v>56</v>
      </c>
      <c r="H149" s="226">
        <f>'прил10 (ведом 24-25)'!M454</f>
        <v>393.9</v>
      </c>
      <c r="I149" s="226">
        <f>'прил10 (ведом 24-25)'!N454</f>
        <v>393</v>
      </c>
    </row>
    <row r="150" spans="1:9" s="352" customFormat="1" ht="36" x14ac:dyDescent="0.35">
      <c r="A150" s="342"/>
      <c r="B150" s="523" t="s">
        <v>412</v>
      </c>
      <c r="C150" s="217" t="s">
        <v>63</v>
      </c>
      <c r="D150" s="218" t="s">
        <v>89</v>
      </c>
      <c r="E150" s="218" t="s">
        <v>63</v>
      </c>
      <c r="F150" s="219" t="s">
        <v>413</v>
      </c>
      <c r="G150" s="28"/>
      <c r="H150" s="226">
        <f>H151</f>
        <v>42.1</v>
      </c>
      <c r="I150" s="226">
        <f>I151</f>
        <v>42.1</v>
      </c>
    </row>
    <row r="151" spans="1:9" s="352" customFormat="1" ht="36" x14ac:dyDescent="0.35">
      <c r="A151" s="342"/>
      <c r="B151" s="523" t="s">
        <v>76</v>
      </c>
      <c r="C151" s="217" t="s">
        <v>63</v>
      </c>
      <c r="D151" s="218" t="s">
        <v>89</v>
      </c>
      <c r="E151" s="218" t="s">
        <v>63</v>
      </c>
      <c r="F151" s="219" t="s">
        <v>413</v>
      </c>
      <c r="G151" s="28" t="s">
        <v>77</v>
      </c>
      <c r="H151" s="226">
        <f>'прил10 (ведом 24-25)'!M456</f>
        <v>42.1</v>
      </c>
      <c r="I151" s="226">
        <f>'прил10 (ведом 24-25)'!N456</f>
        <v>42.1</v>
      </c>
    </row>
    <row r="152" spans="1:9" s="352" customFormat="1" ht="36" x14ac:dyDescent="0.35">
      <c r="A152" s="342"/>
      <c r="B152" s="514" t="s">
        <v>216</v>
      </c>
      <c r="C152" s="217" t="s">
        <v>63</v>
      </c>
      <c r="D152" s="218" t="s">
        <v>30</v>
      </c>
      <c r="E152" s="218" t="s">
        <v>43</v>
      </c>
      <c r="F152" s="219" t="s">
        <v>44</v>
      </c>
      <c r="G152" s="247"/>
      <c r="H152" s="226">
        <f>H153+H162</f>
        <v>11496.1</v>
      </c>
      <c r="I152" s="226">
        <f>I153+I162</f>
        <v>11500.6</v>
      </c>
    </row>
    <row r="153" spans="1:9" s="352" customFormat="1" ht="36" x14ac:dyDescent="0.35">
      <c r="A153" s="342"/>
      <c r="B153" s="514" t="s">
        <v>282</v>
      </c>
      <c r="C153" s="217" t="s">
        <v>63</v>
      </c>
      <c r="D153" s="218" t="s">
        <v>30</v>
      </c>
      <c r="E153" s="218" t="s">
        <v>37</v>
      </c>
      <c r="F153" s="219" t="s">
        <v>44</v>
      </c>
      <c r="G153" s="28"/>
      <c r="H153" s="226">
        <f>H154+H158</f>
        <v>11442</v>
      </c>
      <c r="I153" s="226">
        <f>I154+I158</f>
        <v>11446.5</v>
      </c>
    </row>
    <row r="154" spans="1:9" ht="36" x14ac:dyDescent="0.35">
      <c r="A154" s="342"/>
      <c r="B154" s="514" t="s">
        <v>47</v>
      </c>
      <c r="C154" s="217" t="s">
        <v>63</v>
      </c>
      <c r="D154" s="218" t="s">
        <v>30</v>
      </c>
      <c r="E154" s="218" t="s">
        <v>37</v>
      </c>
      <c r="F154" s="219" t="s">
        <v>48</v>
      </c>
      <c r="G154" s="363"/>
      <c r="H154" s="226">
        <f>SUM(H155:H157)</f>
        <v>3511.3</v>
      </c>
      <c r="I154" s="226">
        <f>SUM(I155:I157)</f>
        <v>3512.3</v>
      </c>
    </row>
    <row r="155" spans="1:9" ht="90" x14ac:dyDescent="0.35">
      <c r="A155" s="342"/>
      <c r="B155" s="514" t="s">
        <v>49</v>
      </c>
      <c r="C155" s="217" t="s">
        <v>63</v>
      </c>
      <c r="D155" s="218" t="s">
        <v>30</v>
      </c>
      <c r="E155" s="218" t="s">
        <v>37</v>
      </c>
      <c r="F155" s="219" t="s">
        <v>48</v>
      </c>
      <c r="G155" s="363" t="s">
        <v>50</v>
      </c>
      <c r="H155" s="226">
        <f>'прил10 (ведом 24-25)'!M462</f>
        <v>3251.8</v>
      </c>
      <c r="I155" s="226">
        <f>'прил10 (ведом 24-25)'!N462</f>
        <v>3251.8</v>
      </c>
    </row>
    <row r="156" spans="1:9" ht="36" x14ac:dyDescent="0.35">
      <c r="A156" s="342"/>
      <c r="B156" s="514" t="s">
        <v>55</v>
      </c>
      <c r="C156" s="217" t="s">
        <v>63</v>
      </c>
      <c r="D156" s="218" t="s">
        <v>30</v>
      </c>
      <c r="E156" s="218" t="s">
        <v>37</v>
      </c>
      <c r="F156" s="219" t="s">
        <v>48</v>
      </c>
      <c r="G156" s="363" t="s">
        <v>56</v>
      </c>
      <c r="H156" s="226">
        <f>'прил10 (ведом 24-25)'!M463</f>
        <v>251</v>
      </c>
      <c r="I156" s="226">
        <f>'прил10 (ведом 24-25)'!N463</f>
        <v>252</v>
      </c>
    </row>
    <row r="157" spans="1:9" ht="18" x14ac:dyDescent="0.35">
      <c r="A157" s="342"/>
      <c r="B157" s="515" t="s">
        <v>57</v>
      </c>
      <c r="C157" s="217" t="s">
        <v>63</v>
      </c>
      <c r="D157" s="218" t="s">
        <v>30</v>
      </c>
      <c r="E157" s="218" t="s">
        <v>37</v>
      </c>
      <c r="F157" s="219" t="s">
        <v>48</v>
      </c>
      <c r="G157" s="28" t="s">
        <v>58</v>
      </c>
      <c r="H157" s="226">
        <f>'прил10 (ведом 24-25)'!M464</f>
        <v>8.5</v>
      </c>
      <c r="I157" s="226">
        <f>'прил10 (ведом 24-25)'!N464</f>
        <v>8.5</v>
      </c>
    </row>
    <row r="158" spans="1:9" ht="36" x14ac:dyDescent="0.35">
      <c r="A158" s="342"/>
      <c r="B158" s="514" t="s">
        <v>466</v>
      </c>
      <c r="C158" s="217" t="s">
        <v>63</v>
      </c>
      <c r="D158" s="218" t="s">
        <v>30</v>
      </c>
      <c r="E158" s="218" t="s">
        <v>37</v>
      </c>
      <c r="F158" s="219" t="s">
        <v>91</v>
      </c>
      <c r="G158" s="28"/>
      <c r="H158" s="226">
        <f>SUM(H159:H161)</f>
        <v>7930.7</v>
      </c>
      <c r="I158" s="226">
        <f>SUM(I159:I161)</f>
        <v>7934.2</v>
      </c>
    </row>
    <row r="159" spans="1:9" ht="90" x14ac:dyDescent="0.35">
      <c r="A159" s="342"/>
      <c r="B159" s="514" t="s">
        <v>49</v>
      </c>
      <c r="C159" s="217" t="s">
        <v>63</v>
      </c>
      <c r="D159" s="218" t="s">
        <v>30</v>
      </c>
      <c r="E159" s="218" t="s">
        <v>37</v>
      </c>
      <c r="F159" s="219" t="s">
        <v>91</v>
      </c>
      <c r="G159" s="363" t="s">
        <v>50</v>
      </c>
      <c r="H159" s="226">
        <f>'прил10 (ведом 24-25)'!M466</f>
        <v>7499.9</v>
      </c>
      <c r="I159" s="226">
        <f>'прил10 (ведом 24-25)'!N466</f>
        <v>7499.9</v>
      </c>
    </row>
    <row r="160" spans="1:9" ht="36" x14ac:dyDescent="0.35">
      <c r="A160" s="342"/>
      <c r="B160" s="515" t="s">
        <v>55</v>
      </c>
      <c r="C160" s="217" t="s">
        <v>63</v>
      </c>
      <c r="D160" s="218" t="s">
        <v>30</v>
      </c>
      <c r="E160" s="218" t="s">
        <v>37</v>
      </c>
      <c r="F160" s="219" t="s">
        <v>91</v>
      </c>
      <c r="G160" s="363" t="s">
        <v>56</v>
      </c>
      <c r="H160" s="226">
        <f>'прил10 (ведом 24-25)'!M467</f>
        <v>429.2</v>
      </c>
      <c r="I160" s="226">
        <f>'прил10 (ведом 24-25)'!N467</f>
        <v>432.8</v>
      </c>
    </row>
    <row r="161" spans="1:9" ht="18" x14ac:dyDescent="0.35">
      <c r="A161" s="342"/>
      <c r="B161" s="515" t="s">
        <v>57</v>
      </c>
      <c r="C161" s="217" t="s">
        <v>63</v>
      </c>
      <c r="D161" s="218" t="s">
        <v>30</v>
      </c>
      <c r="E161" s="218" t="s">
        <v>37</v>
      </c>
      <c r="F161" s="219" t="s">
        <v>91</v>
      </c>
      <c r="G161" s="28" t="s">
        <v>58</v>
      </c>
      <c r="H161" s="226">
        <f>'прил10 (ведом 24-25)'!M468</f>
        <v>1.6</v>
      </c>
      <c r="I161" s="226">
        <f>'прил10 (ведом 24-25)'!N468</f>
        <v>1.5</v>
      </c>
    </row>
    <row r="162" spans="1:9" ht="36" x14ac:dyDescent="0.35">
      <c r="A162" s="342"/>
      <c r="B162" s="515" t="s">
        <v>351</v>
      </c>
      <c r="C162" s="217" t="s">
        <v>63</v>
      </c>
      <c r="D162" s="218" t="s">
        <v>30</v>
      </c>
      <c r="E162" s="218" t="s">
        <v>39</v>
      </c>
      <c r="F162" s="219" t="s">
        <v>44</v>
      </c>
      <c r="G162" s="158"/>
      <c r="H162" s="226">
        <f>H163</f>
        <v>54.1</v>
      </c>
      <c r="I162" s="226">
        <f>I163</f>
        <v>54.1</v>
      </c>
    </row>
    <row r="163" spans="1:9" ht="54" x14ac:dyDescent="0.35">
      <c r="A163" s="342"/>
      <c r="B163" s="515" t="s">
        <v>352</v>
      </c>
      <c r="C163" s="217" t="s">
        <v>63</v>
      </c>
      <c r="D163" s="218" t="s">
        <v>30</v>
      </c>
      <c r="E163" s="218" t="s">
        <v>39</v>
      </c>
      <c r="F163" s="219" t="s">
        <v>105</v>
      </c>
      <c r="G163" s="158"/>
      <c r="H163" s="226">
        <f>H164</f>
        <v>54.1</v>
      </c>
      <c r="I163" s="226">
        <f>I164</f>
        <v>54.1</v>
      </c>
    </row>
    <row r="164" spans="1:9" ht="36" x14ac:dyDescent="0.35">
      <c r="A164" s="342"/>
      <c r="B164" s="515" t="s">
        <v>55</v>
      </c>
      <c r="C164" s="217" t="s">
        <v>63</v>
      </c>
      <c r="D164" s="218" t="s">
        <v>30</v>
      </c>
      <c r="E164" s="218" t="s">
        <v>39</v>
      </c>
      <c r="F164" s="219" t="s">
        <v>105</v>
      </c>
      <c r="G164" s="28" t="s">
        <v>56</v>
      </c>
      <c r="H164" s="226">
        <f>'прил10 (ведом 24-25)'!M420</f>
        <v>54.1</v>
      </c>
      <c r="I164" s="226">
        <f>'прил10 (ведом 24-25)'!N420</f>
        <v>54.1</v>
      </c>
    </row>
    <row r="165" spans="1:9" ht="18" x14ac:dyDescent="0.35">
      <c r="A165" s="342"/>
      <c r="B165" s="521"/>
      <c r="C165" s="690"/>
      <c r="D165" s="364"/>
      <c r="E165" s="308"/>
      <c r="F165" s="365"/>
      <c r="G165" s="247"/>
      <c r="H165" s="226"/>
      <c r="I165" s="226"/>
    </row>
    <row r="166" spans="1:9" s="352" customFormat="1" ht="52.2" x14ac:dyDescent="0.3">
      <c r="A166" s="357">
        <v>3</v>
      </c>
      <c r="B166" s="526" t="s">
        <v>217</v>
      </c>
      <c r="C166" s="358" t="s">
        <v>52</v>
      </c>
      <c r="D166" s="358" t="s">
        <v>42</v>
      </c>
      <c r="E166" s="358" t="s">
        <v>43</v>
      </c>
      <c r="F166" s="359" t="s">
        <v>44</v>
      </c>
      <c r="G166" s="351"/>
      <c r="H166" s="263">
        <f>H167+H174</f>
        <v>68487.199999999997</v>
      </c>
      <c r="I166" s="263">
        <f>I167+I174</f>
        <v>38662.9</v>
      </c>
    </row>
    <row r="167" spans="1:9" s="352" customFormat="1" ht="18" x14ac:dyDescent="0.35">
      <c r="A167" s="357"/>
      <c r="B167" s="554" t="s">
        <v>218</v>
      </c>
      <c r="C167" s="217" t="s">
        <v>52</v>
      </c>
      <c r="D167" s="218" t="s">
        <v>45</v>
      </c>
      <c r="E167" s="218" t="s">
        <v>43</v>
      </c>
      <c r="F167" s="219" t="s">
        <v>44</v>
      </c>
      <c r="G167" s="351"/>
      <c r="H167" s="226">
        <f>H168+H171</f>
        <v>1079.7</v>
      </c>
      <c r="I167" s="226">
        <f>I168+I171</f>
        <v>1079.7</v>
      </c>
    </row>
    <row r="168" spans="1:9" s="352" customFormat="1" ht="18" x14ac:dyDescent="0.35">
      <c r="A168" s="357"/>
      <c r="B168" s="515" t="s">
        <v>277</v>
      </c>
      <c r="C168" s="217" t="s">
        <v>52</v>
      </c>
      <c r="D168" s="218" t="s">
        <v>45</v>
      </c>
      <c r="E168" s="218" t="s">
        <v>37</v>
      </c>
      <c r="F168" s="219" t="s">
        <v>44</v>
      </c>
      <c r="G168" s="28"/>
      <c r="H168" s="226">
        <f>H169</f>
        <v>450</v>
      </c>
      <c r="I168" s="226">
        <f>I169</f>
        <v>450</v>
      </c>
    </row>
    <row r="169" spans="1:9" s="352" customFormat="1" ht="36" x14ac:dyDescent="0.35">
      <c r="A169" s="357"/>
      <c r="B169" s="515" t="s">
        <v>278</v>
      </c>
      <c r="C169" s="217" t="s">
        <v>52</v>
      </c>
      <c r="D169" s="218" t="s">
        <v>45</v>
      </c>
      <c r="E169" s="218" t="s">
        <v>37</v>
      </c>
      <c r="F169" s="219" t="s">
        <v>279</v>
      </c>
      <c r="G169" s="28"/>
      <c r="H169" s="226">
        <f>H170</f>
        <v>450</v>
      </c>
      <c r="I169" s="226">
        <f>I170</f>
        <v>450</v>
      </c>
    </row>
    <row r="170" spans="1:9" s="352" customFormat="1" ht="18" x14ac:dyDescent="0.35">
      <c r="A170" s="357"/>
      <c r="B170" s="515" t="s">
        <v>120</v>
      </c>
      <c r="C170" s="217" t="s">
        <v>52</v>
      </c>
      <c r="D170" s="218" t="s">
        <v>45</v>
      </c>
      <c r="E170" s="218" t="s">
        <v>37</v>
      </c>
      <c r="F170" s="219" t="s">
        <v>279</v>
      </c>
      <c r="G170" s="28" t="s">
        <v>121</v>
      </c>
      <c r="H170" s="226">
        <f>'прил10 (ведом 24-25)'!M504</f>
        <v>450</v>
      </c>
      <c r="I170" s="226">
        <f>'прил10 (ведом 24-25)'!N504</f>
        <v>450</v>
      </c>
    </row>
    <row r="171" spans="1:9" ht="54" x14ac:dyDescent="0.35">
      <c r="A171" s="342"/>
      <c r="B171" s="515" t="s">
        <v>291</v>
      </c>
      <c r="C171" s="217" t="s">
        <v>52</v>
      </c>
      <c r="D171" s="218" t="s">
        <v>45</v>
      </c>
      <c r="E171" s="218" t="s">
        <v>39</v>
      </c>
      <c r="F171" s="219" t="s">
        <v>44</v>
      </c>
      <c r="G171" s="28"/>
      <c r="H171" s="226">
        <f>H172</f>
        <v>629.70000000000005</v>
      </c>
      <c r="I171" s="226">
        <f>I172</f>
        <v>629.70000000000005</v>
      </c>
    </row>
    <row r="172" spans="1:9" ht="36" x14ac:dyDescent="0.35">
      <c r="A172" s="342"/>
      <c r="B172" s="515" t="s">
        <v>219</v>
      </c>
      <c r="C172" s="217" t="s">
        <v>52</v>
      </c>
      <c r="D172" s="218" t="s">
        <v>45</v>
      </c>
      <c r="E172" s="218" t="s">
        <v>39</v>
      </c>
      <c r="F172" s="219" t="s">
        <v>292</v>
      </c>
      <c r="G172" s="28"/>
      <c r="H172" s="226">
        <f>H173</f>
        <v>629.70000000000005</v>
      </c>
      <c r="I172" s="226">
        <f>I173</f>
        <v>629.70000000000005</v>
      </c>
    </row>
    <row r="173" spans="1:9" ht="36" x14ac:dyDescent="0.35">
      <c r="A173" s="342"/>
      <c r="B173" s="515" t="s">
        <v>55</v>
      </c>
      <c r="C173" s="217" t="s">
        <v>52</v>
      </c>
      <c r="D173" s="218" t="s">
        <v>45</v>
      </c>
      <c r="E173" s="218" t="s">
        <v>39</v>
      </c>
      <c r="F173" s="219" t="s">
        <v>292</v>
      </c>
      <c r="G173" s="28" t="s">
        <v>56</v>
      </c>
      <c r="H173" s="226">
        <f>'прил10 (ведом 24-25)'!M494</f>
        <v>629.70000000000005</v>
      </c>
      <c r="I173" s="226">
        <f>'прил10 (ведом 24-25)'!N494</f>
        <v>629.70000000000005</v>
      </c>
    </row>
    <row r="174" spans="1:9" ht="18" x14ac:dyDescent="0.35">
      <c r="A174" s="342"/>
      <c r="B174" s="514" t="s">
        <v>220</v>
      </c>
      <c r="C174" s="217" t="s">
        <v>52</v>
      </c>
      <c r="D174" s="218" t="s">
        <v>89</v>
      </c>
      <c r="E174" s="218" t="s">
        <v>43</v>
      </c>
      <c r="F174" s="219" t="s">
        <v>44</v>
      </c>
      <c r="G174" s="247"/>
      <c r="H174" s="226">
        <f>H175+H180+H193+H196</f>
        <v>67407.5</v>
      </c>
      <c r="I174" s="226">
        <f>I175+I180+I193+I196</f>
        <v>37583.200000000004</v>
      </c>
    </row>
    <row r="175" spans="1:9" ht="36" x14ac:dyDescent="0.35">
      <c r="A175" s="342"/>
      <c r="B175" s="514" t="s">
        <v>282</v>
      </c>
      <c r="C175" s="217" t="s">
        <v>52</v>
      </c>
      <c r="D175" s="218" t="s">
        <v>89</v>
      </c>
      <c r="E175" s="218" t="s">
        <v>37</v>
      </c>
      <c r="F175" s="219" t="s">
        <v>44</v>
      </c>
      <c r="G175" s="28"/>
      <c r="H175" s="226">
        <f>H176</f>
        <v>3058.7000000000003</v>
      </c>
      <c r="I175" s="226">
        <f>I176</f>
        <v>3059.7999999999997</v>
      </c>
    </row>
    <row r="176" spans="1:9" ht="36" x14ac:dyDescent="0.35">
      <c r="A176" s="342"/>
      <c r="B176" s="514" t="s">
        <v>47</v>
      </c>
      <c r="C176" s="217" t="s">
        <v>52</v>
      </c>
      <c r="D176" s="218" t="s">
        <v>89</v>
      </c>
      <c r="E176" s="218" t="s">
        <v>37</v>
      </c>
      <c r="F176" s="219" t="s">
        <v>48</v>
      </c>
      <c r="G176" s="28"/>
      <c r="H176" s="226">
        <f>SUM(H177:H179)</f>
        <v>3058.7000000000003</v>
      </c>
      <c r="I176" s="226">
        <f>SUM(I177:I179)</f>
        <v>3059.7999999999997</v>
      </c>
    </row>
    <row r="177" spans="1:9" ht="90" x14ac:dyDescent="0.35">
      <c r="A177" s="342"/>
      <c r="B177" s="514" t="s">
        <v>49</v>
      </c>
      <c r="C177" s="217" t="s">
        <v>52</v>
      </c>
      <c r="D177" s="218" t="s">
        <v>89</v>
      </c>
      <c r="E177" s="218" t="s">
        <v>37</v>
      </c>
      <c r="F177" s="219" t="s">
        <v>48</v>
      </c>
      <c r="G177" s="28" t="s">
        <v>50</v>
      </c>
      <c r="H177" s="226">
        <f>'прил10 (ведом 24-25)'!M522</f>
        <v>2997.5</v>
      </c>
      <c r="I177" s="226">
        <f>'прил10 (ведом 24-25)'!N522</f>
        <v>2997.5</v>
      </c>
    </row>
    <row r="178" spans="1:9" ht="36" x14ac:dyDescent="0.35">
      <c r="A178" s="342"/>
      <c r="B178" s="515" t="s">
        <v>55</v>
      </c>
      <c r="C178" s="217" t="s">
        <v>52</v>
      </c>
      <c r="D178" s="218" t="s">
        <v>89</v>
      </c>
      <c r="E178" s="218" t="s">
        <v>37</v>
      </c>
      <c r="F178" s="219" t="s">
        <v>48</v>
      </c>
      <c r="G178" s="28" t="s">
        <v>56</v>
      </c>
      <c r="H178" s="226">
        <f>'прил10 (ведом 24-25)'!M523</f>
        <v>59.4</v>
      </c>
      <c r="I178" s="226">
        <f>'прил10 (ведом 24-25)'!N523</f>
        <v>60.6</v>
      </c>
    </row>
    <row r="179" spans="1:9" ht="18" x14ac:dyDescent="0.35">
      <c r="A179" s="342"/>
      <c r="B179" s="515" t="s">
        <v>57</v>
      </c>
      <c r="C179" s="217" t="s">
        <v>52</v>
      </c>
      <c r="D179" s="218" t="s">
        <v>89</v>
      </c>
      <c r="E179" s="218" t="s">
        <v>37</v>
      </c>
      <c r="F179" s="219" t="s">
        <v>48</v>
      </c>
      <c r="G179" s="28" t="s">
        <v>58</v>
      </c>
      <c r="H179" s="226">
        <f>'прил10 (ведом 24-25)'!M524</f>
        <v>1.8</v>
      </c>
      <c r="I179" s="226">
        <f>'прил10 (ведом 24-25)'!N524</f>
        <v>1.7</v>
      </c>
    </row>
    <row r="180" spans="1:9" ht="18" x14ac:dyDescent="0.35">
      <c r="A180" s="342"/>
      <c r="B180" s="514" t="s">
        <v>361</v>
      </c>
      <c r="C180" s="217" t="s">
        <v>52</v>
      </c>
      <c r="D180" s="218" t="s">
        <v>89</v>
      </c>
      <c r="E180" s="218" t="s">
        <v>39</v>
      </c>
      <c r="F180" s="219" t="s">
        <v>44</v>
      </c>
      <c r="G180" s="28"/>
      <c r="H180" s="226">
        <f>H181+H185+H187+H191+H189</f>
        <v>60703.5</v>
      </c>
      <c r="I180" s="226">
        <f>I181+I185+I187+I191+I189</f>
        <v>30862.2</v>
      </c>
    </row>
    <row r="181" spans="1:9" ht="36" x14ac:dyDescent="0.35">
      <c r="A181" s="342"/>
      <c r="B181" s="514" t="s">
        <v>466</v>
      </c>
      <c r="C181" s="217" t="s">
        <v>52</v>
      </c>
      <c r="D181" s="218" t="s">
        <v>89</v>
      </c>
      <c r="E181" s="218" t="s">
        <v>39</v>
      </c>
      <c r="F181" s="219" t="s">
        <v>91</v>
      </c>
      <c r="G181" s="28"/>
      <c r="H181" s="226">
        <f>SUM(H182:H184)</f>
        <v>24324.5</v>
      </c>
      <c r="I181" s="226">
        <f>SUM(I182:I184)</f>
        <v>24334.7</v>
      </c>
    </row>
    <row r="182" spans="1:9" ht="90" x14ac:dyDescent="0.35">
      <c r="A182" s="342"/>
      <c r="B182" s="514" t="s">
        <v>49</v>
      </c>
      <c r="C182" s="217" t="s">
        <v>52</v>
      </c>
      <c r="D182" s="218" t="s">
        <v>89</v>
      </c>
      <c r="E182" s="218" t="s">
        <v>39</v>
      </c>
      <c r="F182" s="219" t="s">
        <v>91</v>
      </c>
      <c r="G182" s="28" t="s">
        <v>50</v>
      </c>
      <c r="H182" s="226">
        <f>'прил10 (ведом 24-25)'!M508</f>
        <v>20027.900000000001</v>
      </c>
      <c r="I182" s="226">
        <f>'прил10 (ведом 24-25)'!N508</f>
        <v>20027.900000000001</v>
      </c>
    </row>
    <row r="183" spans="1:9" ht="36" x14ac:dyDescent="0.35">
      <c r="A183" s="342"/>
      <c r="B183" s="514" t="s">
        <v>55</v>
      </c>
      <c r="C183" s="217" t="s">
        <v>52</v>
      </c>
      <c r="D183" s="218" t="s">
        <v>89</v>
      </c>
      <c r="E183" s="218" t="s">
        <v>39</v>
      </c>
      <c r="F183" s="219" t="s">
        <v>91</v>
      </c>
      <c r="G183" s="28" t="s">
        <v>56</v>
      </c>
      <c r="H183" s="226">
        <f>'прил10 (ведом 24-25)'!M509</f>
        <v>4238</v>
      </c>
      <c r="I183" s="226">
        <f>'прил10 (ведом 24-25)'!N509</f>
        <v>4250.2</v>
      </c>
    </row>
    <row r="184" spans="1:9" ht="18" x14ac:dyDescent="0.35">
      <c r="A184" s="342"/>
      <c r="B184" s="514" t="s">
        <v>57</v>
      </c>
      <c r="C184" s="217" t="s">
        <v>52</v>
      </c>
      <c r="D184" s="218" t="s">
        <v>89</v>
      </c>
      <c r="E184" s="218" t="s">
        <v>39</v>
      </c>
      <c r="F184" s="219" t="s">
        <v>91</v>
      </c>
      <c r="G184" s="28" t="s">
        <v>58</v>
      </c>
      <c r="H184" s="226">
        <f>'прил10 (ведом 24-25)'!M510</f>
        <v>58.6</v>
      </c>
      <c r="I184" s="226">
        <f>'прил10 (ведом 24-25)'!N510</f>
        <v>56.6</v>
      </c>
    </row>
    <row r="185" spans="1:9" ht="36" x14ac:dyDescent="0.35">
      <c r="A185" s="342"/>
      <c r="B185" s="518" t="s">
        <v>219</v>
      </c>
      <c r="C185" s="696" t="s">
        <v>52</v>
      </c>
      <c r="D185" s="697" t="s">
        <v>89</v>
      </c>
      <c r="E185" s="697" t="s">
        <v>39</v>
      </c>
      <c r="F185" s="698" t="s">
        <v>292</v>
      </c>
      <c r="G185" s="10"/>
      <c r="H185" s="226">
        <f>H186</f>
        <v>4225.2</v>
      </c>
      <c r="I185" s="226">
        <f>I186</f>
        <v>4225.2</v>
      </c>
    </row>
    <row r="186" spans="1:9" ht="36" x14ac:dyDescent="0.35">
      <c r="A186" s="342"/>
      <c r="B186" s="518" t="s">
        <v>55</v>
      </c>
      <c r="C186" s="696" t="s">
        <v>52</v>
      </c>
      <c r="D186" s="697" t="s">
        <v>89</v>
      </c>
      <c r="E186" s="697" t="s">
        <v>39</v>
      </c>
      <c r="F186" s="698" t="s">
        <v>292</v>
      </c>
      <c r="G186" s="10" t="s">
        <v>56</v>
      </c>
      <c r="H186" s="226">
        <f>'прил10 (ведом 24-25)'!M512</f>
        <v>4225.2</v>
      </c>
      <c r="I186" s="226">
        <f>'прил10 (ведом 24-25)'!N512</f>
        <v>4225.2</v>
      </c>
    </row>
    <row r="187" spans="1:9" ht="180" x14ac:dyDescent="0.35">
      <c r="A187" s="342"/>
      <c r="B187" s="515" t="s">
        <v>437</v>
      </c>
      <c r="C187" s="217" t="s">
        <v>52</v>
      </c>
      <c r="D187" s="218" t="s">
        <v>89</v>
      </c>
      <c r="E187" s="218" t="s">
        <v>39</v>
      </c>
      <c r="F187" s="219" t="s">
        <v>390</v>
      </c>
      <c r="G187" s="28"/>
      <c r="H187" s="226">
        <f>H188</f>
        <v>187.5</v>
      </c>
      <c r="I187" s="226">
        <f>I188</f>
        <v>187.5</v>
      </c>
    </row>
    <row r="188" spans="1:9" ht="90" x14ac:dyDescent="0.35">
      <c r="A188" s="342"/>
      <c r="B188" s="515" t="s">
        <v>49</v>
      </c>
      <c r="C188" s="217" t="s">
        <v>52</v>
      </c>
      <c r="D188" s="218" t="s">
        <v>89</v>
      </c>
      <c r="E188" s="218" t="s">
        <v>39</v>
      </c>
      <c r="F188" s="219" t="s">
        <v>390</v>
      </c>
      <c r="G188" s="28" t="s">
        <v>50</v>
      </c>
      <c r="H188" s="226">
        <f>'прил10 (ведом 24-25)'!M514</f>
        <v>187.5</v>
      </c>
      <c r="I188" s="226">
        <f>'прил10 (ведом 24-25)'!N514</f>
        <v>187.5</v>
      </c>
    </row>
    <row r="189" spans="1:9" ht="72" x14ac:dyDescent="0.35">
      <c r="A189" s="342"/>
      <c r="B189" s="518" t="s">
        <v>740</v>
      </c>
      <c r="C189" s="696" t="s">
        <v>52</v>
      </c>
      <c r="D189" s="697" t="s">
        <v>89</v>
      </c>
      <c r="E189" s="697" t="s">
        <v>39</v>
      </c>
      <c r="F189" s="698" t="s">
        <v>739</v>
      </c>
      <c r="G189" s="10"/>
      <c r="H189" s="226">
        <f>H190</f>
        <v>29851.5</v>
      </c>
      <c r="I189" s="226">
        <f>I190</f>
        <v>0</v>
      </c>
    </row>
    <row r="190" spans="1:9" ht="36" x14ac:dyDescent="0.35">
      <c r="A190" s="342"/>
      <c r="B190" s="518" t="s">
        <v>55</v>
      </c>
      <c r="C190" s="696" t="s">
        <v>52</v>
      </c>
      <c r="D190" s="697" t="s">
        <v>89</v>
      </c>
      <c r="E190" s="697" t="s">
        <v>39</v>
      </c>
      <c r="F190" s="698" t="s">
        <v>739</v>
      </c>
      <c r="G190" s="10" t="s">
        <v>56</v>
      </c>
      <c r="H190" s="226">
        <f>'прил10 (ведом 24-25)'!M498</f>
        <v>29851.5</v>
      </c>
      <c r="I190" s="226">
        <f>'прил10 (ведом 24-25)'!N498</f>
        <v>0</v>
      </c>
    </row>
    <row r="191" spans="1:9" ht="54" x14ac:dyDescent="0.35">
      <c r="A191" s="342"/>
      <c r="B191" s="515" t="s">
        <v>439</v>
      </c>
      <c r="C191" s="217" t="s">
        <v>52</v>
      </c>
      <c r="D191" s="218" t="s">
        <v>89</v>
      </c>
      <c r="E191" s="218" t="s">
        <v>39</v>
      </c>
      <c r="F191" s="219" t="s">
        <v>410</v>
      </c>
      <c r="G191" s="28"/>
      <c r="H191" s="226">
        <f>H192</f>
        <v>2114.8000000000002</v>
      </c>
      <c r="I191" s="226">
        <f>I192</f>
        <v>2114.8000000000002</v>
      </c>
    </row>
    <row r="192" spans="1:9" ht="90" x14ac:dyDescent="0.35">
      <c r="A192" s="342"/>
      <c r="B192" s="515" t="s">
        <v>49</v>
      </c>
      <c r="C192" s="217" t="s">
        <v>52</v>
      </c>
      <c r="D192" s="218" t="s">
        <v>89</v>
      </c>
      <c r="E192" s="218" t="s">
        <v>39</v>
      </c>
      <c r="F192" s="219" t="s">
        <v>410</v>
      </c>
      <c r="G192" s="28" t="s">
        <v>50</v>
      </c>
      <c r="H192" s="226">
        <f>'прил10 (ведом 24-25)'!M516</f>
        <v>2114.8000000000002</v>
      </c>
      <c r="I192" s="226">
        <f>'прил10 (ведом 24-25)'!N516</f>
        <v>2114.8000000000002</v>
      </c>
    </row>
    <row r="193" spans="1:9" ht="36" x14ac:dyDescent="0.35">
      <c r="A193" s="342"/>
      <c r="B193" s="515" t="s">
        <v>351</v>
      </c>
      <c r="C193" s="217" t="s">
        <v>52</v>
      </c>
      <c r="D193" s="218" t="s">
        <v>89</v>
      </c>
      <c r="E193" s="218" t="s">
        <v>63</v>
      </c>
      <c r="F193" s="219" t="s">
        <v>44</v>
      </c>
      <c r="G193" s="28"/>
      <c r="H193" s="226">
        <f>H194</f>
        <v>38.4</v>
      </c>
      <c r="I193" s="226">
        <f>I194</f>
        <v>38.4</v>
      </c>
    </row>
    <row r="194" spans="1:9" ht="54" x14ac:dyDescent="0.35">
      <c r="A194" s="342"/>
      <c r="B194" s="515" t="s">
        <v>352</v>
      </c>
      <c r="C194" s="217" t="s">
        <v>52</v>
      </c>
      <c r="D194" s="218" t="s">
        <v>89</v>
      </c>
      <c r="E194" s="218" t="s">
        <v>63</v>
      </c>
      <c r="F194" s="219" t="s">
        <v>105</v>
      </c>
      <c r="G194" s="28"/>
      <c r="H194" s="226">
        <f>H195</f>
        <v>38.4</v>
      </c>
      <c r="I194" s="226">
        <f>I195</f>
        <v>38.4</v>
      </c>
    </row>
    <row r="195" spans="1:9" ht="36" x14ac:dyDescent="0.35">
      <c r="A195" s="342"/>
      <c r="B195" s="554" t="s">
        <v>55</v>
      </c>
      <c r="C195" s="217" t="s">
        <v>52</v>
      </c>
      <c r="D195" s="218" t="s">
        <v>89</v>
      </c>
      <c r="E195" s="218" t="s">
        <v>63</v>
      </c>
      <c r="F195" s="219" t="s">
        <v>105</v>
      </c>
      <c r="G195" s="28" t="s">
        <v>56</v>
      </c>
      <c r="H195" s="226">
        <f>'прил10 (ведом 24-25)'!M477</f>
        <v>38.4</v>
      </c>
      <c r="I195" s="226">
        <f>'прил10 (ведом 24-25)'!N477</f>
        <v>38.4</v>
      </c>
    </row>
    <row r="196" spans="1:9" ht="18" x14ac:dyDescent="0.35">
      <c r="A196" s="342"/>
      <c r="B196" s="518" t="s">
        <v>566</v>
      </c>
      <c r="C196" s="696" t="s">
        <v>52</v>
      </c>
      <c r="D196" s="697" t="s">
        <v>89</v>
      </c>
      <c r="E196" s="697" t="s">
        <v>52</v>
      </c>
      <c r="F196" s="698" t="s">
        <v>44</v>
      </c>
      <c r="G196" s="10"/>
      <c r="H196" s="226">
        <f>H197+H201</f>
        <v>3606.9000000000005</v>
      </c>
      <c r="I196" s="226">
        <f>I197+I201</f>
        <v>3622.8</v>
      </c>
    </row>
    <row r="197" spans="1:9" ht="36" x14ac:dyDescent="0.35">
      <c r="A197" s="342"/>
      <c r="B197" s="518" t="s">
        <v>466</v>
      </c>
      <c r="C197" s="696" t="s">
        <v>52</v>
      </c>
      <c r="D197" s="697" t="s">
        <v>89</v>
      </c>
      <c r="E197" s="697" t="s">
        <v>52</v>
      </c>
      <c r="F197" s="698" t="s">
        <v>91</v>
      </c>
      <c r="G197" s="10"/>
      <c r="H197" s="226">
        <f>H198+H199+H200</f>
        <v>2687.1000000000004</v>
      </c>
      <c r="I197" s="226">
        <f>I198+I199+I200</f>
        <v>2703</v>
      </c>
    </row>
    <row r="198" spans="1:9" ht="90" x14ac:dyDescent="0.35">
      <c r="A198" s="342"/>
      <c r="B198" s="518" t="s">
        <v>49</v>
      </c>
      <c r="C198" s="696" t="s">
        <v>52</v>
      </c>
      <c r="D198" s="697" t="s">
        <v>89</v>
      </c>
      <c r="E198" s="697" t="s">
        <v>52</v>
      </c>
      <c r="F198" s="698" t="s">
        <v>91</v>
      </c>
      <c r="G198" s="10" t="s">
        <v>50</v>
      </c>
      <c r="H198" s="226">
        <f>'прил10 (ведом 24-25)'!M484</f>
        <v>2045</v>
      </c>
      <c r="I198" s="226">
        <f>'прил10 (ведом 24-25)'!N484</f>
        <v>2045</v>
      </c>
    </row>
    <row r="199" spans="1:9" ht="36" x14ac:dyDescent="0.35">
      <c r="A199" s="342"/>
      <c r="B199" s="518" t="s">
        <v>55</v>
      </c>
      <c r="C199" s="696" t="s">
        <v>52</v>
      </c>
      <c r="D199" s="697" t="s">
        <v>89</v>
      </c>
      <c r="E199" s="697" t="s">
        <v>52</v>
      </c>
      <c r="F199" s="698" t="s">
        <v>91</v>
      </c>
      <c r="G199" s="10" t="s">
        <v>56</v>
      </c>
      <c r="H199" s="226">
        <f>'прил10 (ведом 24-25)'!M485</f>
        <v>634.29999999999995</v>
      </c>
      <c r="I199" s="226">
        <f>'прил10 (ведом 24-25)'!N485</f>
        <v>651</v>
      </c>
    </row>
    <row r="200" spans="1:9" ht="18" x14ac:dyDescent="0.35">
      <c r="A200" s="342"/>
      <c r="B200" s="518" t="s">
        <v>57</v>
      </c>
      <c r="C200" s="696" t="s">
        <v>52</v>
      </c>
      <c r="D200" s="697" t="s">
        <v>89</v>
      </c>
      <c r="E200" s="697" t="s">
        <v>52</v>
      </c>
      <c r="F200" s="698" t="s">
        <v>91</v>
      </c>
      <c r="G200" s="10" t="s">
        <v>58</v>
      </c>
      <c r="H200" s="226">
        <f>'прил10 (ведом 24-25)'!M486</f>
        <v>7.8</v>
      </c>
      <c r="I200" s="226">
        <f>'прил10 (ведом 24-25)'!N486</f>
        <v>7</v>
      </c>
    </row>
    <row r="201" spans="1:9" ht="36" x14ac:dyDescent="0.35">
      <c r="A201" s="342"/>
      <c r="B201" s="518" t="s">
        <v>219</v>
      </c>
      <c r="C201" s="696" t="s">
        <v>52</v>
      </c>
      <c r="D201" s="697" t="s">
        <v>89</v>
      </c>
      <c r="E201" s="697" t="s">
        <v>52</v>
      </c>
      <c r="F201" s="698" t="s">
        <v>292</v>
      </c>
      <c r="G201" s="10"/>
      <c r="H201" s="226">
        <f>H202</f>
        <v>919.8</v>
      </c>
      <c r="I201" s="226">
        <f>I202</f>
        <v>919.8</v>
      </c>
    </row>
    <row r="202" spans="1:9" ht="36" x14ac:dyDescent="0.35">
      <c r="A202" s="342"/>
      <c r="B202" s="518" t="s">
        <v>55</v>
      </c>
      <c r="C202" s="696" t="s">
        <v>52</v>
      </c>
      <c r="D202" s="697" t="s">
        <v>89</v>
      </c>
      <c r="E202" s="697" t="s">
        <v>52</v>
      </c>
      <c r="F202" s="698" t="s">
        <v>292</v>
      </c>
      <c r="G202" s="10" t="s">
        <v>56</v>
      </c>
      <c r="H202" s="226">
        <f>'прил10 (ведом 24-25)'!M488</f>
        <v>919.8</v>
      </c>
      <c r="I202" s="226">
        <f>'прил10 (ведом 24-25)'!N488</f>
        <v>919.8</v>
      </c>
    </row>
    <row r="203" spans="1:9" ht="18" x14ac:dyDescent="0.35">
      <c r="A203" s="342"/>
      <c r="B203" s="521"/>
      <c r="C203" s="689"/>
      <c r="D203" s="690"/>
      <c r="E203" s="690"/>
      <c r="F203" s="691"/>
      <c r="G203" s="247"/>
      <c r="H203" s="226"/>
      <c r="I203" s="226"/>
    </row>
    <row r="204" spans="1:9" s="352" customFormat="1" ht="52.2" x14ac:dyDescent="0.3">
      <c r="A204" s="357">
        <v>4</v>
      </c>
      <c r="B204" s="513" t="s">
        <v>221</v>
      </c>
      <c r="C204" s="349" t="s">
        <v>65</v>
      </c>
      <c r="D204" s="349" t="s">
        <v>42</v>
      </c>
      <c r="E204" s="349" t="s">
        <v>43</v>
      </c>
      <c r="F204" s="350" t="s">
        <v>44</v>
      </c>
      <c r="G204" s="351"/>
      <c r="H204" s="263">
        <f>H205+H211</f>
        <v>7587.1</v>
      </c>
      <c r="I204" s="263">
        <f>I205+I211</f>
        <v>7592.7999999999993</v>
      </c>
    </row>
    <row r="205" spans="1:9" s="352" customFormat="1" ht="18" x14ac:dyDescent="0.35">
      <c r="A205" s="342"/>
      <c r="B205" s="514" t="s">
        <v>222</v>
      </c>
      <c r="C205" s="217" t="s">
        <v>65</v>
      </c>
      <c r="D205" s="218" t="s">
        <v>45</v>
      </c>
      <c r="E205" s="218" t="s">
        <v>43</v>
      </c>
      <c r="F205" s="219" t="s">
        <v>44</v>
      </c>
      <c r="G205" s="247"/>
      <c r="H205" s="226">
        <f>H206</f>
        <v>3836.5</v>
      </c>
      <c r="I205" s="226">
        <f>I206</f>
        <v>3836.5</v>
      </c>
    </row>
    <row r="206" spans="1:9" s="352" customFormat="1" ht="72" x14ac:dyDescent="0.35">
      <c r="A206" s="342"/>
      <c r="B206" s="514" t="s">
        <v>287</v>
      </c>
      <c r="C206" s="217" t="s">
        <v>65</v>
      </c>
      <c r="D206" s="218" t="s">
        <v>45</v>
      </c>
      <c r="E206" s="218" t="s">
        <v>37</v>
      </c>
      <c r="F206" s="219" t="s">
        <v>44</v>
      </c>
      <c r="G206" s="28"/>
      <c r="H206" s="226">
        <f>H207</f>
        <v>3836.5</v>
      </c>
      <c r="I206" s="226">
        <f>I207</f>
        <v>3836.5</v>
      </c>
    </row>
    <row r="207" spans="1:9" ht="36" x14ac:dyDescent="0.35">
      <c r="A207" s="342"/>
      <c r="B207" s="514" t="s">
        <v>466</v>
      </c>
      <c r="C207" s="217" t="s">
        <v>65</v>
      </c>
      <c r="D207" s="218" t="s">
        <v>45</v>
      </c>
      <c r="E207" s="218" t="s">
        <v>37</v>
      </c>
      <c r="F207" s="219" t="s">
        <v>91</v>
      </c>
      <c r="G207" s="28"/>
      <c r="H207" s="226">
        <f>SUM(H208:H210)</f>
        <v>3836.5</v>
      </c>
      <c r="I207" s="226">
        <f>SUM(I208:I210)</f>
        <v>3836.5</v>
      </c>
    </row>
    <row r="208" spans="1:9" ht="90" x14ac:dyDescent="0.35">
      <c r="A208" s="342"/>
      <c r="B208" s="514" t="s">
        <v>49</v>
      </c>
      <c r="C208" s="217" t="s">
        <v>65</v>
      </c>
      <c r="D208" s="218" t="s">
        <v>45</v>
      </c>
      <c r="E208" s="218" t="s">
        <v>37</v>
      </c>
      <c r="F208" s="219" t="s">
        <v>91</v>
      </c>
      <c r="G208" s="28" t="s">
        <v>50</v>
      </c>
      <c r="H208" s="226">
        <f>'прил10 (ведом 24-25)'!M546</f>
        <v>3509.5</v>
      </c>
      <c r="I208" s="226">
        <f>'прил10 (ведом 24-25)'!N546</f>
        <v>3509.5</v>
      </c>
    </row>
    <row r="209" spans="1:9" ht="36" x14ac:dyDescent="0.35">
      <c r="A209" s="342"/>
      <c r="B209" s="515" t="s">
        <v>55</v>
      </c>
      <c r="C209" s="217" t="s">
        <v>65</v>
      </c>
      <c r="D209" s="218" t="s">
        <v>45</v>
      </c>
      <c r="E209" s="218" t="s">
        <v>37</v>
      </c>
      <c r="F209" s="219" t="s">
        <v>91</v>
      </c>
      <c r="G209" s="28" t="s">
        <v>56</v>
      </c>
      <c r="H209" s="226">
        <f>'прил10 (ведом 24-25)'!M547</f>
        <v>324.3</v>
      </c>
      <c r="I209" s="226">
        <f>'прил10 (ведом 24-25)'!N547</f>
        <v>324.3</v>
      </c>
    </row>
    <row r="210" spans="1:9" ht="18" x14ac:dyDescent="0.35">
      <c r="A210" s="342"/>
      <c r="B210" s="515" t="s">
        <v>57</v>
      </c>
      <c r="C210" s="217" t="s">
        <v>65</v>
      </c>
      <c r="D210" s="218" t="s">
        <v>45</v>
      </c>
      <c r="E210" s="218" t="s">
        <v>37</v>
      </c>
      <c r="F210" s="219" t="s">
        <v>91</v>
      </c>
      <c r="G210" s="28" t="s">
        <v>58</v>
      </c>
      <c r="H210" s="226">
        <f>'прил10 (ведом 24-25)'!M548</f>
        <v>2.7</v>
      </c>
      <c r="I210" s="226">
        <f>'прил10 (ведом 24-25)'!N548</f>
        <v>2.7</v>
      </c>
    </row>
    <row r="211" spans="1:9" s="352" customFormat="1" ht="18" x14ac:dyDescent="0.35">
      <c r="A211" s="342"/>
      <c r="B211" s="514" t="s">
        <v>220</v>
      </c>
      <c r="C211" s="217" t="s">
        <v>65</v>
      </c>
      <c r="D211" s="218" t="s">
        <v>89</v>
      </c>
      <c r="E211" s="218" t="s">
        <v>43</v>
      </c>
      <c r="F211" s="219" t="s">
        <v>44</v>
      </c>
      <c r="G211" s="28"/>
      <c r="H211" s="226">
        <f>H212+H217+H220+H223</f>
        <v>3750.6</v>
      </c>
      <c r="I211" s="226">
        <f>I212+I217+I220+I223</f>
        <v>3756.2999999999997</v>
      </c>
    </row>
    <row r="212" spans="1:9" s="352" customFormat="1" ht="36" x14ac:dyDescent="0.35">
      <c r="A212" s="342"/>
      <c r="B212" s="514" t="s">
        <v>282</v>
      </c>
      <c r="C212" s="217" t="s">
        <v>65</v>
      </c>
      <c r="D212" s="218" t="s">
        <v>89</v>
      </c>
      <c r="E212" s="218" t="s">
        <v>37</v>
      </c>
      <c r="F212" s="219" t="s">
        <v>44</v>
      </c>
      <c r="G212" s="28"/>
      <c r="H212" s="226">
        <f>H213</f>
        <v>3623.7</v>
      </c>
      <c r="I212" s="226">
        <f>I213</f>
        <v>3629.3999999999996</v>
      </c>
    </row>
    <row r="213" spans="1:9" s="352" customFormat="1" ht="36" x14ac:dyDescent="0.35">
      <c r="A213" s="342"/>
      <c r="B213" s="514" t="s">
        <v>47</v>
      </c>
      <c r="C213" s="217" t="s">
        <v>65</v>
      </c>
      <c r="D213" s="218" t="s">
        <v>89</v>
      </c>
      <c r="E213" s="218" t="s">
        <v>37</v>
      </c>
      <c r="F213" s="219" t="s">
        <v>48</v>
      </c>
      <c r="G213" s="28"/>
      <c r="H213" s="226">
        <f>SUM(H214:H216)</f>
        <v>3623.7</v>
      </c>
      <c r="I213" s="226">
        <f>SUM(I214:I216)</f>
        <v>3629.3999999999996</v>
      </c>
    </row>
    <row r="214" spans="1:9" s="352" customFormat="1" ht="90" x14ac:dyDescent="0.35">
      <c r="A214" s="342"/>
      <c r="B214" s="514" t="s">
        <v>49</v>
      </c>
      <c r="C214" s="217" t="s">
        <v>65</v>
      </c>
      <c r="D214" s="218" t="s">
        <v>89</v>
      </c>
      <c r="E214" s="218" t="s">
        <v>37</v>
      </c>
      <c r="F214" s="219" t="s">
        <v>48</v>
      </c>
      <c r="G214" s="28" t="s">
        <v>50</v>
      </c>
      <c r="H214" s="226">
        <f>'прил10 (ведом 24-25)'!M554</f>
        <v>3261.7</v>
      </c>
      <c r="I214" s="226">
        <f>'прил10 (ведом 24-25)'!N554</f>
        <v>3261.7</v>
      </c>
    </row>
    <row r="215" spans="1:9" ht="36" x14ac:dyDescent="0.35">
      <c r="A215" s="342"/>
      <c r="B215" s="514" t="s">
        <v>55</v>
      </c>
      <c r="C215" s="217" t="s">
        <v>65</v>
      </c>
      <c r="D215" s="218" t="s">
        <v>89</v>
      </c>
      <c r="E215" s="218" t="s">
        <v>37</v>
      </c>
      <c r="F215" s="219" t="s">
        <v>48</v>
      </c>
      <c r="G215" s="28" t="s">
        <v>56</v>
      </c>
      <c r="H215" s="226">
        <f>'прил10 (ведом 24-25)'!M555</f>
        <v>360.8</v>
      </c>
      <c r="I215" s="226">
        <f>'прил10 (ведом 24-25)'!N555</f>
        <v>366.5</v>
      </c>
    </row>
    <row r="216" spans="1:9" ht="18" x14ac:dyDescent="0.35">
      <c r="A216" s="342"/>
      <c r="B216" s="514" t="s">
        <v>57</v>
      </c>
      <c r="C216" s="217" t="s">
        <v>65</v>
      </c>
      <c r="D216" s="218" t="s">
        <v>89</v>
      </c>
      <c r="E216" s="218" t="s">
        <v>37</v>
      </c>
      <c r="F216" s="219" t="s">
        <v>48</v>
      </c>
      <c r="G216" s="28" t="s">
        <v>58</v>
      </c>
      <c r="H216" s="226">
        <f>'прил10 (ведом 24-25)'!M556</f>
        <v>1.2</v>
      </c>
      <c r="I216" s="226">
        <f>'прил10 (ведом 24-25)'!N556</f>
        <v>1.2</v>
      </c>
    </row>
    <row r="217" spans="1:9" ht="36" x14ac:dyDescent="0.35">
      <c r="A217" s="342"/>
      <c r="B217" s="527" t="s">
        <v>351</v>
      </c>
      <c r="C217" s="218" t="s">
        <v>65</v>
      </c>
      <c r="D217" s="218" t="s">
        <v>89</v>
      </c>
      <c r="E217" s="218" t="s">
        <v>39</v>
      </c>
      <c r="F217" s="219" t="s">
        <v>44</v>
      </c>
      <c r="G217" s="28"/>
      <c r="H217" s="226">
        <f>H218</f>
        <v>67.900000000000006</v>
      </c>
      <c r="I217" s="226">
        <f>I218</f>
        <v>67.900000000000006</v>
      </c>
    </row>
    <row r="218" spans="1:9" ht="54" x14ac:dyDescent="0.35">
      <c r="A218" s="342"/>
      <c r="B218" s="527" t="s">
        <v>352</v>
      </c>
      <c r="C218" s="217" t="s">
        <v>65</v>
      </c>
      <c r="D218" s="218" t="s">
        <v>89</v>
      </c>
      <c r="E218" s="218" t="s">
        <v>39</v>
      </c>
      <c r="F218" s="219" t="s">
        <v>105</v>
      </c>
      <c r="G218" s="28"/>
      <c r="H218" s="226">
        <f>H219</f>
        <v>67.900000000000006</v>
      </c>
      <c r="I218" s="226">
        <f>I219</f>
        <v>67.900000000000006</v>
      </c>
    </row>
    <row r="219" spans="1:9" ht="36" x14ac:dyDescent="0.35">
      <c r="A219" s="342"/>
      <c r="B219" s="527" t="s">
        <v>55</v>
      </c>
      <c r="C219" s="217" t="s">
        <v>65</v>
      </c>
      <c r="D219" s="218" t="s">
        <v>89</v>
      </c>
      <c r="E219" s="218" t="s">
        <v>39</v>
      </c>
      <c r="F219" s="219" t="s">
        <v>105</v>
      </c>
      <c r="G219" s="28" t="s">
        <v>56</v>
      </c>
      <c r="H219" s="226">
        <f>'прил10 (ведом 24-25)'!M533</f>
        <v>67.900000000000006</v>
      </c>
      <c r="I219" s="226">
        <f>'прил10 (ведом 24-25)'!N533</f>
        <v>67.900000000000006</v>
      </c>
    </row>
    <row r="220" spans="1:9" ht="36" x14ac:dyDescent="0.35">
      <c r="A220" s="342"/>
      <c r="B220" s="515" t="s">
        <v>470</v>
      </c>
      <c r="C220" s="218" t="s">
        <v>65</v>
      </c>
      <c r="D220" s="218" t="s">
        <v>89</v>
      </c>
      <c r="E220" s="218" t="s">
        <v>63</v>
      </c>
      <c r="F220" s="219" t="s">
        <v>44</v>
      </c>
      <c r="G220" s="28"/>
      <c r="H220" s="226">
        <f>H221</f>
        <v>14.8</v>
      </c>
      <c r="I220" s="226">
        <f>I221</f>
        <v>14.8</v>
      </c>
    </row>
    <row r="221" spans="1:9" ht="18" x14ac:dyDescent="0.35">
      <c r="A221" s="342"/>
      <c r="B221" s="515" t="s">
        <v>468</v>
      </c>
      <c r="C221" s="218" t="s">
        <v>65</v>
      </c>
      <c r="D221" s="218" t="s">
        <v>89</v>
      </c>
      <c r="E221" s="218" t="s">
        <v>63</v>
      </c>
      <c r="F221" s="219" t="s">
        <v>469</v>
      </c>
      <c r="G221" s="28"/>
      <c r="H221" s="226">
        <f>H222</f>
        <v>14.8</v>
      </c>
      <c r="I221" s="226">
        <f>I222</f>
        <v>14.8</v>
      </c>
    </row>
    <row r="222" spans="1:9" ht="36" x14ac:dyDescent="0.35">
      <c r="A222" s="342"/>
      <c r="B222" s="527" t="s">
        <v>55</v>
      </c>
      <c r="C222" s="218" t="s">
        <v>65</v>
      </c>
      <c r="D222" s="218" t="s">
        <v>89</v>
      </c>
      <c r="E222" s="218" t="s">
        <v>63</v>
      </c>
      <c r="F222" s="219" t="s">
        <v>469</v>
      </c>
      <c r="G222" s="28" t="s">
        <v>56</v>
      </c>
      <c r="H222" s="226">
        <f>'прил10 (ведом 24-25)'!M536</f>
        <v>14.8</v>
      </c>
      <c r="I222" s="226">
        <f>'прил10 (ведом 24-25)'!N536</f>
        <v>14.8</v>
      </c>
    </row>
    <row r="223" spans="1:9" ht="36" x14ac:dyDescent="0.35">
      <c r="A223" s="342"/>
      <c r="B223" s="527" t="s">
        <v>473</v>
      </c>
      <c r="C223" s="218" t="s">
        <v>65</v>
      </c>
      <c r="D223" s="218" t="s">
        <v>89</v>
      </c>
      <c r="E223" s="218" t="s">
        <v>52</v>
      </c>
      <c r="F223" s="691" t="s">
        <v>44</v>
      </c>
      <c r="G223" s="247"/>
      <c r="H223" s="226">
        <f>H224</f>
        <v>44.2</v>
      </c>
      <c r="I223" s="226">
        <f>I224</f>
        <v>44.2</v>
      </c>
    </row>
    <row r="224" spans="1:9" ht="36" x14ac:dyDescent="0.35">
      <c r="A224" s="342"/>
      <c r="B224" s="528" t="s">
        <v>127</v>
      </c>
      <c r="C224" s="218" t="s">
        <v>65</v>
      </c>
      <c r="D224" s="218" t="s">
        <v>89</v>
      </c>
      <c r="E224" s="218" t="s">
        <v>52</v>
      </c>
      <c r="F224" s="366" t="s">
        <v>90</v>
      </c>
      <c r="G224" s="247"/>
      <c r="H224" s="226">
        <f>H225</f>
        <v>44.2</v>
      </c>
      <c r="I224" s="226">
        <f>I225</f>
        <v>44.2</v>
      </c>
    </row>
    <row r="225" spans="1:9" ht="36" x14ac:dyDescent="0.35">
      <c r="A225" s="342"/>
      <c r="B225" s="527" t="s">
        <v>55</v>
      </c>
      <c r="C225" s="218" t="s">
        <v>65</v>
      </c>
      <c r="D225" s="218" t="s">
        <v>89</v>
      </c>
      <c r="E225" s="218" t="s">
        <v>52</v>
      </c>
      <c r="F225" s="691" t="s">
        <v>90</v>
      </c>
      <c r="G225" s="247" t="s">
        <v>56</v>
      </c>
      <c r="H225" s="226">
        <f>'прил10 (ведом 24-25)'!M539</f>
        <v>44.2</v>
      </c>
      <c r="I225" s="226">
        <f>'прил10 (ведом 24-25)'!N539</f>
        <v>44.2</v>
      </c>
    </row>
    <row r="226" spans="1:9" ht="18" x14ac:dyDescent="0.35">
      <c r="A226" s="342"/>
      <c r="B226" s="514"/>
      <c r="C226" s="218"/>
      <c r="D226" s="218"/>
      <c r="E226" s="218"/>
      <c r="F226" s="219"/>
      <c r="G226" s="28"/>
      <c r="H226" s="226"/>
      <c r="I226" s="226"/>
    </row>
    <row r="227" spans="1:9" s="352" customFormat="1" ht="52.2" x14ac:dyDescent="0.3">
      <c r="A227" s="357">
        <v>5</v>
      </c>
      <c r="B227" s="513" t="s">
        <v>80</v>
      </c>
      <c r="C227" s="358" t="s">
        <v>81</v>
      </c>
      <c r="D227" s="358" t="s">
        <v>42</v>
      </c>
      <c r="E227" s="358" t="s">
        <v>43</v>
      </c>
      <c r="F227" s="359" t="s">
        <v>44</v>
      </c>
      <c r="G227" s="351"/>
      <c r="H227" s="263">
        <f>H241+H228+H234+H247</f>
        <v>12719.499999999996</v>
      </c>
      <c r="I227" s="263">
        <f>I241+I228+I234+I247</f>
        <v>12720.499999999996</v>
      </c>
    </row>
    <row r="228" spans="1:9" ht="54" x14ac:dyDescent="0.35">
      <c r="A228" s="342"/>
      <c r="B228" s="522" t="s">
        <v>82</v>
      </c>
      <c r="C228" s="217" t="s">
        <v>81</v>
      </c>
      <c r="D228" s="218" t="s">
        <v>45</v>
      </c>
      <c r="E228" s="218" t="s">
        <v>43</v>
      </c>
      <c r="F228" s="219" t="s">
        <v>44</v>
      </c>
      <c r="G228" s="247"/>
      <c r="H228" s="226">
        <f>H229</f>
        <v>362.29999999999995</v>
      </c>
      <c r="I228" s="226">
        <f>I229</f>
        <v>362.29999999999995</v>
      </c>
    </row>
    <row r="229" spans="1:9" ht="72" x14ac:dyDescent="0.35">
      <c r="A229" s="342"/>
      <c r="B229" s="514" t="s">
        <v>83</v>
      </c>
      <c r="C229" s="217" t="s">
        <v>81</v>
      </c>
      <c r="D229" s="218" t="s">
        <v>45</v>
      </c>
      <c r="E229" s="218" t="s">
        <v>37</v>
      </c>
      <c r="F229" s="219" t="s">
        <v>44</v>
      </c>
      <c r="G229" s="28"/>
      <c r="H229" s="226">
        <f>H230+H232</f>
        <v>362.29999999999995</v>
      </c>
      <c r="I229" s="226">
        <f>I230+I232</f>
        <v>362.29999999999995</v>
      </c>
    </row>
    <row r="230" spans="1:9" ht="36" x14ac:dyDescent="0.35">
      <c r="A230" s="342"/>
      <c r="B230" s="554" t="s">
        <v>452</v>
      </c>
      <c r="C230" s="217" t="s">
        <v>81</v>
      </c>
      <c r="D230" s="218" t="s">
        <v>45</v>
      </c>
      <c r="E230" s="218" t="s">
        <v>37</v>
      </c>
      <c r="F230" s="219" t="s">
        <v>84</v>
      </c>
      <c r="G230" s="28"/>
      <c r="H230" s="226">
        <f>H231</f>
        <v>298.39999999999998</v>
      </c>
      <c r="I230" s="226">
        <f>I231</f>
        <v>298.39999999999998</v>
      </c>
    </row>
    <row r="231" spans="1:9" ht="36" x14ac:dyDescent="0.35">
      <c r="A231" s="342"/>
      <c r="B231" s="515" t="s">
        <v>55</v>
      </c>
      <c r="C231" s="217" t="s">
        <v>81</v>
      </c>
      <c r="D231" s="218" t="s">
        <v>45</v>
      </c>
      <c r="E231" s="218" t="s">
        <v>37</v>
      </c>
      <c r="F231" s="219" t="s">
        <v>84</v>
      </c>
      <c r="G231" s="28" t="s">
        <v>56</v>
      </c>
      <c r="H231" s="226">
        <f>'прил10 (ведом 24-25)'!M84</f>
        <v>298.39999999999998</v>
      </c>
      <c r="I231" s="226">
        <f>'прил10 (ведом 24-25)'!N84</f>
        <v>298.39999999999998</v>
      </c>
    </row>
    <row r="232" spans="1:9" ht="36" x14ac:dyDescent="0.35">
      <c r="A232" s="342"/>
      <c r="B232" s="515" t="s">
        <v>85</v>
      </c>
      <c r="C232" s="217" t="s">
        <v>81</v>
      </c>
      <c r="D232" s="218" t="s">
        <v>45</v>
      </c>
      <c r="E232" s="218" t="s">
        <v>37</v>
      </c>
      <c r="F232" s="219" t="s">
        <v>86</v>
      </c>
      <c r="G232" s="28"/>
      <c r="H232" s="226">
        <f>H233</f>
        <v>63.9</v>
      </c>
      <c r="I232" s="226">
        <f>I233</f>
        <v>63.9</v>
      </c>
    </row>
    <row r="233" spans="1:9" ht="36" x14ac:dyDescent="0.35">
      <c r="A233" s="342"/>
      <c r="B233" s="515" t="s">
        <v>55</v>
      </c>
      <c r="C233" s="217" t="s">
        <v>81</v>
      </c>
      <c r="D233" s="218" t="s">
        <v>45</v>
      </c>
      <c r="E233" s="218" t="s">
        <v>37</v>
      </c>
      <c r="F233" s="219" t="s">
        <v>86</v>
      </c>
      <c r="G233" s="28" t="s">
        <v>56</v>
      </c>
      <c r="H233" s="226">
        <f>'прил10 (ведом 24-25)'!M86</f>
        <v>63.9</v>
      </c>
      <c r="I233" s="226">
        <f>'прил10 (ведом 24-25)'!N86</f>
        <v>63.9</v>
      </c>
    </row>
    <row r="234" spans="1:9" ht="36" x14ac:dyDescent="0.35">
      <c r="A234" s="342"/>
      <c r="B234" s="529" t="s">
        <v>125</v>
      </c>
      <c r="C234" s="217" t="s">
        <v>81</v>
      </c>
      <c r="D234" s="218" t="s">
        <v>89</v>
      </c>
      <c r="E234" s="218" t="s">
        <v>43</v>
      </c>
      <c r="F234" s="219" t="s">
        <v>44</v>
      </c>
      <c r="G234" s="247"/>
      <c r="H234" s="226">
        <f>H235+H238</f>
        <v>1480.3999999999999</v>
      </c>
      <c r="I234" s="226">
        <f>I235+I238</f>
        <v>1480.3999999999999</v>
      </c>
    </row>
    <row r="235" spans="1:9" ht="36" x14ac:dyDescent="0.35">
      <c r="A235" s="342"/>
      <c r="B235" s="515" t="s">
        <v>271</v>
      </c>
      <c r="C235" s="217" t="s">
        <v>81</v>
      </c>
      <c r="D235" s="218" t="s">
        <v>89</v>
      </c>
      <c r="E235" s="218" t="s">
        <v>37</v>
      </c>
      <c r="F235" s="219" t="s">
        <v>44</v>
      </c>
      <c r="G235" s="28"/>
      <c r="H235" s="226">
        <f>H236</f>
        <v>21.8</v>
      </c>
      <c r="I235" s="226">
        <f>I236</f>
        <v>21.8</v>
      </c>
    </row>
    <row r="236" spans="1:9" ht="36" x14ac:dyDescent="0.35">
      <c r="A236" s="342"/>
      <c r="B236" s="553" t="s">
        <v>127</v>
      </c>
      <c r="C236" s="217" t="s">
        <v>81</v>
      </c>
      <c r="D236" s="218" t="s">
        <v>89</v>
      </c>
      <c r="E236" s="218" t="s">
        <v>37</v>
      </c>
      <c r="F236" s="219" t="s">
        <v>90</v>
      </c>
      <c r="G236" s="28"/>
      <c r="H236" s="226">
        <f>H237</f>
        <v>21.8</v>
      </c>
      <c r="I236" s="226">
        <f>I237</f>
        <v>21.8</v>
      </c>
    </row>
    <row r="237" spans="1:9" ht="36" x14ac:dyDescent="0.35">
      <c r="A237" s="342"/>
      <c r="B237" s="515" t="s">
        <v>55</v>
      </c>
      <c r="C237" s="217" t="s">
        <v>81</v>
      </c>
      <c r="D237" s="218" t="s">
        <v>89</v>
      </c>
      <c r="E237" s="218" t="s">
        <v>37</v>
      </c>
      <c r="F237" s="219" t="s">
        <v>90</v>
      </c>
      <c r="G237" s="28" t="s">
        <v>56</v>
      </c>
      <c r="H237" s="226">
        <f>'прил10 (ведом 24-25)'!M92</f>
        <v>21.8</v>
      </c>
      <c r="I237" s="226">
        <f>'прил10 (ведом 24-25)'!N92</f>
        <v>21.8</v>
      </c>
    </row>
    <row r="238" spans="1:9" ht="54" x14ac:dyDescent="0.35">
      <c r="A238" s="342"/>
      <c r="B238" s="553" t="s">
        <v>126</v>
      </c>
      <c r="C238" s="217" t="s">
        <v>81</v>
      </c>
      <c r="D238" s="218" t="s">
        <v>89</v>
      </c>
      <c r="E238" s="218" t="s">
        <v>39</v>
      </c>
      <c r="F238" s="219" t="s">
        <v>44</v>
      </c>
      <c r="G238" s="28"/>
      <c r="H238" s="226">
        <f>H239</f>
        <v>1458.6</v>
      </c>
      <c r="I238" s="226">
        <f>I239</f>
        <v>1458.6</v>
      </c>
    </row>
    <row r="239" spans="1:9" ht="36" x14ac:dyDescent="0.35">
      <c r="A239" s="342"/>
      <c r="B239" s="553" t="s">
        <v>127</v>
      </c>
      <c r="C239" s="217" t="s">
        <v>81</v>
      </c>
      <c r="D239" s="218" t="s">
        <v>89</v>
      </c>
      <c r="E239" s="218" t="s">
        <v>39</v>
      </c>
      <c r="F239" s="219" t="s">
        <v>90</v>
      </c>
      <c r="G239" s="28"/>
      <c r="H239" s="226">
        <f>H240</f>
        <v>1458.6</v>
      </c>
      <c r="I239" s="226">
        <f>I240</f>
        <v>1458.6</v>
      </c>
    </row>
    <row r="240" spans="1:9" ht="36" x14ac:dyDescent="0.35">
      <c r="A240" s="342"/>
      <c r="B240" s="515" t="s">
        <v>55</v>
      </c>
      <c r="C240" s="217" t="s">
        <v>81</v>
      </c>
      <c r="D240" s="218" t="s">
        <v>89</v>
      </c>
      <c r="E240" s="218" t="s">
        <v>39</v>
      </c>
      <c r="F240" s="219" t="s">
        <v>90</v>
      </c>
      <c r="G240" s="28" t="s">
        <v>56</v>
      </c>
      <c r="H240" s="226">
        <f>'прил10 (ведом 24-25)'!M95</f>
        <v>1458.6</v>
      </c>
      <c r="I240" s="226">
        <f>'прил10 (ведом 24-25)'!N95</f>
        <v>1458.6</v>
      </c>
    </row>
    <row r="241" spans="1:9" ht="54" x14ac:dyDescent="0.35">
      <c r="A241" s="342"/>
      <c r="B241" s="531" t="s">
        <v>368</v>
      </c>
      <c r="C241" s="217" t="s">
        <v>81</v>
      </c>
      <c r="D241" s="218" t="s">
        <v>30</v>
      </c>
      <c r="E241" s="218" t="s">
        <v>43</v>
      </c>
      <c r="F241" s="219" t="s">
        <v>44</v>
      </c>
      <c r="G241" s="28"/>
      <c r="H241" s="226">
        <f>H242</f>
        <v>10854.999999999998</v>
      </c>
      <c r="I241" s="226">
        <f>I242</f>
        <v>10855.999999999998</v>
      </c>
    </row>
    <row r="242" spans="1:9" ht="54" x14ac:dyDescent="0.35">
      <c r="A242" s="342"/>
      <c r="B242" s="530" t="s">
        <v>323</v>
      </c>
      <c r="C242" s="217" t="s">
        <v>81</v>
      </c>
      <c r="D242" s="218" t="s">
        <v>30</v>
      </c>
      <c r="E242" s="218" t="s">
        <v>37</v>
      </c>
      <c r="F242" s="219" t="s">
        <v>44</v>
      </c>
      <c r="G242" s="28"/>
      <c r="H242" s="226">
        <f>H243</f>
        <v>10854.999999999998</v>
      </c>
      <c r="I242" s="226">
        <f>I243</f>
        <v>10855.999999999998</v>
      </c>
    </row>
    <row r="243" spans="1:9" ht="36" x14ac:dyDescent="0.35">
      <c r="A243" s="342"/>
      <c r="B243" s="514" t="s">
        <v>466</v>
      </c>
      <c r="C243" s="217" t="s">
        <v>81</v>
      </c>
      <c r="D243" s="218" t="s">
        <v>30</v>
      </c>
      <c r="E243" s="218" t="s">
        <v>37</v>
      </c>
      <c r="F243" s="219" t="s">
        <v>91</v>
      </c>
      <c r="G243" s="28"/>
      <c r="H243" s="226">
        <f>SUM(H244:H246)</f>
        <v>10854.999999999998</v>
      </c>
      <c r="I243" s="226">
        <f>SUM(I244:I246)</f>
        <v>10855.999999999998</v>
      </c>
    </row>
    <row r="244" spans="1:9" s="352" customFormat="1" ht="90" x14ac:dyDescent="0.35">
      <c r="A244" s="342"/>
      <c r="B244" s="514" t="s">
        <v>49</v>
      </c>
      <c r="C244" s="217" t="s">
        <v>81</v>
      </c>
      <c r="D244" s="218" t="s">
        <v>30</v>
      </c>
      <c r="E244" s="218" t="s">
        <v>37</v>
      </c>
      <c r="F244" s="219" t="s">
        <v>91</v>
      </c>
      <c r="G244" s="28" t="s">
        <v>50</v>
      </c>
      <c r="H244" s="226">
        <f>'прил10 (ведом 24-25)'!M99</f>
        <v>8959.9</v>
      </c>
      <c r="I244" s="226">
        <f>'прил10 (ведом 24-25)'!N99</f>
        <v>8959.9</v>
      </c>
    </row>
    <row r="245" spans="1:9" ht="36" x14ac:dyDescent="0.35">
      <c r="A245" s="342"/>
      <c r="B245" s="514" t="s">
        <v>55</v>
      </c>
      <c r="C245" s="217" t="s">
        <v>81</v>
      </c>
      <c r="D245" s="218" t="s">
        <v>30</v>
      </c>
      <c r="E245" s="218" t="s">
        <v>37</v>
      </c>
      <c r="F245" s="219" t="s">
        <v>91</v>
      </c>
      <c r="G245" s="28" t="s">
        <v>56</v>
      </c>
      <c r="H245" s="226">
        <f>'прил10 (ведом 24-25)'!M100</f>
        <v>1891.8</v>
      </c>
      <c r="I245" s="226">
        <f>'прил10 (ведом 24-25)'!N100</f>
        <v>1892.8</v>
      </c>
    </row>
    <row r="246" spans="1:9" ht="18" x14ac:dyDescent="0.35">
      <c r="A246" s="342"/>
      <c r="B246" s="515" t="s">
        <v>57</v>
      </c>
      <c r="C246" s="217" t="s">
        <v>81</v>
      </c>
      <c r="D246" s="218" t="s">
        <v>30</v>
      </c>
      <c r="E246" s="218" t="s">
        <v>37</v>
      </c>
      <c r="F246" s="219" t="s">
        <v>91</v>
      </c>
      <c r="G246" s="28" t="s">
        <v>58</v>
      </c>
      <c r="H246" s="226">
        <f>'прил10 (ведом 24-25)'!M101</f>
        <v>3.3</v>
      </c>
      <c r="I246" s="226">
        <f>'прил10 (ведом 24-25)'!N101</f>
        <v>3.3</v>
      </c>
    </row>
    <row r="247" spans="1:9" ht="54" x14ac:dyDescent="0.35">
      <c r="A247" s="342"/>
      <c r="B247" s="555" t="s">
        <v>492</v>
      </c>
      <c r="C247" s="217" t="s">
        <v>81</v>
      </c>
      <c r="D247" s="218" t="s">
        <v>31</v>
      </c>
      <c r="E247" s="218" t="s">
        <v>43</v>
      </c>
      <c r="F247" s="219" t="s">
        <v>44</v>
      </c>
      <c r="G247" s="28"/>
      <c r="H247" s="226">
        <f t="shared" ref="H247:I249" si="0">H248</f>
        <v>21.8</v>
      </c>
      <c r="I247" s="226">
        <f t="shared" si="0"/>
        <v>21.8</v>
      </c>
    </row>
    <row r="248" spans="1:9" ht="54" x14ac:dyDescent="0.35">
      <c r="A248" s="342"/>
      <c r="B248" s="556" t="s">
        <v>493</v>
      </c>
      <c r="C248" s="217" t="s">
        <v>81</v>
      </c>
      <c r="D248" s="218" t="s">
        <v>31</v>
      </c>
      <c r="E248" s="218" t="s">
        <v>37</v>
      </c>
      <c r="F248" s="219" t="s">
        <v>44</v>
      </c>
      <c r="G248" s="28"/>
      <c r="H248" s="226">
        <f t="shared" si="0"/>
        <v>21.8</v>
      </c>
      <c r="I248" s="226">
        <f t="shared" si="0"/>
        <v>21.8</v>
      </c>
    </row>
    <row r="249" spans="1:9" ht="36" x14ac:dyDescent="0.35">
      <c r="A249" s="342"/>
      <c r="B249" s="557" t="s">
        <v>85</v>
      </c>
      <c r="C249" s="217" t="s">
        <v>81</v>
      </c>
      <c r="D249" s="218" t="s">
        <v>31</v>
      </c>
      <c r="E249" s="218" t="s">
        <v>37</v>
      </c>
      <c r="F249" s="219" t="s">
        <v>86</v>
      </c>
      <c r="G249" s="28"/>
      <c r="H249" s="226">
        <f t="shared" si="0"/>
        <v>21.8</v>
      </c>
      <c r="I249" s="226">
        <f t="shared" si="0"/>
        <v>21.8</v>
      </c>
    </row>
    <row r="250" spans="1:9" ht="36" x14ac:dyDescent="0.35">
      <c r="A250" s="342"/>
      <c r="B250" s="558" t="s">
        <v>55</v>
      </c>
      <c r="C250" s="217" t="s">
        <v>81</v>
      </c>
      <c r="D250" s="218" t="s">
        <v>31</v>
      </c>
      <c r="E250" s="218" t="s">
        <v>37</v>
      </c>
      <c r="F250" s="219" t="s">
        <v>86</v>
      </c>
      <c r="G250" s="28" t="s">
        <v>56</v>
      </c>
      <c r="H250" s="226">
        <f>'прил10 (ведом 24-25)'!M105</f>
        <v>21.8</v>
      </c>
      <c r="I250" s="226">
        <f>'прил10 (ведом 24-25)'!N105</f>
        <v>21.8</v>
      </c>
    </row>
    <row r="251" spans="1:9" ht="18" x14ac:dyDescent="0.35">
      <c r="A251" s="367"/>
      <c r="B251" s="517"/>
      <c r="C251" s="368"/>
      <c r="D251" s="690"/>
      <c r="E251" s="690"/>
      <c r="F251" s="691"/>
      <c r="G251" s="247"/>
      <c r="H251" s="226"/>
      <c r="I251" s="226"/>
    </row>
    <row r="252" spans="1:9" s="352" customFormat="1" ht="52.2" x14ac:dyDescent="0.3">
      <c r="A252" s="357">
        <v>6</v>
      </c>
      <c r="B252" s="526" t="s">
        <v>223</v>
      </c>
      <c r="C252" s="349" t="s">
        <v>224</v>
      </c>
      <c r="D252" s="349" t="s">
        <v>42</v>
      </c>
      <c r="E252" s="349" t="s">
        <v>43</v>
      </c>
      <c r="F252" s="350" t="s">
        <v>44</v>
      </c>
      <c r="G252" s="351"/>
      <c r="H252" s="263">
        <f>H253</f>
        <v>41658.69999999999</v>
      </c>
      <c r="I252" s="263">
        <f>I253</f>
        <v>41669.199999999997</v>
      </c>
    </row>
    <row r="253" spans="1:9" ht="18" x14ac:dyDescent="0.35">
      <c r="A253" s="342"/>
      <c r="B253" s="514" t="s">
        <v>339</v>
      </c>
      <c r="C253" s="369" t="s">
        <v>224</v>
      </c>
      <c r="D253" s="370" t="s">
        <v>45</v>
      </c>
      <c r="E253" s="218" t="s">
        <v>43</v>
      </c>
      <c r="F253" s="219" t="s">
        <v>44</v>
      </c>
      <c r="G253" s="28"/>
      <c r="H253" s="226">
        <f>H254+H261+H264+H267</f>
        <v>41658.69999999999</v>
      </c>
      <c r="I253" s="226">
        <f>I254+I261+I264+I267</f>
        <v>41669.199999999997</v>
      </c>
    </row>
    <row r="254" spans="1:9" ht="36" x14ac:dyDescent="0.35">
      <c r="A254" s="342"/>
      <c r="B254" s="514" t="s">
        <v>303</v>
      </c>
      <c r="C254" s="369" t="s">
        <v>224</v>
      </c>
      <c r="D254" s="370" t="s">
        <v>45</v>
      </c>
      <c r="E254" s="218" t="s">
        <v>37</v>
      </c>
      <c r="F254" s="219" t="s">
        <v>44</v>
      </c>
      <c r="G254" s="28"/>
      <c r="H254" s="226">
        <f>H255+H259</f>
        <v>31334.299999999996</v>
      </c>
      <c r="I254" s="226">
        <f>I255+I259</f>
        <v>31334.999999999996</v>
      </c>
    </row>
    <row r="255" spans="1:9" ht="36" x14ac:dyDescent="0.35">
      <c r="A255" s="342"/>
      <c r="B255" s="514" t="s">
        <v>47</v>
      </c>
      <c r="C255" s="369" t="s">
        <v>224</v>
      </c>
      <c r="D255" s="370" t="s">
        <v>45</v>
      </c>
      <c r="E255" s="218" t="s">
        <v>37</v>
      </c>
      <c r="F255" s="219" t="s">
        <v>48</v>
      </c>
      <c r="G255" s="28"/>
      <c r="H255" s="226">
        <f>SUM(H256:H258)</f>
        <v>31235.499999999996</v>
      </c>
      <c r="I255" s="226">
        <f>SUM(I256:I258)</f>
        <v>31236.199999999997</v>
      </c>
    </row>
    <row r="256" spans="1:9" ht="90" x14ac:dyDescent="0.35">
      <c r="A256" s="342"/>
      <c r="B256" s="514" t="s">
        <v>49</v>
      </c>
      <c r="C256" s="369" t="s">
        <v>224</v>
      </c>
      <c r="D256" s="370" t="s">
        <v>45</v>
      </c>
      <c r="E256" s="218" t="s">
        <v>37</v>
      </c>
      <c r="F256" s="219" t="s">
        <v>48</v>
      </c>
      <c r="G256" s="28" t="s">
        <v>50</v>
      </c>
      <c r="H256" s="226">
        <f>'прил10 (ведом 24-25)'!M177</f>
        <v>30515.599999999999</v>
      </c>
      <c r="I256" s="226">
        <f>'прил10 (ведом 24-25)'!N177</f>
        <v>30515.599999999999</v>
      </c>
    </row>
    <row r="257" spans="1:9" ht="36" x14ac:dyDescent="0.35">
      <c r="A257" s="342"/>
      <c r="B257" s="515" t="s">
        <v>55</v>
      </c>
      <c r="C257" s="369" t="s">
        <v>224</v>
      </c>
      <c r="D257" s="370" t="s">
        <v>45</v>
      </c>
      <c r="E257" s="218" t="s">
        <v>37</v>
      </c>
      <c r="F257" s="219" t="s">
        <v>48</v>
      </c>
      <c r="G257" s="28" t="s">
        <v>56</v>
      </c>
      <c r="H257" s="226">
        <f>'прил10 (ведом 24-25)'!M178</f>
        <v>715.3</v>
      </c>
      <c r="I257" s="226">
        <f>'прил10 (ведом 24-25)'!N178</f>
        <v>716.1</v>
      </c>
    </row>
    <row r="258" spans="1:9" ht="18" x14ac:dyDescent="0.35">
      <c r="A258" s="342"/>
      <c r="B258" s="515" t="s">
        <v>57</v>
      </c>
      <c r="C258" s="369" t="s">
        <v>224</v>
      </c>
      <c r="D258" s="370" t="s">
        <v>45</v>
      </c>
      <c r="E258" s="218" t="s">
        <v>37</v>
      </c>
      <c r="F258" s="219" t="s">
        <v>48</v>
      </c>
      <c r="G258" s="28" t="s">
        <v>58</v>
      </c>
      <c r="H258" s="226">
        <f>'прил10 (ведом 24-25)'!M179</f>
        <v>4.5999999999999996</v>
      </c>
      <c r="I258" s="226">
        <f>'прил10 (ведом 24-25)'!N179</f>
        <v>4.5</v>
      </c>
    </row>
    <row r="259" spans="1:9" ht="36" x14ac:dyDescent="0.35">
      <c r="A259" s="342"/>
      <c r="B259" s="518" t="s">
        <v>534</v>
      </c>
      <c r="C259" s="369" t="s">
        <v>224</v>
      </c>
      <c r="D259" s="370" t="s">
        <v>45</v>
      </c>
      <c r="E259" s="218" t="s">
        <v>37</v>
      </c>
      <c r="F259" s="219" t="s">
        <v>533</v>
      </c>
      <c r="G259" s="28"/>
      <c r="H259" s="226">
        <f>H260</f>
        <v>98.8</v>
      </c>
      <c r="I259" s="226">
        <f>I260</f>
        <v>98.8</v>
      </c>
    </row>
    <row r="260" spans="1:9" ht="36" x14ac:dyDescent="0.35">
      <c r="A260" s="342"/>
      <c r="B260" s="518" t="s">
        <v>55</v>
      </c>
      <c r="C260" s="369" t="s">
        <v>224</v>
      </c>
      <c r="D260" s="370" t="s">
        <v>45</v>
      </c>
      <c r="E260" s="218" t="s">
        <v>37</v>
      </c>
      <c r="F260" s="219" t="s">
        <v>533</v>
      </c>
      <c r="G260" s="28" t="s">
        <v>56</v>
      </c>
      <c r="H260" s="226">
        <f>'прил10 (ведом 24-25)'!M195</f>
        <v>98.8</v>
      </c>
      <c r="I260" s="226">
        <f>'прил10 (ведом 24-25)'!N195</f>
        <v>98.8</v>
      </c>
    </row>
    <row r="261" spans="1:9" ht="18" x14ac:dyDescent="0.35">
      <c r="A261" s="342"/>
      <c r="B261" s="514" t="s">
        <v>304</v>
      </c>
      <c r="C261" s="369" t="s">
        <v>224</v>
      </c>
      <c r="D261" s="370" t="s">
        <v>45</v>
      </c>
      <c r="E261" s="218" t="s">
        <v>39</v>
      </c>
      <c r="F261" s="219" t="s">
        <v>44</v>
      </c>
      <c r="G261" s="28"/>
      <c r="H261" s="226">
        <f>H262</f>
        <v>7500</v>
      </c>
      <c r="I261" s="226">
        <f>I262</f>
        <v>7500</v>
      </c>
    </row>
    <row r="262" spans="1:9" ht="36" x14ac:dyDescent="0.35">
      <c r="A262" s="342"/>
      <c r="B262" s="515" t="s">
        <v>258</v>
      </c>
      <c r="C262" s="369" t="s">
        <v>224</v>
      </c>
      <c r="D262" s="370" t="s">
        <v>45</v>
      </c>
      <c r="E262" s="218" t="s">
        <v>39</v>
      </c>
      <c r="F262" s="219" t="s">
        <v>406</v>
      </c>
      <c r="G262" s="28"/>
      <c r="H262" s="226">
        <f>H263</f>
        <v>7500</v>
      </c>
      <c r="I262" s="226">
        <f>I263</f>
        <v>7500</v>
      </c>
    </row>
    <row r="263" spans="1:9" ht="18" x14ac:dyDescent="0.35">
      <c r="A263" s="342"/>
      <c r="B263" s="515" t="s">
        <v>123</v>
      </c>
      <c r="C263" s="369" t="s">
        <v>224</v>
      </c>
      <c r="D263" s="370" t="s">
        <v>45</v>
      </c>
      <c r="E263" s="218" t="s">
        <v>39</v>
      </c>
      <c r="F263" s="219" t="s">
        <v>406</v>
      </c>
      <c r="G263" s="28" t="s">
        <v>124</v>
      </c>
      <c r="H263" s="226">
        <f>'прил10 (ведом 24-25)'!M202</f>
        <v>7500</v>
      </c>
      <c r="I263" s="226">
        <f>'прил10 (ведом 24-25)'!N202</f>
        <v>7500</v>
      </c>
    </row>
    <row r="264" spans="1:9" ht="36" x14ac:dyDescent="0.35">
      <c r="A264" s="342"/>
      <c r="B264" s="514" t="s">
        <v>351</v>
      </c>
      <c r="C264" s="369" t="s">
        <v>224</v>
      </c>
      <c r="D264" s="370" t="s">
        <v>45</v>
      </c>
      <c r="E264" s="218" t="s">
        <v>63</v>
      </c>
      <c r="F264" s="219" t="s">
        <v>44</v>
      </c>
      <c r="G264" s="28"/>
      <c r="H264" s="226">
        <f>H265</f>
        <v>2807.2</v>
      </c>
      <c r="I264" s="226">
        <f>I265</f>
        <v>2817</v>
      </c>
    </row>
    <row r="265" spans="1:9" ht="54" x14ac:dyDescent="0.35">
      <c r="A265" s="342"/>
      <c r="B265" s="514" t="s">
        <v>352</v>
      </c>
      <c r="C265" s="369" t="s">
        <v>224</v>
      </c>
      <c r="D265" s="370" t="s">
        <v>45</v>
      </c>
      <c r="E265" s="218" t="s">
        <v>63</v>
      </c>
      <c r="F265" s="219" t="s">
        <v>105</v>
      </c>
      <c r="G265" s="28"/>
      <c r="H265" s="226">
        <f>H266</f>
        <v>2807.2</v>
      </c>
      <c r="I265" s="226">
        <f>I266</f>
        <v>2817</v>
      </c>
    </row>
    <row r="266" spans="1:9" ht="36" x14ac:dyDescent="0.35">
      <c r="A266" s="342"/>
      <c r="B266" s="514" t="s">
        <v>55</v>
      </c>
      <c r="C266" s="369" t="s">
        <v>224</v>
      </c>
      <c r="D266" s="370" t="s">
        <v>45</v>
      </c>
      <c r="E266" s="218" t="s">
        <v>63</v>
      </c>
      <c r="F266" s="219" t="s">
        <v>105</v>
      </c>
      <c r="G266" s="28" t="s">
        <v>56</v>
      </c>
      <c r="H266" s="226">
        <f>'прил10 (ведом 24-25)'!M185</f>
        <v>2807.2</v>
      </c>
      <c r="I266" s="226">
        <f>'прил10 (ведом 24-25)'!N185</f>
        <v>2817</v>
      </c>
    </row>
    <row r="267" spans="1:9" ht="36" x14ac:dyDescent="0.35">
      <c r="A267" s="342"/>
      <c r="B267" s="515" t="s">
        <v>470</v>
      </c>
      <c r="C267" s="369" t="s">
        <v>224</v>
      </c>
      <c r="D267" s="370" t="s">
        <v>45</v>
      </c>
      <c r="E267" s="218" t="s">
        <v>65</v>
      </c>
      <c r="F267" s="219" t="s">
        <v>44</v>
      </c>
      <c r="G267" s="28"/>
      <c r="H267" s="226">
        <f>H268</f>
        <v>17.2</v>
      </c>
      <c r="I267" s="226">
        <f>I268</f>
        <v>17.2</v>
      </c>
    </row>
    <row r="268" spans="1:9" ht="18" x14ac:dyDescent="0.35">
      <c r="A268" s="342"/>
      <c r="B268" s="515" t="s">
        <v>468</v>
      </c>
      <c r="C268" s="369" t="s">
        <v>224</v>
      </c>
      <c r="D268" s="370" t="s">
        <v>45</v>
      </c>
      <c r="E268" s="218" t="s">
        <v>65</v>
      </c>
      <c r="F268" s="219" t="s">
        <v>469</v>
      </c>
      <c r="G268" s="28"/>
      <c r="H268" s="226">
        <f>H269</f>
        <v>17.2</v>
      </c>
      <c r="I268" s="226">
        <f>I269</f>
        <v>17.2</v>
      </c>
    </row>
    <row r="269" spans="1:9" ht="36" x14ac:dyDescent="0.35">
      <c r="A269" s="342"/>
      <c r="B269" s="515" t="s">
        <v>55</v>
      </c>
      <c r="C269" s="369" t="s">
        <v>224</v>
      </c>
      <c r="D269" s="370" t="s">
        <v>45</v>
      </c>
      <c r="E269" s="218" t="s">
        <v>65</v>
      </c>
      <c r="F269" s="219" t="s">
        <v>469</v>
      </c>
      <c r="G269" s="28" t="s">
        <v>56</v>
      </c>
      <c r="H269" s="226">
        <f>'прил10 (ведом 24-25)'!M188</f>
        <v>17.2</v>
      </c>
      <c r="I269" s="226">
        <f>'прил10 (ведом 24-25)'!N188</f>
        <v>17.2</v>
      </c>
    </row>
    <row r="270" spans="1:9" ht="18" x14ac:dyDescent="0.35">
      <c r="A270" s="342"/>
      <c r="B270" s="515"/>
      <c r="C270" s="370"/>
      <c r="D270" s="370"/>
      <c r="E270" s="370"/>
      <c r="F270" s="371"/>
      <c r="G270" s="28"/>
      <c r="H270" s="226"/>
      <c r="I270" s="226"/>
    </row>
    <row r="271" spans="1:9" s="352" customFormat="1" ht="52.2" x14ac:dyDescent="0.3">
      <c r="A271" s="348">
        <v>7</v>
      </c>
      <c r="B271" s="536" t="s">
        <v>225</v>
      </c>
      <c r="C271" s="372" t="s">
        <v>226</v>
      </c>
      <c r="D271" s="358" t="s">
        <v>42</v>
      </c>
      <c r="E271" s="358" t="s">
        <v>43</v>
      </c>
      <c r="F271" s="359" t="s">
        <v>44</v>
      </c>
      <c r="G271" s="373"/>
      <c r="H271" s="263">
        <f>H272+H276</f>
        <v>25516.300000000003</v>
      </c>
      <c r="I271" s="263">
        <f>I272+I276</f>
        <v>28698.300000000003</v>
      </c>
    </row>
    <row r="272" spans="1:9" s="352" customFormat="1" ht="36" x14ac:dyDescent="0.35">
      <c r="A272" s="348"/>
      <c r="B272" s="544" t="s">
        <v>227</v>
      </c>
      <c r="C272" s="374" t="s">
        <v>226</v>
      </c>
      <c r="D272" s="375" t="s">
        <v>45</v>
      </c>
      <c r="E272" s="375" t="s">
        <v>43</v>
      </c>
      <c r="F272" s="376" t="s">
        <v>44</v>
      </c>
      <c r="G272" s="356"/>
      <c r="H272" s="226">
        <f>H273</f>
        <v>0</v>
      </c>
      <c r="I272" s="226">
        <f>I273</f>
        <v>825.3</v>
      </c>
    </row>
    <row r="273" spans="1:9" s="352" customFormat="1" ht="36" x14ac:dyDescent="0.35">
      <c r="A273" s="348"/>
      <c r="B273" s="547" t="s">
        <v>338</v>
      </c>
      <c r="C273" s="353" t="s">
        <v>226</v>
      </c>
      <c r="D273" s="354" t="s">
        <v>45</v>
      </c>
      <c r="E273" s="354" t="s">
        <v>39</v>
      </c>
      <c r="F273" s="377" t="s">
        <v>44</v>
      </c>
      <c r="G273" s="356"/>
      <c r="H273" s="226">
        <f>H274</f>
        <v>0</v>
      </c>
      <c r="I273" s="226">
        <f>I274</f>
        <v>825.3</v>
      </c>
    </row>
    <row r="274" spans="1:9" s="352" customFormat="1" ht="36" x14ac:dyDescent="0.35">
      <c r="A274" s="348"/>
      <c r="B274" s="547" t="s">
        <v>337</v>
      </c>
      <c r="C274" s="353" t="s">
        <v>226</v>
      </c>
      <c r="D274" s="354" t="s">
        <v>45</v>
      </c>
      <c r="E274" s="354" t="s">
        <v>39</v>
      </c>
      <c r="F274" s="377" t="s">
        <v>336</v>
      </c>
      <c r="G274" s="356"/>
      <c r="H274" s="226">
        <f t="shared" ref="H274:I274" si="1">H275</f>
        <v>0</v>
      </c>
      <c r="I274" s="226">
        <f t="shared" si="1"/>
        <v>825.3</v>
      </c>
    </row>
    <row r="275" spans="1:9" s="352" customFormat="1" ht="36" x14ac:dyDescent="0.35">
      <c r="A275" s="348"/>
      <c r="B275" s="547" t="s">
        <v>55</v>
      </c>
      <c r="C275" s="353" t="s">
        <v>226</v>
      </c>
      <c r="D275" s="354" t="s">
        <v>45</v>
      </c>
      <c r="E275" s="354" t="s">
        <v>39</v>
      </c>
      <c r="F275" s="377" t="s">
        <v>336</v>
      </c>
      <c r="G275" s="356" t="s">
        <v>56</v>
      </c>
      <c r="H275" s="226">
        <f>'прил10 (ведом 24-25)'!M221</f>
        <v>0</v>
      </c>
      <c r="I275" s="226">
        <f>'прил10 (ведом 24-25)'!N221</f>
        <v>825.3</v>
      </c>
    </row>
    <row r="276" spans="1:9" ht="36" x14ac:dyDescent="0.35">
      <c r="A276" s="367"/>
      <c r="B276" s="537" t="s">
        <v>229</v>
      </c>
      <c r="C276" s="360" t="s">
        <v>226</v>
      </c>
      <c r="D276" s="368" t="s">
        <v>89</v>
      </c>
      <c r="E276" s="368" t="s">
        <v>43</v>
      </c>
      <c r="F276" s="378" t="s">
        <v>44</v>
      </c>
      <c r="G276" s="379"/>
      <c r="H276" s="226">
        <f>H277+H288+H291</f>
        <v>25516.300000000003</v>
      </c>
      <c r="I276" s="226">
        <f>I277+I288+I291</f>
        <v>27873.000000000004</v>
      </c>
    </row>
    <row r="277" spans="1:9" ht="72" x14ac:dyDescent="0.35">
      <c r="A277" s="367"/>
      <c r="B277" s="537" t="s">
        <v>301</v>
      </c>
      <c r="C277" s="360" t="s">
        <v>226</v>
      </c>
      <c r="D277" s="368" t="s">
        <v>89</v>
      </c>
      <c r="E277" s="368" t="s">
        <v>37</v>
      </c>
      <c r="F277" s="378" t="s">
        <v>44</v>
      </c>
      <c r="G277" s="379"/>
      <c r="H277" s="226">
        <f>H278+H282+H286</f>
        <v>25503.800000000003</v>
      </c>
      <c r="I277" s="226">
        <f>I278+I282+I286</f>
        <v>27095.600000000002</v>
      </c>
    </row>
    <row r="278" spans="1:9" ht="36" x14ac:dyDescent="0.35">
      <c r="A278" s="367"/>
      <c r="B278" s="537" t="s">
        <v>47</v>
      </c>
      <c r="C278" s="380" t="s">
        <v>226</v>
      </c>
      <c r="D278" s="381" t="s">
        <v>89</v>
      </c>
      <c r="E278" s="381" t="s">
        <v>37</v>
      </c>
      <c r="F278" s="382" t="s">
        <v>48</v>
      </c>
      <c r="G278" s="379"/>
      <c r="H278" s="226">
        <f>SUM(H279:H281)</f>
        <v>15766.800000000001</v>
      </c>
      <c r="I278" s="226">
        <f>SUM(I279:I281)</f>
        <v>16119.400000000001</v>
      </c>
    </row>
    <row r="279" spans="1:9" ht="90" x14ac:dyDescent="0.35">
      <c r="A279" s="367"/>
      <c r="B279" s="537" t="s">
        <v>49</v>
      </c>
      <c r="C279" s="360" t="s">
        <v>226</v>
      </c>
      <c r="D279" s="368" t="s">
        <v>89</v>
      </c>
      <c r="E279" s="368" t="s">
        <v>37</v>
      </c>
      <c r="F279" s="378" t="s">
        <v>48</v>
      </c>
      <c r="G279" s="379" t="s">
        <v>50</v>
      </c>
      <c r="H279" s="226">
        <f>'прил10 (ведом 24-25)'!M225</f>
        <v>15765.6</v>
      </c>
      <c r="I279" s="226">
        <f>'прил10 (ведом 24-25)'!N225</f>
        <v>15765.6</v>
      </c>
    </row>
    <row r="280" spans="1:9" ht="36" x14ac:dyDescent="0.35">
      <c r="A280" s="367"/>
      <c r="B280" s="547" t="s">
        <v>55</v>
      </c>
      <c r="C280" s="383" t="s">
        <v>226</v>
      </c>
      <c r="D280" s="354" t="s">
        <v>89</v>
      </c>
      <c r="E280" s="354" t="s">
        <v>37</v>
      </c>
      <c r="F280" s="377" t="s">
        <v>48</v>
      </c>
      <c r="G280" s="356" t="s">
        <v>56</v>
      </c>
      <c r="H280" s="226">
        <f>'прил10 (ведом 24-25)'!M226</f>
        <v>0</v>
      </c>
      <c r="I280" s="226">
        <f>'прил10 (ведом 24-25)'!N226</f>
        <v>352.6</v>
      </c>
    </row>
    <row r="281" spans="1:9" ht="18" x14ac:dyDescent="0.35">
      <c r="A281" s="367"/>
      <c r="B281" s="544" t="s">
        <v>57</v>
      </c>
      <c r="C281" s="383" t="s">
        <v>226</v>
      </c>
      <c r="D281" s="354" t="s">
        <v>89</v>
      </c>
      <c r="E281" s="354" t="s">
        <v>37</v>
      </c>
      <c r="F281" s="377" t="s">
        <v>48</v>
      </c>
      <c r="G281" s="356" t="s">
        <v>58</v>
      </c>
      <c r="H281" s="226">
        <f>'прил10 (ведом 24-25)'!M227</f>
        <v>1.2</v>
      </c>
      <c r="I281" s="226">
        <f>'прил10 (ведом 24-25)'!N227</f>
        <v>1.2</v>
      </c>
    </row>
    <row r="282" spans="1:9" ht="36" x14ac:dyDescent="0.35">
      <c r="A282" s="367"/>
      <c r="B282" s="514" t="s">
        <v>466</v>
      </c>
      <c r="C282" s="360" t="s">
        <v>226</v>
      </c>
      <c r="D282" s="368" t="s">
        <v>89</v>
      </c>
      <c r="E282" s="368" t="s">
        <v>37</v>
      </c>
      <c r="F282" s="378" t="s">
        <v>91</v>
      </c>
      <c r="G282" s="379"/>
      <c r="H282" s="226">
        <f>SUM(H283:H285)</f>
        <v>9737</v>
      </c>
      <c r="I282" s="226">
        <f>SUM(I283:I285)</f>
        <v>10281.799999999999</v>
      </c>
    </row>
    <row r="283" spans="1:9" ht="90" x14ac:dyDescent="0.35">
      <c r="A283" s="367"/>
      <c r="B283" s="537" t="s">
        <v>49</v>
      </c>
      <c r="C283" s="360" t="s">
        <v>226</v>
      </c>
      <c r="D283" s="368" t="s">
        <v>89</v>
      </c>
      <c r="E283" s="368" t="s">
        <v>37</v>
      </c>
      <c r="F283" s="378" t="s">
        <v>91</v>
      </c>
      <c r="G283" s="379" t="s">
        <v>50</v>
      </c>
      <c r="H283" s="226">
        <f>'прил10 (ведом 24-25)'!M229</f>
        <v>9628.6</v>
      </c>
      <c r="I283" s="226">
        <f>'прил10 (ведом 24-25)'!N229</f>
        <v>9628.6</v>
      </c>
    </row>
    <row r="284" spans="1:9" ht="36" x14ac:dyDescent="0.35">
      <c r="A284" s="367"/>
      <c r="B284" s="515" t="s">
        <v>55</v>
      </c>
      <c r="C284" s="380" t="s">
        <v>226</v>
      </c>
      <c r="D284" s="381" t="s">
        <v>89</v>
      </c>
      <c r="E284" s="381" t="s">
        <v>37</v>
      </c>
      <c r="F284" s="382" t="s">
        <v>91</v>
      </c>
      <c r="G284" s="379" t="s">
        <v>56</v>
      </c>
      <c r="H284" s="226">
        <f>'прил10 (ведом 24-25)'!M230</f>
        <v>86.899999999999977</v>
      </c>
      <c r="I284" s="226">
        <f>'прил10 (ведом 24-25)'!N230</f>
        <v>632.9</v>
      </c>
    </row>
    <row r="285" spans="1:9" ht="18" x14ac:dyDescent="0.35">
      <c r="A285" s="367"/>
      <c r="B285" s="538" t="s">
        <v>57</v>
      </c>
      <c r="C285" s="360" t="s">
        <v>226</v>
      </c>
      <c r="D285" s="368" t="s">
        <v>89</v>
      </c>
      <c r="E285" s="368" t="s">
        <v>37</v>
      </c>
      <c r="F285" s="378" t="s">
        <v>91</v>
      </c>
      <c r="G285" s="379" t="s">
        <v>58</v>
      </c>
      <c r="H285" s="226">
        <f>'прил10 (ведом 24-25)'!M231</f>
        <v>21.5</v>
      </c>
      <c r="I285" s="226">
        <f>'прил10 (ведом 24-25)'!N231</f>
        <v>20.3</v>
      </c>
    </row>
    <row r="286" spans="1:9" ht="54" x14ac:dyDescent="0.35">
      <c r="A286" s="367"/>
      <c r="B286" s="547" t="s">
        <v>354</v>
      </c>
      <c r="C286" s="383" t="s">
        <v>226</v>
      </c>
      <c r="D286" s="354" t="s">
        <v>89</v>
      </c>
      <c r="E286" s="354" t="s">
        <v>37</v>
      </c>
      <c r="F286" s="377" t="s">
        <v>353</v>
      </c>
      <c r="G286" s="356"/>
      <c r="H286" s="226">
        <f>H287</f>
        <v>0</v>
      </c>
      <c r="I286" s="226">
        <f>I287</f>
        <v>694.4</v>
      </c>
    </row>
    <row r="287" spans="1:9" ht="36" x14ac:dyDescent="0.35">
      <c r="A287" s="367"/>
      <c r="B287" s="547" t="s">
        <v>55</v>
      </c>
      <c r="C287" s="383" t="s">
        <v>226</v>
      </c>
      <c r="D287" s="354" t="s">
        <v>89</v>
      </c>
      <c r="E287" s="354" t="s">
        <v>37</v>
      </c>
      <c r="F287" s="384" t="s">
        <v>353</v>
      </c>
      <c r="G287" s="356" t="s">
        <v>56</v>
      </c>
      <c r="H287" s="226">
        <f>'прил10 (ведом 24-25)'!M233</f>
        <v>0</v>
      </c>
      <c r="I287" s="226">
        <f>'прил10 (ведом 24-25)'!N233</f>
        <v>694.4</v>
      </c>
    </row>
    <row r="288" spans="1:9" ht="36" x14ac:dyDescent="0.35">
      <c r="A288" s="367"/>
      <c r="B288" s="559" t="s">
        <v>351</v>
      </c>
      <c r="C288" s="383" t="s">
        <v>226</v>
      </c>
      <c r="D288" s="385" t="s">
        <v>89</v>
      </c>
      <c r="E288" s="385" t="s">
        <v>39</v>
      </c>
      <c r="F288" s="386" t="s">
        <v>44</v>
      </c>
      <c r="G288" s="387"/>
      <c r="H288" s="226">
        <f>H289</f>
        <v>0</v>
      </c>
      <c r="I288" s="226">
        <f>I289</f>
        <v>764.9</v>
      </c>
    </row>
    <row r="289" spans="1:9" ht="54" x14ac:dyDescent="0.35">
      <c r="A289" s="367"/>
      <c r="B289" s="560" t="s">
        <v>352</v>
      </c>
      <c r="C289" s="388" t="s">
        <v>226</v>
      </c>
      <c r="D289" s="385" t="s">
        <v>89</v>
      </c>
      <c r="E289" s="385" t="s">
        <v>39</v>
      </c>
      <c r="F289" s="386" t="s">
        <v>105</v>
      </c>
      <c r="G289" s="389"/>
      <c r="H289" s="226">
        <f>H290</f>
        <v>0</v>
      </c>
      <c r="I289" s="226">
        <f>I290</f>
        <v>764.9</v>
      </c>
    </row>
    <row r="290" spans="1:9" ht="36" x14ac:dyDescent="0.35">
      <c r="A290" s="367"/>
      <c r="B290" s="561" t="s">
        <v>55</v>
      </c>
      <c r="C290" s="388" t="s">
        <v>226</v>
      </c>
      <c r="D290" s="390" t="s">
        <v>89</v>
      </c>
      <c r="E290" s="390" t="s">
        <v>39</v>
      </c>
      <c r="F290" s="391" t="s">
        <v>105</v>
      </c>
      <c r="G290" s="392" t="s">
        <v>56</v>
      </c>
      <c r="H290" s="226">
        <f>'прил10 (ведом 24-25)'!M236</f>
        <v>0</v>
      </c>
      <c r="I290" s="226">
        <f>'прил10 (ведом 24-25)'!N236</f>
        <v>764.9</v>
      </c>
    </row>
    <row r="291" spans="1:9" ht="18" x14ac:dyDescent="0.35">
      <c r="A291" s="367"/>
      <c r="B291" s="543" t="s">
        <v>374</v>
      </c>
      <c r="C291" s="388" t="s">
        <v>226</v>
      </c>
      <c r="D291" s="385" t="s">
        <v>89</v>
      </c>
      <c r="E291" s="385" t="s">
        <v>63</v>
      </c>
      <c r="F291" s="386" t="s">
        <v>44</v>
      </c>
      <c r="G291" s="389"/>
      <c r="H291" s="226">
        <f>H292</f>
        <v>12.5</v>
      </c>
      <c r="I291" s="226">
        <f>I292</f>
        <v>12.5</v>
      </c>
    </row>
    <row r="292" spans="1:9" ht="36" x14ac:dyDescent="0.35">
      <c r="A292" s="367"/>
      <c r="B292" s="543" t="s">
        <v>337</v>
      </c>
      <c r="C292" s="393" t="s">
        <v>226</v>
      </c>
      <c r="D292" s="390" t="s">
        <v>89</v>
      </c>
      <c r="E292" s="390" t="s">
        <v>63</v>
      </c>
      <c r="F292" s="391" t="s">
        <v>336</v>
      </c>
      <c r="G292" s="389"/>
      <c r="H292" s="226">
        <f>H293</f>
        <v>12.5</v>
      </c>
      <c r="I292" s="226">
        <f>I293</f>
        <v>12.5</v>
      </c>
    </row>
    <row r="293" spans="1:9" ht="18" x14ac:dyDescent="0.35">
      <c r="A293" s="367"/>
      <c r="B293" s="544" t="s">
        <v>57</v>
      </c>
      <c r="C293" s="383" t="s">
        <v>226</v>
      </c>
      <c r="D293" s="385" t="s">
        <v>89</v>
      </c>
      <c r="E293" s="385" t="s">
        <v>63</v>
      </c>
      <c r="F293" s="386" t="s">
        <v>336</v>
      </c>
      <c r="G293" s="389" t="s">
        <v>58</v>
      </c>
      <c r="H293" s="226">
        <f>'прил10 (ведом 24-25)'!M239</f>
        <v>12.5</v>
      </c>
      <c r="I293" s="226">
        <f>'прил10 (ведом 24-25)'!N239</f>
        <v>12.5</v>
      </c>
    </row>
    <row r="294" spans="1:9" ht="18" x14ac:dyDescent="0.35">
      <c r="A294" s="367"/>
      <c r="B294" s="538"/>
      <c r="C294" s="361"/>
      <c r="D294" s="368"/>
      <c r="E294" s="368"/>
      <c r="F294" s="378"/>
      <c r="G294" s="379"/>
      <c r="H294" s="226"/>
      <c r="I294" s="226"/>
    </row>
    <row r="295" spans="1:9" s="352" customFormat="1" ht="52.2" x14ac:dyDescent="0.3">
      <c r="A295" s="357">
        <v>8</v>
      </c>
      <c r="B295" s="536" t="s">
        <v>295</v>
      </c>
      <c r="C295" s="358" t="s">
        <v>79</v>
      </c>
      <c r="D295" s="358" t="s">
        <v>42</v>
      </c>
      <c r="E295" s="358" t="s">
        <v>43</v>
      </c>
      <c r="F295" s="359" t="s">
        <v>44</v>
      </c>
      <c r="G295" s="351"/>
      <c r="H295" s="263">
        <f>H296</f>
        <v>126876.39999999998</v>
      </c>
      <c r="I295" s="263">
        <f>I296</f>
        <v>128378.2</v>
      </c>
    </row>
    <row r="296" spans="1:9" ht="18" x14ac:dyDescent="0.35">
      <c r="A296" s="342"/>
      <c r="B296" s="514" t="s">
        <v>339</v>
      </c>
      <c r="C296" s="394" t="s">
        <v>79</v>
      </c>
      <c r="D296" s="368" t="s">
        <v>45</v>
      </c>
      <c r="E296" s="368" t="s">
        <v>43</v>
      </c>
      <c r="F296" s="395" t="s">
        <v>44</v>
      </c>
      <c r="G296" s="247"/>
      <c r="H296" s="226">
        <f>H297+H310+H318+H328</f>
        <v>126876.39999999998</v>
      </c>
      <c r="I296" s="226">
        <f>I297+I310+I318+I328</f>
        <v>128378.2</v>
      </c>
    </row>
    <row r="297" spans="1:9" ht="36" x14ac:dyDescent="0.35">
      <c r="A297" s="342"/>
      <c r="B297" s="514" t="s">
        <v>285</v>
      </c>
      <c r="C297" s="217" t="s">
        <v>79</v>
      </c>
      <c r="D297" s="218" t="s">
        <v>45</v>
      </c>
      <c r="E297" s="218" t="s">
        <v>37</v>
      </c>
      <c r="F297" s="219" t="s">
        <v>44</v>
      </c>
      <c r="G297" s="247"/>
      <c r="H297" s="226">
        <f>H298+H301+H304+H307</f>
        <v>64669.899999999994</v>
      </c>
      <c r="I297" s="226">
        <f>I298+I301+I304+I307</f>
        <v>66171.700000000012</v>
      </c>
    </row>
    <row r="298" spans="1:9" ht="126" x14ac:dyDescent="0.35">
      <c r="A298" s="342"/>
      <c r="B298" s="545" t="s">
        <v>357</v>
      </c>
      <c r="C298" s="217" t="s">
        <v>79</v>
      </c>
      <c r="D298" s="218" t="s">
        <v>45</v>
      </c>
      <c r="E298" s="218" t="s">
        <v>37</v>
      </c>
      <c r="F298" s="219" t="s">
        <v>544</v>
      </c>
      <c r="G298" s="28"/>
      <c r="H298" s="226">
        <f>SUM(H299:H300)</f>
        <v>37153.799999999996</v>
      </c>
      <c r="I298" s="226">
        <f>SUM(I299:I300)</f>
        <v>38640.6</v>
      </c>
    </row>
    <row r="299" spans="1:9" ht="36" x14ac:dyDescent="0.35">
      <c r="A299" s="342"/>
      <c r="B299" s="546" t="s">
        <v>55</v>
      </c>
      <c r="C299" s="217" t="s">
        <v>79</v>
      </c>
      <c r="D299" s="218" t="s">
        <v>45</v>
      </c>
      <c r="E299" s="218" t="s">
        <v>37</v>
      </c>
      <c r="F299" s="219" t="s">
        <v>544</v>
      </c>
      <c r="G299" s="28" t="s">
        <v>56</v>
      </c>
      <c r="H299" s="226">
        <f>'прил10 (ведом 24-25)'!M565</f>
        <v>185.7</v>
      </c>
      <c r="I299" s="226">
        <f>'прил10 (ведом 24-25)'!N565</f>
        <v>193.2</v>
      </c>
    </row>
    <row r="300" spans="1:9" ht="18" x14ac:dyDescent="0.35">
      <c r="A300" s="342"/>
      <c r="B300" s="514" t="s">
        <v>120</v>
      </c>
      <c r="C300" s="217" t="s">
        <v>79</v>
      </c>
      <c r="D300" s="218" t="s">
        <v>45</v>
      </c>
      <c r="E300" s="218" t="s">
        <v>37</v>
      </c>
      <c r="F300" s="219" t="s">
        <v>544</v>
      </c>
      <c r="G300" s="28" t="s">
        <v>121</v>
      </c>
      <c r="H300" s="226">
        <f>'прил10 (ведом 24-25)'!M566</f>
        <v>36968.1</v>
      </c>
      <c r="I300" s="226">
        <f>'прил10 (ведом 24-25)'!N566</f>
        <v>38447.4</v>
      </c>
    </row>
    <row r="301" spans="1:9" ht="90" x14ac:dyDescent="0.35">
      <c r="A301" s="342"/>
      <c r="B301" s="514" t="s">
        <v>359</v>
      </c>
      <c r="C301" s="217" t="s">
        <v>79</v>
      </c>
      <c r="D301" s="218" t="s">
        <v>45</v>
      </c>
      <c r="E301" s="218" t="s">
        <v>37</v>
      </c>
      <c r="F301" s="219" t="s">
        <v>546</v>
      </c>
      <c r="G301" s="28"/>
      <c r="H301" s="226">
        <f>SUM(H302:H303)</f>
        <v>375.7</v>
      </c>
      <c r="I301" s="226">
        <f>SUM(I302:I303)</f>
        <v>390.7</v>
      </c>
    </row>
    <row r="302" spans="1:9" ht="36" x14ac:dyDescent="0.35">
      <c r="A302" s="342"/>
      <c r="B302" s="514" t="s">
        <v>55</v>
      </c>
      <c r="C302" s="217" t="s">
        <v>79</v>
      </c>
      <c r="D302" s="218" t="s">
        <v>45</v>
      </c>
      <c r="E302" s="218" t="s">
        <v>37</v>
      </c>
      <c r="F302" s="219" t="s">
        <v>546</v>
      </c>
      <c r="G302" s="28" t="s">
        <v>56</v>
      </c>
      <c r="H302" s="226">
        <f>'прил10 (ведом 24-25)'!M568</f>
        <v>1.9</v>
      </c>
      <c r="I302" s="226">
        <f>'прил10 (ведом 24-25)'!N568</f>
        <v>1.9</v>
      </c>
    </row>
    <row r="303" spans="1:9" ht="18" x14ac:dyDescent="0.35">
      <c r="A303" s="342"/>
      <c r="B303" s="514" t="s">
        <v>120</v>
      </c>
      <c r="C303" s="217" t="s">
        <v>79</v>
      </c>
      <c r="D303" s="218" t="s">
        <v>45</v>
      </c>
      <c r="E303" s="218" t="s">
        <v>37</v>
      </c>
      <c r="F303" s="219" t="s">
        <v>546</v>
      </c>
      <c r="G303" s="28" t="s">
        <v>121</v>
      </c>
      <c r="H303" s="226">
        <f>'прил10 (ведом 24-25)'!M569</f>
        <v>373.8</v>
      </c>
      <c r="I303" s="226">
        <f>'прил10 (ведом 24-25)'!N569</f>
        <v>388.8</v>
      </c>
    </row>
    <row r="304" spans="1:9" ht="90" x14ac:dyDescent="0.35">
      <c r="A304" s="342"/>
      <c r="B304" s="514" t="s">
        <v>358</v>
      </c>
      <c r="C304" s="217" t="s">
        <v>79</v>
      </c>
      <c r="D304" s="218" t="s">
        <v>45</v>
      </c>
      <c r="E304" s="218" t="s">
        <v>37</v>
      </c>
      <c r="F304" s="219" t="s">
        <v>545</v>
      </c>
      <c r="G304" s="28"/>
      <c r="H304" s="226">
        <f>SUM(H305:H306)</f>
        <v>26783.300000000003</v>
      </c>
      <c r="I304" s="226">
        <f>SUM(I305:I306)</f>
        <v>26783.300000000003</v>
      </c>
    </row>
    <row r="305" spans="1:9" ht="36" x14ac:dyDescent="0.35">
      <c r="A305" s="342"/>
      <c r="B305" s="546" t="s">
        <v>55</v>
      </c>
      <c r="C305" s="217" t="s">
        <v>79</v>
      </c>
      <c r="D305" s="218" t="s">
        <v>45</v>
      </c>
      <c r="E305" s="218" t="s">
        <v>37</v>
      </c>
      <c r="F305" s="219" t="s">
        <v>545</v>
      </c>
      <c r="G305" s="28" t="s">
        <v>56</v>
      </c>
      <c r="H305" s="226">
        <f>'прил10 (ведом 24-25)'!M571</f>
        <v>133.9</v>
      </c>
      <c r="I305" s="226">
        <f>'прил10 (ведом 24-25)'!N571</f>
        <v>133.9</v>
      </c>
    </row>
    <row r="306" spans="1:9" ht="18" x14ac:dyDescent="0.35">
      <c r="A306" s="342"/>
      <c r="B306" s="514" t="s">
        <v>120</v>
      </c>
      <c r="C306" s="217" t="s">
        <v>79</v>
      </c>
      <c r="D306" s="218" t="s">
        <v>45</v>
      </c>
      <c r="E306" s="218" t="s">
        <v>37</v>
      </c>
      <c r="F306" s="219" t="s">
        <v>545</v>
      </c>
      <c r="G306" s="28" t="s">
        <v>121</v>
      </c>
      <c r="H306" s="226">
        <f>'прил10 (ведом 24-25)'!M572</f>
        <v>26649.4</v>
      </c>
      <c r="I306" s="226">
        <f>'прил10 (ведом 24-25)'!N572</f>
        <v>26649.4</v>
      </c>
    </row>
    <row r="307" spans="1:9" ht="108" x14ac:dyDescent="0.35">
      <c r="A307" s="342"/>
      <c r="B307" s="514" t="s">
        <v>365</v>
      </c>
      <c r="C307" s="217" t="s">
        <v>79</v>
      </c>
      <c r="D307" s="218" t="s">
        <v>45</v>
      </c>
      <c r="E307" s="218" t="s">
        <v>37</v>
      </c>
      <c r="F307" s="219" t="s">
        <v>547</v>
      </c>
      <c r="G307" s="28"/>
      <c r="H307" s="226">
        <f>SUM(H308:H309)</f>
        <v>357.1</v>
      </c>
      <c r="I307" s="226">
        <f>SUM(I308:I309)</f>
        <v>357.1</v>
      </c>
    </row>
    <row r="308" spans="1:9" ht="36" x14ac:dyDescent="0.35">
      <c r="A308" s="342"/>
      <c r="B308" s="514" t="s">
        <v>55</v>
      </c>
      <c r="C308" s="217" t="s">
        <v>79</v>
      </c>
      <c r="D308" s="218" t="s">
        <v>45</v>
      </c>
      <c r="E308" s="218" t="s">
        <v>37</v>
      </c>
      <c r="F308" s="219" t="s">
        <v>547</v>
      </c>
      <c r="G308" s="28" t="s">
        <v>56</v>
      </c>
      <c r="H308" s="226">
        <f>'прил10 (ведом 24-25)'!M574</f>
        <v>1.8</v>
      </c>
      <c r="I308" s="226">
        <f>'прил10 (ведом 24-25)'!N574</f>
        <v>1.8</v>
      </c>
    </row>
    <row r="309" spans="1:9" ht="18" x14ac:dyDescent="0.35">
      <c r="A309" s="342"/>
      <c r="B309" s="514" t="s">
        <v>120</v>
      </c>
      <c r="C309" s="217" t="s">
        <v>79</v>
      </c>
      <c r="D309" s="218" t="s">
        <v>45</v>
      </c>
      <c r="E309" s="218" t="s">
        <v>37</v>
      </c>
      <c r="F309" s="219" t="s">
        <v>547</v>
      </c>
      <c r="G309" s="28" t="s">
        <v>121</v>
      </c>
      <c r="H309" s="226">
        <f>'прил10 (ведом 24-25)'!M575</f>
        <v>355.3</v>
      </c>
      <c r="I309" s="226">
        <f>'прил10 (ведом 24-25)'!N575</f>
        <v>355.3</v>
      </c>
    </row>
    <row r="310" spans="1:9" ht="72" x14ac:dyDescent="0.35">
      <c r="A310" s="342"/>
      <c r="B310" s="547" t="s">
        <v>300</v>
      </c>
      <c r="C310" s="396" t="s">
        <v>79</v>
      </c>
      <c r="D310" s="397" t="s">
        <v>45</v>
      </c>
      <c r="E310" s="397" t="s">
        <v>39</v>
      </c>
      <c r="F310" s="398" t="s">
        <v>44</v>
      </c>
      <c r="G310" s="399"/>
      <c r="H310" s="226">
        <f>H311+H313+H316</f>
        <v>51953.299999999996</v>
      </c>
      <c r="I310" s="226">
        <f>I311+I313+I316</f>
        <v>51953.299999999996</v>
      </c>
    </row>
    <row r="311" spans="1:9" ht="162" x14ac:dyDescent="0.35">
      <c r="A311" s="342"/>
      <c r="B311" s="518" t="s">
        <v>731</v>
      </c>
      <c r="C311" s="696" t="s">
        <v>79</v>
      </c>
      <c r="D311" s="697" t="s">
        <v>45</v>
      </c>
      <c r="E311" s="697" t="s">
        <v>39</v>
      </c>
      <c r="F311" s="698" t="s">
        <v>602</v>
      </c>
      <c r="G311" s="10"/>
      <c r="H311" s="226">
        <f>H312</f>
        <v>5.2</v>
      </c>
      <c r="I311" s="226">
        <f>I312</f>
        <v>5.2</v>
      </c>
    </row>
    <row r="312" spans="1:9" ht="18" x14ac:dyDescent="0.35">
      <c r="A312" s="342"/>
      <c r="B312" s="518" t="s">
        <v>120</v>
      </c>
      <c r="C312" s="696" t="s">
        <v>79</v>
      </c>
      <c r="D312" s="697" t="s">
        <v>45</v>
      </c>
      <c r="E312" s="697" t="s">
        <v>39</v>
      </c>
      <c r="F312" s="698" t="s">
        <v>602</v>
      </c>
      <c r="G312" s="10" t="s">
        <v>121</v>
      </c>
      <c r="H312" s="226">
        <f>'прил10 (ведом 24-25)'!M578</f>
        <v>5.2</v>
      </c>
      <c r="I312" s="226">
        <f>'прил10 (ведом 24-25)'!N578</f>
        <v>5.2</v>
      </c>
    </row>
    <row r="313" spans="1:9" ht="90" x14ac:dyDescent="0.35">
      <c r="A313" s="342"/>
      <c r="B313" s="544" t="s">
        <v>416</v>
      </c>
      <c r="C313" s="353" t="s">
        <v>79</v>
      </c>
      <c r="D313" s="354" t="s">
        <v>45</v>
      </c>
      <c r="E313" s="354" t="s">
        <v>39</v>
      </c>
      <c r="F313" s="355" t="s">
        <v>417</v>
      </c>
      <c r="G313" s="356"/>
      <c r="H313" s="226">
        <f>H314+H315</f>
        <v>33413.1</v>
      </c>
      <c r="I313" s="226">
        <f>I314+I315</f>
        <v>33413.1</v>
      </c>
    </row>
    <row r="314" spans="1:9" ht="36" x14ac:dyDescent="0.35">
      <c r="A314" s="342"/>
      <c r="B314" s="547" t="s">
        <v>55</v>
      </c>
      <c r="C314" s="353" t="s">
        <v>79</v>
      </c>
      <c r="D314" s="354" t="s">
        <v>45</v>
      </c>
      <c r="E314" s="354" t="s">
        <v>39</v>
      </c>
      <c r="F314" s="355" t="s">
        <v>417</v>
      </c>
      <c r="G314" s="506" t="s">
        <v>56</v>
      </c>
      <c r="H314" s="226">
        <f>'прил10 (ведом 24-25)'!M243</f>
        <v>50.185200000000002</v>
      </c>
      <c r="I314" s="226">
        <f>'прил10 (ведом 24-25)'!N243</f>
        <v>50.185200000000002</v>
      </c>
    </row>
    <row r="315" spans="1:9" ht="36" x14ac:dyDescent="0.35">
      <c r="A315" s="342"/>
      <c r="B315" s="544" t="s">
        <v>203</v>
      </c>
      <c r="C315" s="353" t="s">
        <v>79</v>
      </c>
      <c r="D315" s="354" t="s">
        <v>45</v>
      </c>
      <c r="E315" s="354" t="s">
        <v>39</v>
      </c>
      <c r="F315" s="355" t="s">
        <v>417</v>
      </c>
      <c r="G315" s="356" t="s">
        <v>204</v>
      </c>
      <c r="H315" s="226">
        <f>'прил10 (ведом 24-25)'!M278</f>
        <v>33362.914799999999</v>
      </c>
      <c r="I315" s="226">
        <f>'прил10 (ведом 24-25)'!N278</f>
        <v>33362.914799999999</v>
      </c>
    </row>
    <row r="316" spans="1:9" ht="90" x14ac:dyDescent="0.35">
      <c r="A316" s="342"/>
      <c r="B316" s="562" t="s">
        <v>416</v>
      </c>
      <c r="C316" s="91" t="s">
        <v>79</v>
      </c>
      <c r="D316" s="92" t="s">
        <v>45</v>
      </c>
      <c r="E316" s="92" t="s">
        <v>39</v>
      </c>
      <c r="F316" s="113" t="s">
        <v>560</v>
      </c>
      <c r="G316" s="94"/>
      <c r="H316" s="226">
        <f>H317</f>
        <v>18535</v>
      </c>
      <c r="I316" s="226">
        <f>I317</f>
        <v>18535</v>
      </c>
    </row>
    <row r="317" spans="1:9" ht="36" x14ac:dyDescent="0.35">
      <c r="A317" s="342"/>
      <c r="B317" s="562" t="s">
        <v>203</v>
      </c>
      <c r="C317" s="91" t="s">
        <v>79</v>
      </c>
      <c r="D317" s="92" t="s">
        <v>45</v>
      </c>
      <c r="E317" s="92" t="s">
        <v>39</v>
      </c>
      <c r="F317" s="113" t="s">
        <v>560</v>
      </c>
      <c r="G317" s="94" t="s">
        <v>204</v>
      </c>
      <c r="H317" s="226">
        <f>'прил10 (ведом 24-25)'!M280</f>
        <v>18535</v>
      </c>
      <c r="I317" s="226">
        <f>'прил10 (ведом 24-25)'!N280</f>
        <v>18535</v>
      </c>
    </row>
    <row r="318" spans="1:9" ht="36" x14ac:dyDescent="0.35">
      <c r="A318" s="342"/>
      <c r="B318" s="514" t="s">
        <v>229</v>
      </c>
      <c r="C318" s="217" t="s">
        <v>79</v>
      </c>
      <c r="D318" s="218" t="s">
        <v>45</v>
      </c>
      <c r="E318" s="218" t="s">
        <v>63</v>
      </c>
      <c r="F318" s="219" t="s">
        <v>44</v>
      </c>
      <c r="G318" s="28"/>
      <c r="H318" s="226">
        <f>H319+H322+H325</f>
        <v>8933.2000000000007</v>
      </c>
      <c r="I318" s="226">
        <f>I319+I322+I325</f>
        <v>8933.2000000000007</v>
      </c>
    </row>
    <row r="319" spans="1:9" ht="234" x14ac:dyDescent="0.35">
      <c r="A319" s="342"/>
      <c r="B319" s="514" t="s">
        <v>232</v>
      </c>
      <c r="C319" s="217" t="s">
        <v>79</v>
      </c>
      <c r="D319" s="218" t="s">
        <v>45</v>
      </c>
      <c r="E319" s="218" t="s">
        <v>63</v>
      </c>
      <c r="F319" s="219" t="s">
        <v>548</v>
      </c>
      <c r="G319" s="28"/>
      <c r="H319" s="226">
        <f>SUM(H320:H321)</f>
        <v>1017.2</v>
      </c>
      <c r="I319" s="226">
        <f>SUM(I320:I321)</f>
        <v>1017.2</v>
      </c>
    </row>
    <row r="320" spans="1:9" ht="90" x14ac:dyDescent="0.35">
      <c r="A320" s="342"/>
      <c r="B320" s="514" t="s">
        <v>49</v>
      </c>
      <c r="C320" s="217" t="s">
        <v>79</v>
      </c>
      <c r="D320" s="218" t="s">
        <v>45</v>
      </c>
      <c r="E320" s="218" t="s">
        <v>63</v>
      </c>
      <c r="F320" s="219" t="s">
        <v>548</v>
      </c>
      <c r="G320" s="28" t="s">
        <v>50</v>
      </c>
      <c r="H320" s="226">
        <f>'прил10 (ведом 24-25)'!M584</f>
        <v>855.2</v>
      </c>
      <c r="I320" s="226">
        <f>'прил10 (ведом 24-25)'!N584</f>
        <v>855.2</v>
      </c>
    </row>
    <row r="321" spans="1:9" ht="36" x14ac:dyDescent="0.35">
      <c r="A321" s="342"/>
      <c r="B321" s="514" t="s">
        <v>55</v>
      </c>
      <c r="C321" s="217" t="s">
        <v>79</v>
      </c>
      <c r="D321" s="218" t="s">
        <v>45</v>
      </c>
      <c r="E321" s="218" t="s">
        <v>63</v>
      </c>
      <c r="F321" s="219" t="s">
        <v>548</v>
      </c>
      <c r="G321" s="28" t="s">
        <v>56</v>
      </c>
      <c r="H321" s="226">
        <f>'прил10 (ведом 24-25)'!M585</f>
        <v>162</v>
      </c>
      <c r="I321" s="226">
        <f>'прил10 (ведом 24-25)'!N585</f>
        <v>162</v>
      </c>
    </row>
    <row r="322" spans="1:9" ht="90" x14ac:dyDescent="0.35">
      <c r="A322" s="342"/>
      <c r="B322" s="512" t="s">
        <v>461</v>
      </c>
      <c r="C322" s="217" t="s">
        <v>79</v>
      </c>
      <c r="D322" s="218" t="s">
        <v>45</v>
      </c>
      <c r="E322" s="218" t="s">
        <v>63</v>
      </c>
      <c r="F322" s="219" t="s">
        <v>542</v>
      </c>
      <c r="G322" s="28"/>
      <c r="H322" s="226">
        <f>SUM(H323:H324)</f>
        <v>749.3</v>
      </c>
      <c r="I322" s="226">
        <f>SUM(I323:I324)</f>
        <v>749.3</v>
      </c>
    </row>
    <row r="323" spans="1:9" ht="90" x14ac:dyDescent="0.35">
      <c r="A323" s="342"/>
      <c r="B323" s="514" t="s">
        <v>49</v>
      </c>
      <c r="C323" s="217" t="s">
        <v>79</v>
      </c>
      <c r="D323" s="218" t="s">
        <v>45</v>
      </c>
      <c r="E323" s="218" t="s">
        <v>63</v>
      </c>
      <c r="F323" s="219" t="s">
        <v>542</v>
      </c>
      <c r="G323" s="28" t="s">
        <v>50</v>
      </c>
      <c r="H323" s="226">
        <f>'прил10 (ведом 24-25)'!M587</f>
        <v>668.3</v>
      </c>
      <c r="I323" s="226">
        <f>'прил10 (ведом 24-25)'!N587</f>
        <v>668.3</v>
      </c>
    </row>
    <row r="324" spans="1:9" ht="36" x14ac:dyDescent="0.35">
      <c r="A324" s="342"/>
      <c r="B324" s="514" t="s">
        <v>55</v>
      </c>
      <c r="C324" s="217" t="s">
        <v>79</v>
      </c>
      <c r="D324" s="218" t="s">
        <v>45</v>
      </c>
      <c r="E324" s="218" t="s">
        <v>63</v>
      </c>
      <c r="F324" s="219" t="s">
        <v>542</v>
      </c>
      <c r="G324" s="28" t="s">
        <v>56</v>
      </c>
      <c r="H324" s="226">
        <f>'прил10 (ведом 24-25)'!M588</f>
        <v>81</v>
      </c>
      <c r="I324" s="226">
        <f>'прил10 (ведом 24-25)'!N588</f>
        <v>81</v>
      </c>
    </row>
    <row r="325" spans="1:9" ht="72" x14ac:dyDescent="0.35">
      <c r="A325" s="342"/>
      <c r="B325" s="514" t="s">
        <v>231</v>
      </c>
      <c r="C325" s="217" t="s">
        <v>79</v>
      </c>
      <c r="D325" s="218" t="s">
        <v>45</v>
      </c>
      <c r="E325" s="218" t="s">
        <v>63</v>
      </c>
      <c r="F325" s="219" t="s">
        <v>543</v>
      </c>
      <c r="G325" s="28"/>
      <c r="H325" s="226">
        <f>H326+H327</f>
        <v>7166.7</v>
      </c>
      <c r="I325" s="226">
        <f>I326+I327</f>
        <v>7166.7</v>
      </c>
    </row>
    <row r="326" spans="1:9" ht="90" x14ac:dyDescent="0.35">
      <c r="A326" s="342"/>
      <c r="B326" s="514" t="s">
        <v>49</v>
      </c>
      <c r="C326" s="217" t="s">
        <v>79</v>
      </c>
      <c r="D326" s="218" t="s">
        <v>45</v>
      </c>
      <c r="E326" s="218" t="s">
        <v>63</v>
      </c>
      <c r="F326" s="219" t="s">
        <v>543</v>
      </c>
      <c r="G326" s="28" t="s">
        <v>50</v>
      </c>
      <c r="H326" s="226">
        <f>'прил10 (ведом 24-25)'!M590</f>
        <v>6437.7</v>
      </c>
      <c r="I326" s="226">
        <f>'прил10 (ведом 24-25)'!N590</f>
        <v>6437.7</v>
      </c>
    </row>
    <row r="327" spans="1:9" ht="36" x14ac:dyDescent="0.35">
      <c r="A327" s="342"/>
      <c r="B327" s="514" t="s">
        <v>55</v>
      </c>
      <c r="C327" s="440" t="s">
        <v>79</v>
      </c>
      <c r="D327" s="441" t="s">
        <v>45</v>
      </c>
      <c r="E327" s="441" t="s">
        <v>63</v>
      </c>
      <c r="F327" s="219" t="s">
        <v>543</v>
      </c>
      <c r="G327" s="28" t="s">
        <v>56</v>
      </c>
      <c r="H327" s="226">
        <f>'прил10 (ведом 24-25)'!M591</f>
        <v>729</v>
      </c>
      <c r="I327" s="226">
        <f>'прил10 (ведом 24-25)'!N591</f>
        <v>729</v>
      </c>
    </row>
    <row r="328" spans="1:9" ht="72" x14ac:dyDescent="0.35">
      <c r="A328" s="342"/>
      <c r="B328" s="553" t="s">
        <v>449</v>
      </c>
      <c r="C328" s="217" t="s">
        <v>79</v>
      </c>
      <c r="D328" s="218" t="s">
        <v>45</v>
      </c>
      <c r="E328" s="218" t="s">
        <v>52</v>
      </c>
      <c r="F328" s="219" t="s">
        <v>44</v>
      </c>
      <c r="G328" s="28"/>
      <c r="H328" s="226">
        <f>H329</f>
        <v>1320</v>
      </c>
      <c r="I328" s="226">
        <f>I329</f>
        <v>1320</v>
      </c>
    </row>
    <row r="329" spans="1:9" ht="72" x14ac:dyDescent="0.35">
      <c r="A329" s="342"/>
      <c r="B329" s="553" t="s">
        <v>444</v>
      </c>
      <c r="C329" s="217" t="s">
        <v>79</v>
      </c>
      <c r="D329" s="218" t="s">
        <v>45</v>
      </c>
      <c r="E329" s="218" t="s">
        <v>52</v>
      </c>
      <c r="F329" s="219" t="s">
        <v>356</v>
      </c>
      <c r="G329" s="28"/>
      <c r="H329" s="226">
        <f>H330</f>
        <v>1320</v>
      </c>
      <c r="I329" s="226">
        <f>I330</f>
        <v>1320</v>
      </c>
    </row>
    <row r="330" spans="1:9" ht="18" x14ac:dyDescent="0.35">
      <c r="A330" s="342"/>
      <c r="B330" s="523" t="s">
        <v>120</v>
      </c>
      <c r="C330" s="217" t="s">
        <v>79</v>
      </c>
      <c r="D330" s="218" t="s">
        <v>45</v>
      </c>
      <c r="E330" s="218" t="s">
        <v>52</v>
      </c>
      <c r="F330" s="219" t="s">
        <v>356</v>
      </c>
      <c r="G330" s="28" t="s">
        <v>121</v>
      </c>
      <c r="H330" s="226">
        <f>'прил10 (ведом 24-25)'!M162</f>
        <v>1320</v>
      </c>
      <c r="I330" s="226">
        <f>'прил10 (ведом 24-25)'!N162</f>
        <v>1320</v>
      </c>
    </row>
    <row r="331" spans="1:9" ht="18" x14ac:dyDescent="0.35">
      <c r="A331" s="342"/>
      <c r="B331" s="523"/>
      <c r="C331" s="218"/>
      <c r="D331" s="218"/>
      <c r="E331" s="218"/>
      <c r="F331" s="219"/>
      <c r="G331" s="28"/>
      <c r="H331" s="226"/>
      <c r="I331" s="226"/>
    </row>
    <row r="332" spans="1:9" ht="69.599999999999994" x14ac:dyDescent="0.3">
      <c r="A332" s="357">
        <v>9</v>
      </c>
      <c r="B332" s="526" t="s">
        <v>332</v>
      </c>
      <c r="C332" s="358" t="s">
        <v>104</v>
      </c>
      <c r="D332" s="358" t="s">
        <v>42</v>
      </c>
      <c r="E332" s="358" t="s">
        <v>43</v>
      </c>
      <c r="F332" s="359" t="s">
        <v>44</v>
      </c>
      <c r="G332" s="400"/>
      <c r="H332" s="263">
        <f>H333+H337</f>
        <v>69245.3</v>
      </c>
      <c r="I332" s="263">
        <f>I333+I337</f>
        <v>5773.4</v>
      </c>
    </row>
    <row r="333" spans="1:9" ht="36" x14ac:dyDescent="0.35">
      <c r="A333" s="357"/>
      <c r="B333" s="573" t="s">
        <v>334</v>
      </c>
      <c r="C333" s="91" t="s">
        <v>104</v>
      </c>
      <c r="D333" s="92" t="s">
        <v>45</v>
      </c>
      <c r="E333" s="92" t="s">
        <v>43</v>
      </c>
      <c r="F333" s="113" t="s">
        <v>44</v>
      </c>
      <c r="G333" s="94"/>
      <c r="H333" s="226">
        <f t="shared" ref="H333:I335" si="2">H334</f>
        <v>63486.700000000004</v>
      </c>
      <c r="I333" s="226">
        <f t="shared" si="2"/>
        <v>0</v>
      </c>
    </row>
    <row r="334" spans="1:9" ht="54" x14ac:dyDescent="0.35">
      <c r="A334" s="357"/>
      <c r="B334" s="573" t="s">
        <v>373</v>
      </c>
      <c r="C334" s="91" t="s">
        <v>104</v>
      </c>
      <c r="D334" s="92" t="s">
        <v>45</v>
      </c>
      <c r="E334" s="92" t="s">
        <v>37</v>
      </c>
      <c r="F334" s="113" t="s">
        <v>44</v>
      </c>
      <c r="G334" s="94"/>
      <c r="H334" s="226">
        <f t="shared" si="2"/>
        <v>63486.700000000004</v>
      </c>
      <c r="I334" s="226">
        <f t="shared" si="2"/>
        <v>0</v>
      </c>
    </row>
    <row r="335" spans="1:9" ht="54" x14ac:dyDescent="0.35">
      <c r="A335" s="357"/>
      <c r="B335" s="573" t="s">
        <v>502</v>
      </c>
      <c r="C335" s="91" t="s">
        <v>104</v>
      </c>
      <c r="D335" s="92" t="s">
        <v>45</v>
      </c>
      <c r="E335" s="92" t="s">
        <v>37</v>
      </c>
      <c r="F335" s="113" t="s">
        <v>415</v>
      </c>
      <c r="G335" s="94"/>
      <c r="H335" s="226">
        <f t="shared" si="2"/>
        <v>63486.700000000004</v>
      </c>
      <c r="I335" s="226">
        <f t="shared" si="2"/>
        <v>0</v>
      </c>
    </row>
    <row r="336" spans="1:9" ht="36" x14ac:dyDescent="0.35">
      <c r="A336" s="357"/>
      <c r="B336" s="573" t="s">
        <v>203</v>
      </c>
      <c r="C336" s="91" t="s">
        <v>104</v>
      </c>
      <c r="D336" s="92" t="s">
        <v>45</v>
      </c>
      <c r="E336" s="92" t="s">
        <v>37</v>
      </c>
      <c r="F336" s="113" t="s">
        <v>415</v>
      </c>
      <c r="G336" s="94" t="s">
        <v>204</v>
      </c>
      <c r="H336" s="226">
        <f>'прил10 (ведом 24-25)'!M256</f>
        <v>63486.700000000004</v>
      </c>
      <c r="I336" s="226">
        <f>'прил10 (ведом 24-25)'!N256</f>
        <v>0</v>
      </c>
    </row>
    <row r="337" spans="1:9" ht="36" x14ac:dyDescent="0.35">
      <c r="A337" s="342"/>
      <c r="B337" s="601" t="s">
        <v>633</v>
      </c>
      <c r="C337" s="696" t="s">
        <v>104</v>
      </c>
      <c r="D337" s="697" t="s">
        <v>34</v>
      </c>
      <c r="E337" s="697" t="s">
        <v>43</v>
      </c>
      <c r="F337" s="698" t="s">
        <v>44</v>
      </c>
      <c r="G337" s="10"/>
      <c r="H337" s="226">
        <f t="shared" ref="H337:I339" si="3">H338</f>
        <v>5758.6</v>
      </c>
      <c r="I337" s="226">
        <f t="shared" si="3"/>
        <v>5773.4</v>
      </c>
    </row>
    <row r="338" spans="1:9" ht="36" x14ac:dyDescent="0.35">
      <c r="A338" s="342"/>
      <c r="B338" s="601" t="s">
        <v>634</v>
      </c>
      <c r="C338" s="696" t="s">
        <v>104</v>
      </c>
      <c r="D338" s="697" t="s">
        <v>34</v>
      </c>
      <c r="E338" s="697" t="s">
        <v>37</v>
      </c>
      <c r="F338" s="698" t="s">
        <v>44</v>
      </c>
      <c r="G338" s="10"/>
      <c r="H338" s="226">
        <f t="shared" si="3"/>
        <v>5758.6</v>
      </c>
      <c r="I338" s="226">
        <f t="shared" si="3"/>
        <v>5773.4</v>
      </c>
    </row>
    <row r="339" spans="1:9" ht="36" x14ac:dyDescent="0.35">
      <c r="A339" s="342"/>
      <c r="B339" s="601" t="s">
        <v>635</v>
      </c>
      <c r="C339" s="696" t="s">
        <v>104</v>
      </c>
      <c r="D339" s="697" t="s">
        <v>34</v>
      </c>
      <c r="E339" s="697" t="s">
        <v>37</v>
      </c>
      <c r="F339" s="698" t="s">
        <v>636</v>
      </c>
      <c r="G339" s="10"/>
      <c r="H339" s="226">
        <f t="shared" si="3"/>
        <v>5758.6</v>
      </c>
      <c r="I339" s="226">
        <f t="shared" si="3"/>
        <v>5773.4</v>
      </c>
    </row>
    <row r="340" spans="1:9" ht="36" x14ac:dyDescent="0.35">
      <c r="A340" s="342"/>
      <c r="B340" s="601" t="s">
        <v>55</v>
      </c>
      <c r="C340" s="696" t="s">
        <v>104</v>
      </c>
      <c r="D340" s="697" t="s">
        <v>34</v>
      </c>
      <c r="E340" s="697" t="s">
        <v>37</v>
      </c>
      <c r="F340" s="698" t="s">
        <v>636</v>
      </c>
      <c r="G340" s="10" t="s">
        <v>56</v>
      </c>
      <c r="H340" s="226">
        <f>'прил10 (ведом 24-25)'!M148</f>
        <v>5758.6</v>
      </c>
      <c r="I340" s="226">
        <f>'прил10 (ведом 24-25)'!N148</f>
        <v>5773.4</v>
      </c>
    </row>
    <row r="341" spans="1:9" ht="18" x14ac:dyDescent="0.35">
      <c r="A341" s="342"/>
      <c r="B341" s="523"/>
      <c r="C341" s="218"/>
      <c r="D341" s="218"/>
      <c r="E341" s="218"/>
      <c r="F341" s="219"/>
      <c r="G341" s="28"/>
      <c r="H341" s="226"/>
      <c r="I341" s="226"/>
    </row>
    <row r="342" spans="1:9" s="352" customFormat="1" ht="52.2" x14ac:dyDescent="0.3">
      <c r="A342" s="357">
        <v>10</v>
      </c>
      <c r="B342" s="526" t="s">
        <v>94</v>
      </c>
      <c r="C342" s="358" t="s">
        <v>67</v>
      </c>
      <c r="D342" s="358" t="s">
        <v>42</v>
      </c>
      <c r="E342" s="358" t="s">
        <v>43</v>
      </c>
      <c r="F342" s="359" t="s">
        <v>44</v>
      </c>
      <c r="G342" s="400"/>
      <c r="H342" s="263">
        <f>H343</f>
        <v>19075.7</v>
      </c>
      <c r="I342" s="263">
        <f>I343</f>
        <v>19075.7</v>
      </c>
    </row>
    <row r="343" spans="1:9" ht="18" x14ac:dyDescent="0.35">
      <c r="A343" s="342"/>
      <c r="B343" s="514" t="s">
        <v>339</v>
      </c>
      <c r="C343" s="217" t="s">
        <v>67</v>
      </c>
      <c r="D343" s="218" t="s">
        <v>45</v>
      </c>
      <c r="E343" s="218" t="s">
        <v>43</v>
      </c>
      <c r="F343" s="219" t="s">
        <v>44</v>
      </c>
      <c r="G343" s="363"/>
      <c r="H343" s="226">
        <f>H344+H347</f>
        <v>19075.7</v>
      </c>
      <c r="I343" s="226">
        <f>I344+I347</f>
        <v>19075.7</v>
      </c>
    </row>
    <row r="344" spans="1:9" ht="36" x14ac:dyDescent="0.35">
      <c r="A344" s="342"/>
      <c r="B344" s="514" t="s">
        <v>95</v>
      </c>
      <c r="C344" s="217" t="s">
        <v>67</v>
      </c>
      <c r="D344" s="218" t="s">
        <v>45</v>
      </c>
      <c r="E344" s="218" t="s">
        <v>37</v>
      </c>
      <c r="F344" s="219" t="s">
        <v>44</v>
      </c>
      <c r="G344" s="363"/>
      <c r="H344" s="226">
        <f>H345</f>
        <v>15776.9</v>
      </c>
      <c r="I344" s="226">
        <f>I345</f>
        <v>15776.9</v>
      </c>
    </row>
    <row r="345" spans="1:9" ht="54" x14ac:dyDescent="0.35">
      <c r="A345" s="342"/>
      <c r="B345" s="550" t="s">
        <v>409</v>
      </c>
      <c r="C345" s="217" t="s">
        <v>67</v>
      </c>
      <c r="D345" s="218" t="s">
        <v>45</v>
      </c>
      <c r="E345" s="218" t="s">
        <v>37</v>
      </c>
      <c r="F345" s="219" t="s">
        <v>61</v>
      </c>
      <c r="G345" s="28"/>
      <c r="H345" s="226">
        <f>H346</f>
        <v>15776.9</v>
      </c>
      <c r="I345" s="226">
        <f>I346</f>
        <v>15776.9</v>
      </c>
    </row>
    <row r="346" spans="1:9" ht="18" x14ac:dyDescent="0.35">
      <c r="A346" s="342"/>
      <c r="B346" s="514" t="s">
        <v>57</v>
      </c>
      <c r="C346" s="217" t="s">
        <v>67</v>
      </c>
      <c r="D346" s="218" t="s">
        <v>45</v>
      </c>
      <c r="E346" s="218" t="s">
        <v>37</v>
      </c>
      <c r="F346" s="219" t="s">
        <v>61</v>
      </c>
      <c r="G346" s="28" t="s">
        <v>58</v>
      </c>
      <c r="H346" s="226">
        <f>'прил10 (ведом 24-25)'!M112</f>
        <v>15776.9</v>
      </c>
      <c r="I346" s="226">
        <f>'прил10 (ведом 24-25)'!N112</f>
        <v>15776.9</v>
      </c>
    </row>
    <row r="347" spans="1:9" ht="54" x14ac:dyDescent="0.35">
      <c r="A347" s="342"/>
      <c r="B347" s="514" t="s">
        <v>96</v>
      </c>
      <c r="C347" s="217" t="s">
        <v>67</v>
      </c>
      <c r="D347" s="218" t="s">
        <v>45</v>
      </c>
      <c r="E347" s="218" t="s">
        <v>39</v>
      </c>
      <c r="F347" s="219" t="s">
        <v>44</v>
      </c>
      <c r="G347" s="28"/>
      <c r="H347" s="226">
        <f>H348</f>
        <v>3298.8</v>
      </c>
      <c r="I347" s="226">
        <f>I348</f>
        <v>3298.8</v>
      </c>
    </row>
    <row r="348" spans="1:9" ht="162" x14ac:dyDescent="0.35">
      <c r="A348" s="342"/>
      <c r="B348" s="515" t="s">
        <v>527</v>
      </c>
      <c r="C348" s="217" t="s">
        <v>67</v>
      </c>
      <c r="D348" s="218" t="s">
        <v>45</v>
      </c>
      <c r="E348" s="218" t="s">
        <v>39</v>
      </c>
      <c r="F348" s="219" t="s">
        <v>97</v>
      </c>
      <c r="G348" s="28"/>
      <c r="H348" s="226">
        <f>H349</f>
        <v>3298.8</v>
      </c>
      <c r="I348" s="226">
        <f>I349</f>
        <v>3298.8</v>
      </c>
    </row>
    <row r="349" spans="1:9" ht="36" x14ac:dyDescent="0.35">
      <c r="A349" s="342"/>
      <c r="B349" s="514" t="s">
        <v>55</v>
      </c>
      <c r="C349" s="217" t="s">
        <v>67</v>
      </c>
      <c r="D349" s="218" t="s">
        <v>45</v>
      </c>
      <c r="E349" s="218" t="s">
        <v>39</v>
      </c>
      <c r="F349" s="219" t="s">
        <v>97</v>
      </c>
      <c r="G349" s="28" t="s">
        <v>56</v>
      </c>
      <c r="H349" s="226">
        <f>'прил10 (ведом 24-25)'!M115</f>
        <v>3298.8</v>
      </c>
      <c r="I349" s="226">
        <f>'прил10 (ведом 24-25)'!N115</f>
        <v>3298.8</v>
      </c>
    </row>
    <row r="350" spans="1:9" ht="18" x14ac:dyDescent="0.35">
      <c r="A350" s="342"/>
      <c r="B350" s="521"/>
      <c r="C350" s="690"/>
      <c r="D350" s="690"/>
      <c r="E350" s="690"/>
      <c r="F350" s="691"/>
      <c r="G350" s="247"/>
      <c r="H350" s="226"/>
      <c r="I350" s="226"/>
    </row>
    <row r="351" spans="1:9" s="352" customFormat="1" ht="52.2" x14ac:dyDescent="0.3">
      <c r="A351" s="357">
        <v>11</v>
      </c>
      <c r="B351" s="526" t="s">
        <v>99</v>
      </c>
      <c r="C351" s="358" t="s">
        <v>100</v>
      </c>
      <c r="D351" s="358" t="s">
        <v>42</v>
      </c>
      <c r="E351" s="358" t="s">
        <v>43</v>
      </c>
      <c r="F351" s="359" t="s">
        <v>44</v>
      </c>
      <c r="G351" s="351"/>
      <c r="H351" s="263">
        <f t="shared" ref="H351:I354" si="4">H352</f>
        <v>6181.8</v>
      </c>
      <c r="I351" s="263">
        <f t="shared" si="4"/>
        <v>6648.8</v>
      </c>
    </row>
    <row r="352" spans="1:9" s="352" customFormat="1" ht="18" x14ac:dyDescent="0.35">
      <c r="A352" s="342"/>
      <c r="B352" s="514" t="s">
        <v>339</v>
      </c>
      <c r="C352" s="217" t="s">
        <v>100</v>
      </c>
      <c r="D352" s="218" t="s">
        <v>45</v>
      </c>
      <c r="E352" s="218" t="s">
        <v>43</v>
      </c>
      <c r="F352" s="219" t="s">
        <v>44</v>
      </c>
      <c r="G352" s="28"/>
      <c r="H352" s="226">
        <f t="shared" si="4"/>
        <v>6181.8</v>
      </c>
      <c r="I352" s="226">
        <f t="shared" si="4"/>
        <v>6648.8</v>
      </c>
    </row>
    <row r="353" spans="1:9" s="352" customFormat="1" ht="72" x14ac:dyDescent="0.35">
      <c r="A353" s="342"/>
      <c r="B353" s="514" t="s">
        <v>101</v>
      </c>
      <c r="C353" s="217" t="s">
        <v>100</v>
      </c>
      <c r="D353" s="218" t="s">
        <v>45</v>
      </c>
      <c r="E353" s="218" t="s">
        <v>37</v>
      </c>
      <c r="F353" s="219" t="s">
        <v>44</v>
      </c>
      <c r="G353" s="28"/>
      <c r="H353" s="226">
        <f t="shared" si="4"/>
        <v>6181.8</v>
      </c>
      <c r="I353" s="226">
        <f t="shared" si="4"/>
        <v>6648.8</v>
      </c>
    </row>
    <row r="354" spans="1:9" s="352" customFormat="1" ht="72" x14ac:dyDescent="0.35">
      <c r="A354" s="342"/>
      <c r="B354" s="522" t="s">
        <v>102</v>
      </c>
      <c r="C354" s="217" t="s">
        <v>100</v>
      </c>
      <c r="D354" s="218" t="s">
        <v>45</v>
      </c>
      <c r="E354" s="218" t="s">
        <v>37</v>
      </c>
      <c r="F354" s="219" t="s">
        <v>103</v>
      </c>
      <c r="G354" s="28"/>
      <c r="H354" s="226">
        <f t="shared" si="4"/>
        <v>6181.8</v>
      </c>
      <c r="I354" s="226">
        <f t="shared" si="4"/>
        <v>6648.8</v>
      </c>
    </row>
    <row r="355" spans="1:9" ht="36" x14ac:dyDescent="0.35">
      <c r="A355" s="342"/>
      <c r="B355" s="514" t="s">
        <v>55</v>
      </c>
      <c r="C355" s="217" t="s">
        <v>100</v>
      </c>
      <c r="D355" s="218" t="s">
        <v>45</v>
      </c>
      <c r="E355" s="218" t="s">
        <v>37</v>
      </c>
      <c r="F355" s="219" t="s">
        <v>103</v>
      </c>
      <c r="G355" s="28" t="s">
        <v>56</v>
      </c>
      <c r="H355" s="226">
        <f>'прил10 (ведом 24-25)'!M121</f>
        <v>6181.8</v>
      </c>
      <c r="I355" s="226">
        <f>'прил10 (ведом 24-25)'!N121</f>
        <v>6648.8</v>
      </c>
    </row>
    <row r="356" spans="1:9" ht="18" x14ac:dyDescent="0.35">
      <c r="A356" s="342"/>
      <c r="B356" s="514"/>
      <c r="C356" s="218"/>
      <c r="D356" s="218"/>
      <c r="E356" s="218"/>
      <c r="F356" s="219"/>
      <c r="G356" s="28"/>
      <c r="H356" s="226"/>
      <c r="I356" s="226"/>
    </row>
    <row r="357" spans="1:9" ht="52.2" x14ac:dyDescent="0.3">
      <c r="A357" s="357">
        <v>12</v>
      </c>
      <c r="B357" s="563" t="s">
        <v>107</v>
      </c>
      <c r="C357" s="401" t="s">
        <v>71</v>
      </c>
      <c r="D357" s="402" t="s">
        <v>42</v>
      </c>
      <c r="E357" s="402" t="s">
        <v>43</v>
      </c>
      <c r="F357" s="403" t="s">
        <v>44</v>
      </c>
      <c r="G357" s="158"/>
      <c r="H357" s="263">
        <f>H362+H358</f>
        <v>1066.0999999999999</v>
      </c>
      <c r="I357" s="263">
        <f>I362+I358</f>
        <v>1066.0999999999999</v>
      </c>
    </row>
    <row r="358" spans="1:9" ht="36" x14ac:dyDescent="0.35">
      <c r="A358" s="357"/>
      <c r="B358" s="531" t="s">
        <v>108</v>
      </c>
      <c r="C358" s="217" t="s">
        <v>71</v>
      </c>
      <c r="D358" s="218" t="s">
        <v>45</v>
      </c>
      <c r="E358" s="218" t="s">
        <v>43</v>
      </c>
      <c r="F358" s="219" t="s">
        <v>44</v>
      </c>
      <c r="G358" s="28"/>
      <c r="H358" s="226">
        <f t="shared" ref="H358:I360" si="5">H359</f>
        <v>340</v>
      </c>
      <c r="I358" s="226">
        <f t="shared" si="5"/>
        <v>340</v>
      </c>
    </row>
    <row r="359" spans="1:9" ht="36" x14ac:dyDescent="0.35">
      <c r="A359" s="357"/>
      <c r="B359" s="515" t="s">
        <v>109</v>
      </c>
      <c r="C359" s="217" t="s">
        <v>71</v>
      </c>
      <c r="D359" s="218" t="s">
        <v>45</v>
      </c>
      <c r="E359" s="218" t="s">
        <v>37</v>
      </c>
      <c r="F359" s="219" t="s">
        <v>44</v>
      </c>
      <c r="G359" s="28"/>
      <c r="H359" s="226">
        <f t="shared" si="5"/>
        <v>340</v>
      </c>
      <c r="I359" s="226">
        <f t="shared" si="5"/>
        <v>340</v>
      </c>
    </row>
    <row r="360" spans="1:9" ht="36" x14ac:dyDescent="0.35">
      <c r="A360" s="357"/>
      <c r="B360" s="531" t="s">
        <v>110</v>
      </c>
      <c r="C360" s="217" t="s">
        <v>71</v>
      </c>
      <c r="D360" s="218" t="s">
        <v>45</v>
      </c>
      <c r="E360" s="218" t="s">
        <v>37</v>
      </c>
      <c r="F360" s="219" t="s">
        <v>111</v>
      </c>
      <c r="G360" s="28"/>
      <c r="H360" s="226">
        <f t="shared" si="5"/>
        <v>340</v>
      </c>
      <c r="I360" s="226">
        <f t="shared" si="5"/>
        <v>340</v>
      </c>
    </row>
    <row r="361" spans="1:9" ht="36" x14ac:dyDescent="0.35">
      <c r="A361" s="357"/>
      <c r="B361" s="515" t="s">
        <v>55</v>
      </c>
      <c r="C361" s="217" t="s">
        <v>71</v>
      </c>
      <c r="D361" s="218" t="s">
        <v>45</v>
      </c>
      <c r="E361" s="218" t="s">
        <v>37</v>
      </c>
      <c r="F361" s="219" t="s">
        <v>111</v>
      </c>
      <c r="G361" s="28" t="s">
        <v>56</v>
      </c>
      <c r="H361" s="226">
        <f>'прил10 (ведом 24-25)'!M127</f>
        <v>340</v>
      </c>
      <c r="I361" s="226">
        <f>'прил10 (ведом 24-25)'!N127</f>
        <v>340</v>
      </c>
    </row>
    <row r="362" spans="1:9" ht="36" x14ac:dyDescent="0.35">
      <c r="A362" s="342"/>
      <c r="B362" s="531" t="s">
        <v>112</v>
      </c>
      <c r="C362" s="217" t="s">
        <v>71</v>
      </c>
      <c r="D362" s="218" t="s">
        <v>89</v>
      </c>
      <c r="E362" s="218" t="s">
        <v>43</v>
      </c>
      <c r="F362" s="219" t="s">
        <v>44</v>
      </c>
      <c r="G362" s="28"/>
      <c r="H362" s="226">
        <f t="shared" ref="H362:I364" si="6">H363</f>
        <v>726.1</v>
      </c>
      <c r="I362" s="226">
        <f t="shared" si="6"/>
        <v>726.1</v>
      </c>
    </row>
    <row r="363" spans="1:9" ht="36" x14ac:dyDescent="0.35">
      <c r="A363" s="342"/>
      <c r="B363" s="531" t="s">
        <v>113</v>
      </c>
      <c r="C363" s="217" t="s">
        <v>71</v>
      </c>
      <c r="D363" s="218" t="s">
        <v>89</v>
      </c>
      <c r="E363" s="218" t="s">
        <v>37</v>
      </c>
      <c r="F363" s="219" t="s">
        <v>44</v>
      </c>
      <c r="G363" s="28"/>
      <c r="H363" s="226">
        <f t="shared" si="6"/>
        <v>726.1</v>
      </c>
      <c r="I363" s="226">
        <f t="shared" si="6"/>
        <v>726.1</v>
      </c>
    </row>
    <row r="364" spans="1:9" ht="72" x14ac:dyDescent="0.35">
      <c r="A364" s="342"/>
      <c r="B364" s="531" t="s">
        <v>114</v>
      </c>
      <c r="C364" s="217" t="s">
        <v>71</v>
      </c>
      <c r="D364" s="218" t="s">
        <v>89</v>
      </c>
      <c r="E364" s="218" t="s">
        <v>37</v>
      </c>
      <c r="F364" s="219" t="s">
        <v>115</v>
      </c>
      <c r="G364" s="28"/>
      <c r="H364" s="226">
        <f t="shared" si="6"/>
        <v>726.1</v>
      </c>
      <c r="I364" s="226">
        <f t="shared" si="6"/>
        <v>726.1</v>
      </c>
    </row>
    <row r="365" spans="1:9" ht="36" x14ac:dyDescent="0.35">
      <c r="A365" s="342"/>
      <c r="B365" s="515" t="s">
        <v>55</v>
      </c>
      <c r="C365" s="217" t="s">
        <v>71</v>
      </c>
      <c r="D365" s="218" t="s">
        <v>89</v>
      </c>
      <c r="E365" s="218" t="s">
        <v>37</v>
      </c>
      <c r="F365" s="219" t="s">
        <v>115</v>
      </c>
      <c r="G365" s="28" t="s">
        <v>56</v>
      </c>
      <c r="H365" s="226">
        <f>'прил10 (ведом 24-25)'!M131</f>
        <v>726.1</v>
      </c>
      <c r="I365" s="226">
        <f>'прил10 (ведом 24-25)'!N131</f>
        <v>726.1</v>
      </c>
    </row>
    <row r="366" spans="1:9" ht="18" x14ac:dyDescent="0.35">
      <c r="A366" s="342"/>
      <c r="B366" s="515"/>
      <c r="C366" s="218"/>
      <c r="D366" s="218"/>
      <c r="E366" s="218"/>
      <c r="F366" s="219"/>
      <c r="G366" s="28"/>
      <c r="H366" s="226"/>
      <c r="I366" s="226"/>
    </row>
    <row r="367" spans="1:9" ht="52.2" x14ac:dyDescent="0.3">
      <c r="A367" s="357">
        <v>13</v>
      </c>
      <c r="B367" s="563" t="s">
        <v>116</v>
      </c>
      <c r="C367" s="401" t="s">
        <v>88</v>
      </c>
      <c r="D367" s="402" t="s">
        <v>42</v>
      </c>
      <c r="E367" s="402" t="s">
        <v>43</v>
      </c>
      <c r="F367" s="403" t="s">
        <v>44</v>
      </c>
      <c r="G367" s="158"/>
      <c r="H367" s="263">
        <f t="shared" ref="H367:I368" si="7">H368</f>
        <v>50</v>
      </c>
      <c r="I367" s="263">
        <f t="shared" si="7"/>
        <v>50</v>
      </c>
    </row>
    <row r="368" spans="1:9" ht="18" x14ac:dyDescent="0.35">
      <c r="A368" s="342"/>
      <c r="B368" s="515" t="s">
        <v>339</v>
      </c>
      <c r="C368" s="217" t="s">
        <v>88</v>
      </c>
      <c r="D368" s="218" t="s">
        <v>45</v>
      </c>
      <c r="E368" s="218" t="s">
        <v>43</v>
      </c>
      <c r="F368" s="219" t="s">
        <v>44</v>
      </c>
      <c r="G368" s="28"/>
      <c r="H368" s="226">
        <f t="shared" si="7"/>
        <v>50</v>
      </c>
      <c r="I368" s="226">
        <f t="shared" si="7"/>
        <v>50</v>
      </c>
    </row>
    <row r="369" spans="1:9" ht="54" x14ac:dyDescent="0.35">
      <c r="A369" s="342"/>
      <c r="B369" s="531" t="s">
        <v>307</v>
      </c>
      <c r="C369" s="217" t="s">
        <v>88</v>
      </c>
      <c r="D369" s="218" t="s">
        <v>45</v>
      </c>
      <c r="E369" s="218" t="s">
        <v>37</v>
      </c>
      <c r="F369" s="219" t="s">
        <v>44</v>
      </c>
      <c r="G369" s="28"/>
      <c r="H369" s="226">
        <f>H370</f>
        <v>50</v>
      </c>
      <c r="I369" s="226">
        <f>I370</f>
        <v>50</v>
      </c>
    </row>
    <row r="370" spans="1:9" ht="54" x14ac:dyDescent="0.35">
      <c r="A370" s="342"/>
      <c r="B370" s="531" t="s">
        <v>117</v>
      </c>
      <c r="C370" s="217" t="s">
        <v>88</v>
      </c>
      <c r="D370" s="218" t="s">
        <v>45</v>
      </c>
      <c r="E370" s="218" t="s">
        <v>37</v>
      </c>
      <c r="F370" s="219" t="s">
        <v>118</v>
      </c>
      <c r="G370" s="28"/>
      <c r="H370" s="226">
        <f>H371</f>
        <v>50</v>
      </c>
      <c r="I370" s="226">
        <f>I371</f>
        <v>50</v>
      </c>
    </row>
    <row r="371" spans="1:9" ht="36" x14ac:dyDescent="0.35">
      <c r="A371" s="342"/>
      <c r="B371" s="515" t="s">
        <v>55</v>
      </c>
      <c r="C371" s="217" t="s">
        <v>88</v>
      </c>
      <c r="D371" s="218" t="s">
        <v>45</v>
      </c>
      <c r="E371" s="218" t="s">
        <v>37</v>
      </c>
      <c r="F371" s="219" t="s">
        <v>118</v>
      </c>
      <c r="G371" s="28" t="s">
        <v>56</v>
      </c>
      <c r="H371" s="226">
        <f>'прил10 (ведом 24-25)'!M136</f>
        <v>50</v>
      </c>
      <c r="I371" s="226">
        <f>'прил10 (ведом 24-25)'!N136</f>
        <v>50</v>
      </c>
    </row>
    <row r="372" spans="1:9" ht="18" x14ac:dyDescent="0.35">
      <c r="A372" s="342"/>
      <c r="B372" s="515"/>
      <c r="C372" s="218"/>
      <c r="D372" s="218"/>
      <c r="E372" s="218"/>
      <c r="F372" s="219"/>
      <c r="G372" s="28"/>
      <c r="H372" s="226"/>
      <c r="I372" s="226"/>
    </row>
    <row r="373" spans="1:9" ht="69.599999999999994" x14ac:dyDescent="0.3">
      <c r="A373" s="357">
        <v>14</v>
      </c>
      <c r="B373" s="526" t="s">
        <v>72</v>
      </c>
      <c r="C373" s="358" t="s">
        <v>73</v>
      </c>
      <c r="D373" s="358" t="s">
        <v>42</v>
      </c>
      <c r="E373" s="358" t="s">
        <v>43</v>
      </c>
      <c r="F373" s="359" t="s">
        <v>44</v>
      </c>
      <c r="G373" s="351"/>
      <c r="H373" s="263">
        <f t="shared" ref="H373:I376" si="8">H374</f>
        <v>1517.4</v>
      </c>
      <c r="I373" s="263">
        <f t="shared" si="8"/>
        <v>1517.4</v>
      </c>
    </row>
    <row r="374" spans="1:9" ht="18" x14ac:dyDescent="0.35">
      <c r="A374" s="342"/>
      <c r="B374" s="514" t="s">
        <v>339</v>
      </c>
      <c r="C374" s="217" t="s">
        <v>73</v>
      </c>
      <c r="D374" s="218" t="s">
        <v>45</v>
      </c>
      <c r="E374" s="218" t="s">
        <v>43</v>
      </c>
      <c r="F374" s="219" t="s">
        <v>44</v>
      </c>
      <c r="G374" s="28"/>
      <c r="H374" s="226">
        <f t="shared" si="8"/>
        <v>1517.4</v>
      </c>
      <c r="I374" s="226">
        <f t="shared" si="8"/>
        <v>1517.4</v>
      </c>
    </row>
    <row r="375" spans="1:9" ht="36" x14ac:dyDescent="0.35">
      <c r="A375" s="342"/>
      <c r="B375" s="530" t="s">
        <v>266</v>
      </c>
      <c r="C375" s="217" t="s">
        <v>73</v>
      </c>
      <c r="D375" s="218" t="s">
        <v>45</v>
      </c>
      <c r="E375" s="218" t="s">
        <v>37</v>
      </c>
      <c r="F375" s="219" t="s">
        <v>44</v>
      </c>
      <c r="G375" s="28"/>
      <c r="H375" s="226">
        <f t="shared" si="8"/>
        <v>1517.4</v>
      </c>
      <c r="I375" s="226">
        <f t="shared" si="8"/>
        <v>1517.4</v>
      </c>
    </row>
    <row r="376" spans="1:9" ht="36" x14ac:dyDescent="0.35">
      <c r="A376" s="342"/>
      <c r="B376" s="530" t="s">
        <v>74</v>
      </c>
      <c r="C376" s="217" t="s">
        <v>73</v>
      </c>
      <c r="D376" s="218" t="s">
        <v>45</v>
      </c>
      <c r="E376" s="218" t="s">
        <v>37</v>
      </c>
      <c r="F376" s="219" t="s">
        <v>75</v>
      </c>
      <c r="G376" s="28"/>
      <c r="H376" s="226">
        <f t="shared" si="8"/>
        <v>1517.4</v>
      </c>
      <c r="I376" s="226">
        <f t="shared" si="8"/>
        <v>1517.4</v>
      </c>
    </row>
    <row r="377" spans="1:9" ht="36" x14ac:dyDescent="0.35">
      <c r="A377" s="342"/>
      <c r="B377" s="517" t="s">
        <v>76</v>
      </c>
      <c r="C377" s="217" t="s">
        <v>73</v>
      </c>
      <c r="D377" s="218" t="s">
        <v>45</v>
      </c>
      <c r="E377" s="218" t="s">
        <v>37</v>
      </c>
      <c r="F377" s="219" t="s">
        <v>75</v>
      </c>
      <c r="G377" s="28" t="s">
        <v>77</v>
      </c>
      <c r="H377" s="226">
        <f>'прил10 (ведом 24-25)'!M62+'прил10 (ведом 24-25)'!M168</f>
        <v>1517.4</v>
      </c>
      <c r="I377" s="226">
        <f>'прил10 (ведом 24-25)'!N62+'прил10 (ведом 24-25)'!N168</f>
        <v>1517.4</v>
      </c>
    </row>
    <row r="378" spans="1:9" ht="18" x14ac:dyDescent="0.35">
      <c r="A378" s="342"/>
      <c r="B378" s="521"/>
      <c r="C378" s="690"/>
      <c r="D378" s="690"/>
      <c r="E378" s="690"/>
      <c r="F378" s="691"/>
      <c r="G378" s="247"/>
      <c r="H378" s="226"/>
      <c r="I378" s="226"/>
    </row>
    <row r="379" spans="1:9" s="352" customFormat="1" ht="52.2" x14ac:dyDescent="0.3">
      <c r="A379" s="357">
        <v>15</v>
      </c>
      <c r="B379" s="526" t="s">
        <v>40</v>
      </c>
      <c r="C379" s="358" t="s">
        <v>41</v>
      </c>
      <c r="D379" s="358" t="s">
        <v>42</v>
      </c>
      <c r="E379" s="358" t="s">
        <v>43</v>
      </c>
      <c r="F379" s="359" t="s">
        <v>44</v>
      </c>
      <c r="G379" s="351"/>
      <c r="H379" s="263">
        <f>H380</f>
        <v>129777.50000000001</v>
      </c>
      <c r="I379" s="263">
        <f>I380</f>
        <v>128614.80000000002</v>
      </c>
    </row>
    <row r="380" spans="1:9" s="352" customFormat="1" ht="18" x14ac:dyDescent="0.35">
      <c r="A380" s="342"/>
      <c r="B380" s="514" t="s">
        <v>339</v>
      </c>
      <c r="C380" s="217" t="s">
        <v>41</v>
      </c>
      <c r="D380" s="218" t="s">
        <v>45</v>
      </c>
      <c r="E380" s="218" t="s">
        <v>43</v>
      </c>
      <c r="F380" s="219" t="s">
        <v>44</v>
      </c>
      <c r="G380" s="28"/>
      <c r="H380" s="226">
        <f>H381+H384+H414+H401+H409+H421+H418</f>
        <v>129777.50000000001</v>
      </c>
      <c r="I380" s="226">
        <f>I381+I384+I414+I401+I409+I421+I418</f>
        <v>128614.80000000002</v>
      </c>
    </row>
    <row r="381" spans="1:9" s="352" customFormat="1" ht="36" x14ac:dyDescent="0.35">
      <c r="A381" s="342"/>
      <c r="B381" s="514" t="s">
        <v>46</v>
      </c>
      <c r="C381" s="217" t="s">
        <v>41</v>
      </c>
      <c r="D381" s="218" t="s">
        <v>45</v>
      </c>
      <c r="E381" s="218" t="s">
        <v>37</v>
      </c>
      <c r="F381" s="219" t="s">
        <v>44</v>
      </c>
      <c r="G381" s="28"/>
      <c r="H381" s="226">
        <f>H382</f>
        <v>2612.1999999999998</v>
      </c>
      <c r="I381" s="226">
        <f>I382</f>
        <v>2612.1999999999998</v>
      </c>
    </row>
    <row r="382" spans="1:9" s="352" customFormat="1" ht="36" x14ac:dyDescent="0.35">
      <c r="A382" s="342"/>
      <c r="B382" s="514" t="s">
        <v>47</v>
      </c>
      <c r="C382" s="217" t="s">
        <v>41</v>
      </c>
      <c r="D382" s="218" t="s">
        <v>45</v>
      </c>
      <c r="E382" s="218" t="s">
        <v>37</v>
      </c>
      <c r="F382" s="219" t="s">
        <v>48</v>
      </c>
      <c r="G382" s="28"/>
      <c r="H382" s="226">
        <f>H383</f>
        <v>2612.1999999999998</v>
      </c>
      <c r="I382" s="226">
        <f>I383</f>
        <v>2612.1999999999998</v>
      </c>
    </row>
    <row r="383" spans="1:9" s="352" customFormat="1" ht="90" x14ac:dyDescent="0.35">
      <c r="A383" s="342"/>
      <c r="B383" s="514" t="s">
        <v>49</v>
      </c>
      <c r="C383" s="217" t="s">
        <v>41</v>
      </c>
      <c r="D383" s="218" t="s">
        <v>45</v>
      </c>
      <c r="E383" s="218" t="s">
        <v>37</v>
      </c>
      <c r="F383" s="219" t="s">
        <v>48</v>
      </c>
      <c r="G383" s="28" t="s">
        <v>50</v>
      </c>
      <c r="H383" s="226">
        <f>'прил10 (ведом 24-25)'!M24</f>
        <v>2612.1999999999998</v>
      </c>
      <c r="I383" s="226">
        <f>'прил10 (ведом 24-25)'!N24</f>
        <v>2612.1999999999998</v>
      </c>
    </row>
    <row r="384" spans="1:9" s="352" customFormat="1" ht="36" x14ac:dyDescent="0.35">
      <c r="A384" s="342"/>
      <c r="B384" s="514" t="s">
        <v>54</v>
      </c>
      <c r="C384" s="217" t="s">
        <v>41</v>
      </c>
      <c r="D384" s="218" t="s">
        <v>45</v>
      </c>
      <c r="E384" s="218" t="s">
        <v>39</v>
      </c>
      <c r="F384" s="219" t="s">
        <v>44</v>
      </c>
      <c r="G384" s="28"/>
      <c r="H384" s="226">
        <f>H385+H391+H393+H395+H389+H398</f>
        <v>83377.800000000017</v>
      </c>
      <c r="I384" s="226">
        <f>I385+I391+I393+I395+I389+I398</f>
        <v>83411.200000000012</v>
      </c>
    </row>
    <row r="385" spans="1:9" s="352" customFormat="1" ht="36" x14ac:dyDescent="0.35">
      <c r="A385" s="342"/>
      <c r="B385" s="514" t="s">
        <v>47</v>
      </c>
      <c r="C385" s="217" t="s">
        <v>41</v>
      </c>
      <c r="D385" s="218" t="s">
        <v>45</v>
      </c>
      <c r="E385" s="218" t="s">
        <v>39</v>
      </c>
      <c r="F385" s="219" t="s">
        <v>48</v>
      </c>
      <c r="G385" s="28"/>
      <c r="H385" s="226">
        <f>SUM(H386:H388)</f>
        <v>77728.5</v>
      </c>
      <c r="I385" s="226">
        <f>SUM(I386:I388)</f>
        <v>77764.5</v>
      </c>
    </row>
    <row r="386" spans="1:9" s="352" customFormat="1" ht="90" x14ac:dyDescent="0.35">
      <c r="A386" s="342"/>
      <c r="B386" s="514" t="s">
        <v>49</v>
      </c>
      <c r="C386" s="217" t="s">
        <v>41</v>
      </c>
      <c r="D386" s="218" t="s">
        <v>45</v>
      </c>
      <c r="E386" s="218" t="s">
        <v>39</v>
      </c>
      <c r="F386" s="219" t="s">
        <v>48</v>
      </c>
      <c r="G386" s="28" t="s">
        <v>50</v>
      </c>
      <c r="H386" s="226">
        <f>'прил10 (ведом 24-25)'!M30</f>
        <v>76888.3</v>
      </c>
      <c r="I386" s="226">
        <f>'прил10 (ведом 24-25)'!N30</f>
        <v>76888.3</v>
      </c>
    </row>
    <row r="387" spans="1:9" ht="36" x14ac:dyDescent="0.35">
      <c r="A387" s="342"/>
      <c r="B387" s="514" t="s">
        <v>55</v>
      </c>
      <c r="C387" s="217" t="s">
        <v>41</v>
      </c>
      <c r="D387" s="218" t="s">
        <v>45</v>
      </c>
      <c r="E387" s="218" t="s">
        <v>39</v>
      </c>
      <c r="F387" s="219" t="s">
        <v>48</v>
      </c>
      <c r="G387" s="28" t="s">
        <v>56</v>
      </c>
      <c r="H387" s="226">
        <f>'прил10 (ведом 24-25)'!M31</f>
        <v>817.3</v>
      </c>
      <c r="I387" s="226">
        <f>'прил10 (ведом 24-25)'!N31</f>
        <v>853.3</v>
      </c>
    </row>
    <row r="388" spans="1:9" ht="18" x14ac:dyDescent="0.35">
      <c r="A388" s="342"/>
      <c r="B388" s="515" t="s">
        <v>57</v>
      </c>
      <c r="C388" s="217" t="s">
        <v>41</v>
      </c>
      <c r="D388" s="218" t="s">
        <v>45</v>
      </c>
      <c r="E388" s="218" t="s">
        <v>39</v>
      </c>
      <c r="F388" s="219" t="s">
        <v>48</v>
      </c>
      <c r="G388" s="28" t="s">
        <v>58</v>
      </c>
      <c r="H388" s="226">
        <f>'прил10 (ведом 24-25)'!M32</f>
        <v>22.9</v>
      </c>
      <c r="I388" s="226">
        <f>'прил10 (ведом 24-25)'!N32</f>
        <v>22.9</v>
      </c>
    </row>
    <row r="389" spans="1:9" s="352" customFormat="1" ht="72" x14ac:dyDescent="0.35">
      <c r="A389" s="342"/>
      <c r="B389" s="515" t="s">
        <v>386</v>
      </c>
      <c r="C389" s="217" t="s">
        <v>41</v>
      </c>
      <c r="D389" s="218" t="s">
        <v>45</v>
      </c>
      <c r="E389" s="218" t="s">
        <v>39</v>
      </c>
      <c r="F389" s="219" t="s">
        <v>385</v>
      </c>
      <c r="G389" s="28"/>
      <c r="H389" s="226">
        <f>H390</f>
        <v>20.3</v>
      </c>
      <c r="I389" s="226">
        <f>I390</f>
        <v>17.7</v>
      </c>
    </row>
    <row r="390" spans="1:9" s="352" customFormat="1" ht="36" x14ac:dyDescent="0.35">
      <c r="A390" s="342"/>
      <c r="B390" s="515" t="s">
        <v>55</v>
      </c>
      <c r="C390" s="217" t="s">
        <v>41</v>
      </c>
      <c r="D390" s="218" t="s">
        <v>45</v>
      </c>
      <c r="E390" s="218" t="s">
        <v>39</v>
      </c>
      <c r="F390" s="219" t="s">
        <v>385</v>
      </c>
      <c r="G390" s="28" t="s">
        <v>56</v>
      </c>
      <c r="H390" s="226">
        <f>'прил10 (ведом 24-25)'!M51</f>
        <v>20.3</v>
      </c>
      <c r="I390" s="226">
        <f>'прил10 (ведом 24-25)'!N51</f>
        <v>17.7</v>
      </c>
    </row>
    <row r="391" spans="1:9" ht="72" x14ac:dyDescent="0.35">
      <c r="A391" s="342"/>
      <c r="B391" s="514" t="s">
        <v>445</v>
      </c>
      <c r="C391" s="217" t="s">
        <v>41</v>
      </c>
      <c r="D391" s="218" t="s">
        <v>45</v>
      </c>
      <c r="E391" s="218" t="s">
        <v>39</v>
      </c>
      <c r="F391" s="219" t="s">
        <v>265</v>
      </c>
      <c r="G391" s="28"/>
      <c r="H391" s="226">
        <f>H392</f>
        <v>63</v>
      </c>
      <c r="I391" s="226">
        <f>I392</f>
        <v>63</v>
      </c>
    </row>
    <row r="392" spans="1:9" ht="36" x14ac:dyDescent="0.35">
      <c r="A392" s="342"/>
      <c r="B392" s="514" t="s">
        <v>55</v>
      </c>
      <c r="C392" s="217" t="s">
        <v>41</v>
      </c>
      <c r="D392" s="218" t="s">
        <v>45</v>
      </c>
      <c r="E392" s="218" t="s">
        <v>39</v>
      </c>
      <c r="F392" s="219" t="s">
        <v>265</v>
      </c>
      <c r="G392" s="28" t="s">
        <v>56</v>
      </c>
      <c r="H392" s="226">
        <f>'прил10 (ведом 24-25)'!M34</f>
        <v>63</v>
      </c>
      <c r="I392" s="226">
        <f>'прил10 (ведом 24-25)'!N34</f>
        <v>63</v>
      </c>
    </row>
    <row r="393" spans="1:9" ht="162" x14ac:dyDescent="0.35">
      <c r="A393" s="342"/>
      <c r="B393" s="550" t="s">
        <v>453</v>
      </c>
      <c r="C393" s="217" t="s">
        <v>41</v>
      </c>
      <c r="D393" s="218" t="s">
        <v>45</v>
      </c>
      <c r="E393" s="218" t="s">
        <v>39</v>
      </c>
      <c r="F393" s="219" t="s">
        <v>59</v>
      </c>
      <c r="G393" s="28"/>
      <c r="H393" s="226">
        <f>H394</f>
        <v>749.1</v>
      </c>
      <c r="I393" s="226">
        <f>I394</f>
        <v>749.1</v>
      </c>
    </row>
    <row r="394" spans="1:9" ht="90" x14ac:dyDescent="0.35">
      <c r="A394" s="342"/>
      <c r="B394" s="515" t="s">
        <v>49</v>
      </c>
      <c r="C394" s="217" t="s">
        <v>41</v>
      </c>
      <c r="D394" s="218" t="s">
        <v>45</v>
      </c>
      <c r="E394" s="218" t="s">
        <v>39</v>
      </c>
      <c r="F394" s="219" t="s">
        <v>59</v>
      </c>
      <c r="G394" s="28" t="s">
        <v>50</v>
      </c>
      <c r="H394" s="226">
        <f>'прил10 (ведом 24-25)'!M36</f>
        <v>749.1</v>
      </c>
      <c r="I394" s="226">
        <f>'прил10 (ведом 24-25)'!N36</f>
        <v>749.1</v>
      </c>
    </row>
    <row r="395" spans="1:9" ht="54" x14ac:dyDescent="0.35">
      <c r="A395" s="342"/>
      <c r="B395" s="515" t="s">
        <v>409</v>
      </c>
      <c r="C395" s="217" t="s">
        <v>41</v>
      </c>
      <c r="D395" s="218" t="s">
        <v>45</v>
      </c>
      <c r="E395" s="218" t="s">
        <v>39</v>
      </c>
      <c r="F395" s="219" t="s">
        <v>61</v>
      </c>
      <c r="G395" s="28"/>
      <c r="H395" s="226">
        <f>H396+H397</f>
        <v>749.30000000000007</v>
      </c>
      <c r="I395" s="226">
        <f>I396+I397</f>
        <v>749.30000000000007</v>
      </c>
    </row>
    <row r="396" spans="1:9" ht="90" x14ac:dyDescent="0.35">
      <c r="A396" s="342"/>
      <c r="B396" s="515" t="s">
        <v>49</v>
      </c>
      <c r="C396" s="217" t="s">
        <v>41</v>
      </c>
      <c r="D396" s="218" t="s">
        <v>45</v>
      </c>
      <c r="E396" s="218" t="s">
        <v>39</v>
      </c>
      <c r="F396" s="219" t="s">
        <v>61</v>
      </c>
      <c r="G396" s="28" t="s">
        <v>50</v>
      </c>
      <c r="H396" s="226">
        <f>'прил10 (ведом 24-25)'!M38</f>
        <v>745.1</v>
      </c>
      <c r="I396" s="226">
        <f>'прил10 (ведом 24-25)'!N38</f>
        <v>745.1</v>
      </c>
    </row>
    <row r="397" spans="1:9" ht="36" x14ac:dyDescent="0.35">
      <c r="A397" s="342"/>
      <c r="B397" s="514" t="s">
        <v>55</v>
      </c>
      <c r="C397" s="217" t="s">
        <v>41</v>
      </c>
      <c r="D397" s="218" t="s">
        <v>45</v>
      </c>
      <c r="E397" s="218" t="s">
        <v>39</v>
      </c>
      <c r="F397" s="219" t="s">
        <v>61</v>
      </c>
      <c r="G397" s="28" t="s">
        <v>56</v>
      </c>
      <c r="H397" s="226">
        <f>'прил10 (ведом 24-25)'!M39</f>
        <v>4.2</v>
      </c>
      <c r="I397" s="226">
        <f>'прил10 (ведом 24-25)'!N39</f>
        <v>4.2</v>
      </c>
    </row>
    <row r="398" spans="1:9" ht="72" x14ac:dyDescent="0.35">
      <c r="A398" s="342"/>
      <c r="B398" s="514" t="s">
        <v>60</v>
      </c>
      <c r="C398" s="217" t="s">
        <v>41</v>
      </c>
      <c r="D398" s="218" t="s">
        <v>45</v>
      </c>
      <c r="E398" s="218" t="s">
        <v>39</v>
      </c>
      <c r="F398" s="219" t="s">
        <v>541</v>
      </c>
      <c r="G398" s="28"/>
      <c r="H398" s="226">
        <f>H399+H400</f>
        <v>4067.6</v>
      </c>
      <c r="I398" s="226">
        <f>I399+I400</f>
        <v>4067.6</v>
      </c>
    </row>
    <row r="399" spans="1:9" ht="90" x14ac:dyDescent="0.35">
      <c r="A399" s="342"/>
      <c r="B399" s="514" t="s">
        <v>49</v>
      </c>
      <c r="C399" s="217" t="s">
        <v>41</v>
      </c>
      <c r="D399" s="218" t="s">
        <v>45</v>
      </c>
      <c r="E399" s="218" t="s">
        <v>39</v>
      </c>
      <c r="F399" s="219" t="s">
        <v>541</v>
      </c>
      <c r="G399" s="28" t="s">
        <v>50</v>
      </c>
      <c r="H399" s="226">
        <f>'прил10 (ведом 24-25)'!M41</f>
        <v>4000.1</v>
      </c>
      <c r="I399" s="226">
        <f>'прил10 (ведом 24-25)'!N41</f>
        <v>4000.1</v>
      </c>
    </row>
    <row r="400" spans="1:9" ht="36" x14ac:dyDescent="0.35">
      <c r="A400" s="342"/>
      <c r="B400" s="514" t="s">
        <v>55</v>
      </c>
      <c r="C400" s="218" t="s">
        <v>41</v>
      </c>
      <c r="D400" s="218" t="s">
        <v>45</v>
      </c>
      <c r="E400" s="218" t="s">
        <v>39</v>
      </c>
      <c r="F400" s="219" t="s">
        <v>541</v>
      </c>
      <c r="G400" s="28" t="s">
        <v>56</v>
      </c>
      <c r="H400" s="226">
        <f>'прил10 (ведом 24-25)'!M42</f>
        <v>67.5</v>
      </c>
      <c r="I400" s="226">
        <f>'прил10 (ведом 24-25)'!N42</f>
        <v>67.5</v>
      </c>
    </row>
    <row r="401" spans="1:9" ht="18" x14ac:dyDescent="0.35">
      <c r="A401" s="342"/>
      <c r="B401" s="515" t="s">
        <v>62</v>
      </c>
      <c r="C401" s="217" t="s">
        <v>41</v>
      </c>
      <c r="D401" s="218" t="s">
        <v>45</v>
      </c>
      <c r="E401" s="218" t="s">
        <v>63</v>
      </c>
      <c r="F401" s="219" t="s">
        <v>44</v>
      </c>
      <c r="G401" s="28"/>
      <c r="H401" s="226">
        <f>H402+H406+H404</f>
        <v>2510.3000000000002</v>
      </c>
      <c r="I401" s="226">
        <f>I402+I406+I404</f>
        <v>2510.3000000000002</v>
      </c>
    </row>
    <row r="402" spans="1:9" ht="36" x14ac:dyDescent="0.35">
      <c r="A402" s="342"/>
      <c r="B402" s="515" t="s">
        <v>47</v>
      </c>
      <c r="C402" s="217" t="s">
        <v>41</v>
      </c>
      <c r="D402" s="218" t="s">
        <v>45</v>
      </c>
      <c r="E402" s="218" t="s">
        <v>63</v>
      </c>
      <c r="F402" s="219" t="s">
        <v>48</v>
      </c>
      <c r="G402" s="28"/>
      <c r="H402" s="226">
        <f>H403</f>
        <v>4.5</v>
      </c>
      <c r="I402" s="226">
        <f>I403</f>
        <v>4.5</v>
      </c>
    </row>
    <row r="403" spans="1:9" ht="36" x14ac:dyDescent="0.35">
      <c r="A403" s="342"/>
      <c r="B403" s="515" t="s">
        <v>55</v>
      </c>
      <c r="C403" s="217" t="s">
        <v>41</v>
      </c>
      <c r="D403" s="218" t="s">
        <v>45</v>
      </c>
      <c r="E403" s="218" t="s">
        <v>63</v>
      </c>
      <c r="F403" s="219" t="s">
        <v>48</v>
      </c>
      <c r="G403" s="28" t="s">
        <v>56</v>
      </c>
      <c r="H403" s="226">
        <f>'прил10 (ведом 24-25)'!M45</f>
        <v>4.5</v>
      </c>
      <c r="I403" s="226">
        <f>'прил10 (ведом 24-25)'!N45</f>
        <v>4.5</v>
      </c>
    </row>
    <row r="404" spans="1:9" ht="36" x14ac:dyDescent="0.35">
      <c r="A404" s="342"/>
      <c r="B404" s="518" t="s">
        <v>534</v>
      </c>
      <c r="C404" s="696" t="s">
        <v>41</v>
      </c>
      <c r="D404" s="697" t="s">
        <v>45</v>
      </c>
      <c r="E404" s="697" t="s">
        <v>63</v>
      </c>
      <c r="F404" s="698" t="s">
        <v>533</v>
      </c>
      <c r="G404" s="10"/>
      <c r="H404" s="226">
        <f>H405</f>
        <v>91.9</v>
      </c>
      <c r="I404" s="226">
        <f>I405</f>
        <v>91.9</v>
      </c>
    </row>
    <row r="405" spans="1:9" ht="36" x14ac:dyDescent="0.35">
      <c r="A405" s="342"/>
      <c r="B405" s="518" t="s">
        <v>55</v>
      </c>
      <c r="C405" s="696" t="s">
        <v>41</v>
      </c>
      <c r="D405" s="697" t="s">
        <v>45</v>
      </c>
      <c r="E405" s="697" t="s">
        <v>63</v>
      </c>
      <c r="F405" s="698" t="s">
        <v>533</v>
      </c>
      <c r="G405" s="10" t="s">
        <v>56</v>
      </c>
      <c r="H405" s="226">
        <f>'прил10 (ведом 24-25)'!M155</f>
        <v>91.9</v>
      </c>
      <c r="I405" s="226">
        <f>'прил10 (ведом 24-25)'!N155</f>
        <v>91.9</v>
      </c>
    </row>
    <row r="406" spans="1:9" ht="54" x14ac:dyDescent="0.35">
      <c r="A406" s="342"/>
      <c r="B406" s="523" t="s">
        <v>380</v>
      </c>
      <c r="C406" s="217" t="s">
        <v>41</v>
      </c>
      <c r="D406" s="218" t="s">
        <v>45</v>
      </c>
      <c r="E406" s="218" t="s">
        <v>63</v>
      </c>
      <c r="F406" s="219" t="s">
        <v>379</v>
      </c>
      <c r="G406" s="28"/>
      <c r="H406" s="226">
        <f>H407+H408</f>
        <v>2413.9</v>
      </c>
      <c r="I406" s="226">
        <f>I407+I408</f>
        <v>2413.9</v>
      </c>
    </row>
    <row r="407" spans="1:9" ht="36" x14ac:dyDescent="0.35">
      <c r="A407" s="342"/>
      <c r="B407" s="515" t="s">
        <v>55</v>
      </c>
      <c r="C407" s="217" t="s">
        <v>41</v>
      </c>
      <c r="D407" s="218" t="s">
        <v>45</v>
      </c>
      <c r="E407" s="218" t="s">
        <v>63</v>
      </c>
      <c r="F407" s="219" t="s">
        <v>379</v>
      </c>
      <c r="G407" s="28" t="s">
        <v>56</v>
      </c>
      <c r="H407" s="226">
        <f>'прил10 (ведом 24-25)'!M67</f>
        <v>2187.6</v>
      </c>
      <c r="I407" s="226">
        <f>'прил10 (ведом 24-25)'!N67</f>
        <v>2187.6</v>
      </c>
    </row>
    <row r="408" spans="1:9" ht="18" x14ac:dyDescent="0.35">
      <c r="A408" s="342"/>
      <c r="B408" s="515" t="s">
        <v>57</v>
      </c>
      <c r="C408" s="217" t="s">
        <v>41</v>
      </c>
      <c r="D408" s="218" t="s">
        <v>45</v>
      </c>
      <c r="E408" s="218" t="s">
        <v>63</v>
      </c>
      <c r="F408" s="219" t="s">
        <v>379</v>
      </c>
      <c r="G408" s="28" t="s">
        <v>58</v>
      </c>
      <c r="H408" s="226">
        <f>'прил10 (ведом 24-25)'!M68</f>
        <v>226.3</v>
      </c>
      <c r="I408" s="226">
        <f>'прил10 (ведом 24-25)'!N68</f>
        <v>226.3</v>
      </c>
    </row>
    <row r="409" spans="1:9" ht="18" x14ac:dyDescent="0.35">
      <c r="A409" s="342"/>
      <c r="B409" s="515" t="s">
        <v>64</v>
      </c>
      <c r="C409" s="217" t="s">
        <v>41</v>
      </c>
      <c r="D409" s="218" t="s">
        <v>45</v>
      </c>
      <c r="E409" s="218" t="s">
        <v>52</v>
      </c>
      <c r="F409" s="219" t="s">
        <v>44</v>
      </c>
      <c r="G409" s="28"/>
      <c r="H409" s="226">
        <f>H410+H412</f>
        <v>3227.8</v>
      </c>
      <c r="I409" s="226">
        <f>I410+I412</f>
        <v>3227.8</v>
      </c>
    </row>
    <row r="410" spans="1:9" ht="54" x14ac:dyDescent="0.35">
      <c r="A410" s="342"/>
      <c r="B410" s="531" t="s">
        <v>352</v>
      </c>
      <c r="C410" s="217" t="s">
        <v>41</v>
      </c>
      <c r="D410" s="218" t="s">
        <v>45</v>
      </c>
      <c r="E410" s="218" t="s">
        <v>52</v>
      </c>
      <c r="F410" s="219" t="s">
        <v>105</v>
      </c>
      <c r="G410" s="28"/>
      <c r="H410" s="226">
        <f>H411</f>
        <v>1138.8</v>
      </c>
      <c r="I410" s="226">
        <f>I411</f>
        <v>1138.8</v>
      </c>
    </row>
    <row r="411" spans="1:9" ht="36" x14ac:dyDescent="0.35">
      <c r="A411" s="342"/>
      <c r="B411" s="515" t="s">
        <v>55</v>
      </c>
      <c r="C411" s="217" t="s">
        <v>41</v>
      </c>
      <c r="D411" s="218" t="s">
        <v>45</v>
      </c>
      <c r="E411" s="218" t="s">
        <v>52</v>
      </c>
      <c r="F411" s="219" t="s">
        <v>105</v>
      </c>
      <c r="G411" s="28" t="s">
        <v>56</v>
      </c>
      <c r="H411" s="226">
        <f>'прил10 (ведом 24-25)'!M71</f>
        <v>1138.8</v>
      </c>
      <c r="I411" s="226">
        <f>'прил10 (ведом 24-25)'!N71</f>
        <v>1138.8</v>
      </c>
    </row>
    <row r="412" spans="1:9" ht="54" x14ac:dyDescent="0.35">
      <c r="A412" s="342"/>
      <c r="B412" s="515" t="s">
        <v>354</v>
      </c>
      <c r="C412" s="217" t="s">
        <v>41</v>
      </c>
      <c r="D412" s="218" t="s">
        <v>45</v>
      </c>
      <c r="E412" s="218" t="s">
        <v>52</v>
      </c>
      <c r="F412" s="219" t="s">
        <v>353</v>
      </c>
      <c r="G412" s="28"/>
      <c r="H412" s="226">
        <f>'прил10 (ведом 24-25)'!M72</f>
        <v>2089</v>
      </c>
      <c r="I412" s="226">
        <f>'прил10 (ведом 24-25)'!N72</f>
        <v>2089</v>
      </c>
    </row>
    <row r="413" spans="1:9" ht="36" x14ac:dyDescent="0.35">
      <c r="A413" s="342"/>
      <c r="B413" s="515" t="s">
        <v>55</v>
      </c>
      <c r="C413" s="217" t="s">
        <v>41</v>
      </c>
      <c r="D413" s="218" t="s">
        <v>45</v>
      </c>
      <c r="E413" s="218" t="s">
        <v>52</v>
      </c>
      <c r="F413" s="219" t="s">
        <v>353</v>
      </c>
      <c r="G413" s="28" t="s">
        <v>56</v>
      </c>
      <c r="H413" s="226">
        <f>'прил10 (ведом 24-25)'!M73</f>
        <v>2089</v>
      </c>
      <c r="I413" s="226">
        <f>'прил10 (ведом 24-25)'!N73</f>
        <v>2089</v>
      </c>
    </row>
    <row r="414" spans="1:9" ht="72" x14ac:dyDescent="0.35">
      <c r="A414" s="367"/>
      <c r="B414" s="537" t="s">
        <v>299</v>
      </c>
      <c r="C414" s="360" t="s">
        <v>41</v>
      </c>
      <c r="D414" s="368" t="s">
        <v>45</v>
      </c>
      <c r="E414" s="368" t="s">
        <v>81</v>
      </c>
      <c r="F414" s="378" t="s">
        <v>44</v>
      </c>
      <c r="G414" s="379"/>
      <c r="H414" s="226">
        <f>H415</f>
        <v>6361.2</v>
      </c>
      <c r="I414" s="226">
        <f>I415</f>
        <v>6365.0999999999995</v>
      </c>
    </row>
    <row r="415" spans="1:9" ht="36" x14ac:dyDescent="0.35">
      <c r="A415" s="367"/>
      <c r="B415" s="514" t="s">
        <v>466</v>
      </c>
      <c r="C415" s="360" t="s">
        <v>41</v>
      </c>
      <c r="D415" s="368" t="s">
        <v>45</v>
      </c>
      <c r="E415" s="368" t="s">
        <v>81</v>
      </c>
      <c r="F415" s="378" t="s">
        <v>91</v>
      </c>
      <c r="G415" s="379"/>
      <c r="H415" s="226">
        <f>SUM(H416:H417)</f>
        <v>6361.2</v>
      </c>
      <c r="I415" s="226">
        <f>SUM(I416:I417)</f>
        <v>6365.0999999999995</v>
      </c>
    </row>
    <row r="416" spans="1:9" ht="90" x14ac:dyDescent="0.35">
      <c r="A416" s="367"/>
      <c r="B416" s="537" t="s">
        <v>49</v>
      </c>
      <c r="C416" s="360" t="s">
        <v>41</v>
      </c>
      <c r="D416" s="368" t="s">
        <v>45</v>
      </c>
      <c r="E416" s="368" t="s">
        <v>81</v>
      </c>
      <c r="F416" s="378" t="s">
        <v>91</v>
      </c>
      <c r="G416" s="379" t="s">
        <v>50</v>
      </c>
      <c r="H416" s="226">
        <f>'прил10 (ведом 24-25)'!M248</f>
        <v>5898.7</v>
      </c>
      <c r="I416" s="226">
        <f>'прил10 (ведом 24-25)'!N248</f>
        <v>5898.7</v>
      </c>
    </row>
    <row r="417" spans="1:9" ht="36" x14ac:dyDescent="0.35">
      <c r="A417" s="367"/>
      <c r="B417" s="515" t="s">
        <v>55</v>
      </c>
      <c r="C417" s="360" t="s">
        <v>41</v>
      </c>
      <c r="D417" s="368" t="s">
        <v>45</v>
      </c>
      <c r="E417" s="368" t="s">
        <v>81</v>
      </c>
      <c r="F417" s="378" t="s">
        <v>91</v>
      </c>
      <c r="G417" s="379" t="s">
        <v>56</v>
      </c>
      <c r="H417" s="226">
        <f>'прил10 (ведом 24-25)'!M249</f>
        <v>462.5</v>
      </c>
      <c r="I417" s="226">
        <f>'прил10 (ведом 24-25)'!N249</f>
        <v>466.4</v>
      </c>
    </row>
    <row r="418" spans="1:9" ht="36" x14ac:dyDescent="0.35">
      <c r="A418" s="367"/>
      <c r="B418" s="518" t="s">
        <v>331</v>
      </c>
      <c r="C418" s="696" t="s">
        <v>41</v>
      </c>
      <c r="D418" s="697" t="s">
        <v>45</v>
      </c>
      <c r="E418" s="697" t="s">
        <v>88</v>
      </c>
      <c r="F418" s="698" t="s">
        <v>44</v>
      </c>
      <c r="G418" s="10"/>
      <c r="H418" s="226">
        <f>H419</f>
        <v>1200</v>
      </c>
      <c r="I418" s="226">
        <f>I419</f>
        <v>0</v>
      </c>
    </row>
    <row r="419" spans="1:9" ht="54" x14ac:dyDescent="0.35">
      <c r="A419" s="367"/>
      <c r="B419" s="518" t="s">
        <v>727</v>
      </c>
      <c r="C419" s="696" t="s">
        <v>41</v>
      </c>
      <c r="D419" s="697" t="s">
        <v>45</v>
      </c>
      <c r="E419" s="697" t="s">
        <v>88</v>
      </c>
      <c r="F419" s="698" t="s">
        <v>726</v>
      </c>
      <c r="G419" s="10"/>
      <c r="H419" s="226">
        <f>H420</f>
        <v>1200</v>
      </c>
      <c r="I419" s="226">
        <f>I420</f>
        <v>0</v>
      </c>
    </row>
    <row r="420" spans="1:9" ht="36" x14ac:dyDescent="0.35">
      <c r="A420" s="367"/>
      <c r="B420" s="518" t="s">
        <v>55</v>
      </c>
      <c r="C420" s="696" t="s">
        <v>41</v>
      </c>
      <c r="D420" s="697" t="s">
        <v>45</v>
      </c>
      <c r="E420" s="697" t="s">
        <v>88</v>
      </c>
      <c r="F420" s="698" t="s">
        <v>726</v>
      </c>
      <c r="G420" s="10" t="s">
        <v>56</v>
      </c>
      <c r="H420" s="226">
        <f>'прил10 (ведом 24-25)'!M141</f>
        <v>1200</v>
      </c>
      <c r="I420" s="226">
        <f>'прил10 (ведом 24-25)'!N141</f>
        <v>0</v>
      </c>
    </row>
    <row r="421" spans="1:9" ht="90" x14ac:dyDescent="0.35">
      <c r="A421" s="367"/>
      <c r="B421" s="518" t="s">
        <v>603</v>
      </c>
      <c r="C421" s="696" t="s">
        <v>41</v>
      </c>
      <c r="D421" s="697" t="s">
        <v>45</v>
      </c>
      <c r="E421" s="697" t="s">
        <v>592</v>
      </c>
      <c r="F421" s="698" t="s">
        <v>44</v>
      </c>
      <c r="G421" s="10"/>
      <c r="H421" s="226">
        <f>H422</f>
        <v>30488.2</v>
      </c>
      <c r="I421" s="226">
        <f>I422</f>
        <v>30488.2</v>
      </c>
    </row>
    <row r="422" spans="1:9" ht="36" x14ac:dyDescent="0.35">
      <c r="A422" s="367"/>
      <c r="B422" s="551" t="s">
        <v>466</v>
      </c>
      <c r="C422" s="696" t="s">
        <v>41</v>
      </c>
      <c r="D422" s="697" t="s">
        <v>45</v>
      </c>
      <c r="E422" s="697" t="s">
        <v>592</v>
      </c>
      <c r="F422" s="698" t="s">
        <v>91</v>
      </c>
      <c r="G422" s="10"/>
      <c r="H422" s="226">
        <f>H423+H424</f>
        <v>30488.2</v>
      </c>
      <c r="I422" s="226">
        <f>I423+I424</f>
        <v>30488.2</v>
      </c>
    </row>
    <row r="423" spans="1:9" ht="90" x14ac:dyDescent="0.35">
      <c r="A423" s="367"/>
      <c r="B423" s="518" t="s">
        <v>49</v>
      </c>
      <c r="C423" s="696" t="s">
        <v>41</v>
      </c>
      <c r="D423" s="697" t="s">
        <v>45</v>
      </c>
      <c r="E423" s="697" t="s">
        <v>592</v>
      </c>
      <c r="F423" s="698" t="s">
        <v>91</v>
      </c>
      <c r="G423" s="10" t="s">
        <v>50</v>
      </c>
      <c r="H423" s="226">
        <f>'прил10 (ведом 24-25)'!M76</f>
        <v>23999.5</v>
      </c>
      <c r="I423" s="226">
        <f>'прил10 (ведом 24-25)'!N76</f>
        <v>23999.5</v>
      </c>
    </row>
    <row r="424" spans="1:9" ht="36" x14ac:dyDescent="0.35">
      <c r="A424" s="367"/>
      <c r="B424" s="518" t="s">
        <v>55</v>
      </c>
      <c r="C424" s="696" t="s">
        <v>41</v>
      </c>
      <c r="D424" s="697" t="s">
        <v>45</v>
      </c>
      <c r="E424" s="697" t="s">
        <v>592</v>
      </c>
      <c r="F424" s="698" t="s">
        <v>91</v>
      </c>
      <c r="G424" s="10" t="s">
        <v>56</v>
      </c>
      <c r="H424" s="226">
        <f>'прил10 (ведом 24-25)'!M77</f>
        <v>6488.7</v>
      </c>
      <c r="I424" s="226">
        <f>'прил10 (ведом 24-25)'!N77</f>
        <v>6488.7</v>
      </c>
    </row>
    <row r="425" spans="1:9" ht="18" x14ac:dyDescent="0.35">
      <c r="A425" s="367"/>
      <c r="B425" s="515"/>
      <c r="C425" s="218"/>
      <c r="D425" s="218"/>
      <c r="E425" s="218"/>
      <c r="F425" s="219"/>
      <c r="G425" s="28"/>
      <c r="H425" s="226"/>
      <c r="I425" s="226"/>
    </row>
    <row r="426" spans="1:9" ht="52.2" x14ac:dyDescent="0.35">
      <c r="A426" s="357">
        <v>16</v>
      </c>
      <c r="B426" s="536" t="s">
        <v>233</v>
      </c>
      <c r="C426" s="358" t="s">
        <v>234</v>
      </c>
      <c r="D426" s="358" t="s">
        <v>42</v>
      </c>
      <c r="E426" s="358" t="s">
        <v>43</v>
      </c>
      <c r="F426" s="359" t="s">
        <v>44</v>
      </c>
      <c r="G426" s="28"/>
      <c r="H426" s="263">
        <f t="shared" ref="H426:I429" si="9">H427</f>
        <v>53.4</v>
      </c>
      <c r="I426" s="263">
        <f t="shared" si="9"/>
        <v>53.4</v>
      </c>
    </row>
    <row r="427" spans="1:9" ht="18" x14ac:dyDescent="0.35">
      <c r="A427" s="367"/>
      <c r="B427" s="515" t="s">
        <v>339</v>
      </c>
      <c r="C427" s="217" t="s">
        <v>234</v>
      </c>
      <c r="D427" s="218" t="s">
        <v>45</v>
      </c>
      <c r="E427" s="218" t="s">
        <v>43</v>
      </c>
      <c r="F427" s="219" t="s">
        <v>44</v>
      </c>
      <c r="G427" s="28"/>
      <c r="H427" s="226">
        <f t="shared" si="9"/>
        <v>53.4</v>
      </c>
      <c r="I427" s="226">
        <f t="shared" si="9"/>
        <v>53.4</v>
      </c>
    </row>
    <row r="428" spans="1:9" ht="126" x14ac:dyDescent="0.35">
      <c r="A428" s="367"/>
      <c r="B428" s="515" t="s">
        <v>743</v>
      </c>
      <c r="C428" s="217" t="s">
        <v>234</v>
      </c>
      <c r="D428" s="218" t="s">
        <v>45</v>
      </c>
      <c r="E428" s="218" t="s">
        <v>37</v>
      </c>
      <c r="F428" s="219" t="s">
        <v>44</v>
      </c>
      <c r="G428" s="28"/>
      <c r="H428" s="226">
        <f t="shared" si="9"/>
        <v>53.4</v>
      </c>
      <c r="I428" s="226">
        <f t="shared" si="9"/>
        <v>53.4</v>
      </c>
    </row>
    <row r="429" spans="1:9" ht="36" x14ac:dyDescent="0.35">
      <c r="A429" s="367"/>
      <c r="B429" s="515" t="s">
        <v>235</v>
      </c>
      <c r="C429" s="217" t="s">
        <v>234</v>
      </c>
      <c r="D429" s="218" t="s">
        <v>45</v>
      </c>
      <c r="E429" s="218" t="s">
        <v>37</v>
      </c>
      <c r="F429" s="219" t="s">
        <v>280</v>
      </c>
      <c r="G429" s="28"/>
      <c r="H429" s="226">
        <f t="shared" si="9"/>
        <v>53.4</v>
      </c>
      <c r="I429" s="226">
        <f t="shared" si="9"/>
        <v>53.4</v>
      </c>
    </row>
    <row r="430" spans="1:9" ht="36" x14ac:dyDescent="0.35">
      <c r="A430" s="367"/>
      <c r="B430" s="515" t="s">
        <v>76</v>
      </c>
      <c r="C430" s="217" t="s">
        <v>234</v>
      </c>
      <c r="D430" s="218" t="s">
        <v>45</v>
      </c>
      <c r="E430" s="218" t="s">
        <v>37</v>
      </c>
      <c r="F430" s="219" t="s">
        <v>280</v>
      </c>
      <c r="G430" s="28" t="s">
        <v>77</v>
      </c>
      <c r="H430" s="226">
        <f>'прил10 (ведом 24-25)'!M313</f>
        <v>53.4</v>
      </c>
      <c r="I430" s="226">
        <f>'прил10 (ведом 24-25)'!N313</f>
        <v>53.4</v>
      </c>
    </row>
    <row r="431" spans="1:9" ht="18" x14ac:dyDescent="0.35">
      <c r="A431" s="367"/>
      <c r="B431" s="537"/>
      <c r="C431" s="361"/>
      <c r="D431" s="368"/>
      <c r="E431" s="368"/>
      <c r="F431" s="378"/>
      <c r="G431" s="379"/>
      <c r="H431" s="226"/>
      <c r="I431" s="226"/>
    </row>
    <row r="432" spans="1:9" ht="34.799999999999997" x14ac:dyDescent="0.3">
      <c r="A432" s="357">
        <v>17</v>
      </c>
      <c r="B432" s="552" t="s">
        <v>130</v>
      </c>
      <c r="C432" s="358" t="s">
        <v>131</v>
      </c>
      <c r="D432" s="358" t="s">
        <v>42</v>
      </c>
      <c r="E432" s="358" t="s">
        <v>43</v>
      </c>
      <c r="F432" s="358" t="s">
        <v>44</v>
      </c>
      <c r="G432" s="351"/>
      <c r="H432" s="263">
        <f>H433</f>
        <v>6414.2</v>
      </c>
      <c r="I432" s="263">
        <f>I433</f>
        <v>6414.3</v>
      </c>
    </row>
    <row r="433" spans="1:9" ht="36" x14ac:dyDescent="0.35">
      <c r="A433" s="342"/>
      <c r="B433" s="553" t="s">
        <v>132</v>
      </c>
      <c r="C433" s="217" t="s">
        <v>131</v>
      </c>
      <c r="D433" s="218" t="s">
        <v>45</v>
      </c>
      <c r="E433" s="218" t="s">
        <v>43</v>
      </c>
      <c r="F433" s="219" t="s">
        <v>44</v>
      </c>
      <c r="G433" s="28"/>
      <c r="H433" s="226">
        <f>H434</f>
        <v>6414.2</v>
      </c>
      <c r="I433" s="226">
        <f>I434</f>
        <v>6414.3</v>
      </c>
    </row>
    <row r="434" spans="1:9" ht="36" x14ac:dyDescent="0.35">
      <c r="A434" s="342"/>
      <c r="B434" s="514" t="s">
        <v>47</v>
      </c>
      <c r="C434" s="217" t="s">
        <v>131</v>
      </c>
      <c r="D434" s="218" t="s">
        <v>45</v>
      </c>
      <c r="E434" s="218" t="s">
        <v>43</v>
      </c>
      <c r="F434" s="219" t="s">
        <v>48</v>
      </c>
      <c r="G434" s="28"/>
      <c r="H434" s="226">
        <f>H435+H436+H437</f>
        <v>6414.2</v>
      </c>
      <c r="I434" s="226">
        <f>I435+I436+I437</f>
        <v>6414.3</v>
      </c>
    </row>
    <row r="435" spans="1:9" ht="90" x14ac:dyDescent="0.35">
      <c r="A435" s="342"/>
      <c r="B435" s="530" t="s">
        <v>49</v>
      </c>
      <c r="C435" s="217" t="s">
        <v>131</v>
      </c>
      <c r="D435" s="218" t="s">
        <v>45</v>
      </c>
      <c r="E435" s="218" t="s">
        <v>43</v>
      </c>
      <c r="F435" s="219" t="s">
        <v>48</v>
      </c>
      <c r="G435" s="28" t="s">
        <v>50</v>
      </c>
      <c r="H435" s="226">
        <f>'прил10 (ведом 24-25)'!M210</f>
        <v>6119.5</v>
      </c>
      <c r="I435" s="226">
        <f>'прил10 (ведом 24-25)'!N210</f>
        <v>6119.5</v>
      </c>
    </row>
    <row r="436" spans="1:9" ht="36" x14ac:dyDescent="0.35">
      <c r="A436" s="342"/>
      <c r="B436" s="515" t="s">
        <v>55</v>
      </c>
      <c r="C436" s="217" t="s">
        <v>131</v>
      </c>
      <c r="D436" s="218" t="s">
        <v>45</v>
      </c>
      <c r="E436" s="218" t="s">
        <v>43</v>
      </c>
      <c r="F436" s="219" t="s">
        <v>48</v>
      </c>
      <c r="G436" s="28" t="s">
        <v>56</v>
      </c>
      <c r="H436" s="226">
        <f>'прил10 (ведом 24-25)'!M211</f>
        <v>284.7</v>
      </c>
      <c r="I436" s="226">
        <f>'прил10 (ведом 24-25)'!N211</f>
        <v>284.8</v>
      </c>
    </row>
    <row r="437" spans="1:9" ht="18" x14ac:dyDescent="0.35">
      <c r="A437" s="342"/>
      <c r="B437" s="515" t="s">
        <v>57</v>
      </c>
      <c r="C437" s="217" t="s">
        <v>131</v>
      </c>
      <c r="D437" s="218" t="s">
        <v>45</v>
      </c>
      <c r="E437" s="218" t="s">
        <v>43</v>
      </c>
      <c r="F437" s="219" t="s">
        <v>48</v>
      </c>
      <c r="G437" s="28" t="s">
        <v>58</v>
      </c>
      <c r="H437" s="226">
        <f>'прил10 (ведом 24-25)'!M212</f>
        <v>10</v>
      </c>
      <c r="I437" s="226">
        <f>'прил10 (ведом 24-25)'!N212</f>
        <v>10</v>
      </c>
    </row>
    <row r="438" spans="1:9" ht="18" x14ac:dyDescent="0.35">
      <c r="A438" s="342"/>
      <c r="B438" s="521"/>
      <c r="C438" s="690"/>
      <c r="D438" s="690"/>
      <c r="E438" s="690"/>
      <c r="F438" s="690"/>
      <c r="G438" s="247"/>
      <c r="H438" s="226"/>
      <c r="I438" s="226"/>
    </row>
    <row r="439" spans="1:9" s="352" customFormat="1" ht="52.2" x14ac:dyDescent="0.3">
      <c r="A439" s="357">
        <v>18</v>
      </c>
      <c r="B439" s="552" t="s">
        <v>451</v>
      </c>
      <c r="C439" s="358" t="s">
        <v>68</v>
      </c>
      <c r="D439" s="358" t="s">
        <v>42</v>
      </c>
      <c r="E439" s="358" t="s">
        <v>43</v>
      </c>
      <c r="F439" s="358" t="s">
        <v>44</v>
      </c>
      <c r="G439" s="351"/>
      <c r="H439" s="263">
        <f t="shared" ref="H439:I441" si="10">H440</f>
        <v>29961.8</v>
      </c>
      <c r="I439" s="263">
        <f t="shared" si="10"/>
        <v>35000</v>
      </c>
    </row>
    <row r="440" spans="1:9" ht="18" x14ac:dyDescent="0.35">
      <c r="A440" s="342"/>
      <c r="B440" s="530" t="s">
        <v>448</v>
      </c>
      <c r="C440" s="217" t="s">
        <v>68</v>
      </c>
      <c r="D440" s="218" t="s">
        <v>45</v>
      </c>
      <c r="E440" s="218" t="s">
        <v>43</v>
      </c>
      <c r="F440" s="219" t="s">
        <v>44</v>
      </c>
      <c r="G440" s="28"/>
      <c r="H440" s="226">
        <f>H441</f>
        <v>29961.8</v>
      </c>
      <c r="I440" s="226">
        <f>I441</f>
        <v>35000</v>
      </c>
    </row>
    <row r="441" spans="1:9" ht="36" x14ac:dyDescent="0.35">
      <c r="A441" s="342"/>
      <c r="B441" s="514" t="s">
        <v>446</v>
      </c>
      <c r="C441" s="217" t="s">
        <v>68</v>
      </c>
      <c r="D441" s="218" t="s">
        <v>45</v>
      </c>
      <c r="E441" s="218" t="s">
        <v>43</v>
      </c>
      <c r="F441" s="219" t="s">
        <v>69</v>
      </c>
      <c r="G441" s="28"/>
      <c r="H441" s="226">
        <f t="shared" si="10"/>
        <v>29961.8</v>
      </c>
      <c r="I441" s="226">
        <f t="shared" si="10"/>
        <v>35000</v>
      </c>
    </row>
    <row r="442" spans="1:9" ht="18" x14ac:dyDescent="0.35">
      <c r="A442" s="342"/>
      <c r="B442" s="514" t="s">
        <v>57</v>
      </c>
      <c r="C442" s="217" t="s">
        <v>68</v>
      </c>
      <c r="D442" s="218" t="s">
        <v>45</v>
      </c>
      <c r="E442" s="218" t="s">
        <v>43</v>
      </c>
      <c r="F442" s="219" t="s">
        <v>69</v>
      </c>
      <c r="G442" s="28" t="s">
        <v>58</v>
      </c>
      <c r="H442" s="226">
        <f>'прил10 (ведом 24-25)'!M56</f>
        <v>29961.8</v>
      </c>
      <c r="I442" s="226">
        <f>'прил10 (ведом 24-25)'!N56</f>
        <v>35000</v>
      </c>
    </row>
    <row r="443" spans="1:9" ht="18" x14ac:dyDescent="0.35">
      <c r="A443" s="342"/>
      <c r="B443" s="514"/>
      <c r="C443" s="217"/>
      <c r="D443" s="218"/>
      <c r="E443" s="218"/>
      <c r="F443" s="219"/>
      <c r="G443" s="28"/>
      <c r="H443" s="226"/>
      <c r="I443" s="226"/>
    </row>
    <row r="444" spans="1:9" s="352" customFormat="1" ht="17.399999999999999" x14ac:dyDescent="0.3">
      <c r="A444" s="40">
        <v>19</v>
      </c>
      <c r="B444" s="564" t="s">
        <v>362</v>
      </c>
      <c r="C444" s="401"/>
      <c r="D444" s="402"/>
      <c r="E444" s="402"/>
      <c r="F444" s="403"/>
      <c r="G444" s="158"/>
      <c r="H444" s="263">
        <f>H445</f>
        <v>34788</v>
      </c>
      <c r="I444" s="263">
        <f>I445</f>
        <v>45416</v>
      </c>
    </row>
    <row r="445" spans="1:9" ht="18" x14ac:dyDescent="0.35">
      <c r="A445" s="38"/>
      <c r="B445" s="522" t="s">
        <v>362</v>
      </c>
      <c r="C445" s="217"/>
      <c r="D445" s="218"/>
      <c r="E445" s="218"/>
      <c r="F445" s="219"/>
      <c r="G445" s="28"/>
      <c r="H445" s="404">
        <f>'прил10 (ведом 24-25)'!M593</f>
        <v>34788</v>
      </c>
      <c r="I445" s="404">
        <f>'прил10 (ведом 24-25)'!N593</f>
        <v>45416</v>
      </c>
    </row>
    <row r="446" spans="1:9" ht="18" x14ac:dyDescent="0.35">
      <c r="A446" s="77"/>
      <c r="B446" s="405"/>
      <c r="C446" s="83"/>
      <c r="D446" s="83"/>
      <c r="E446" s="83"/>
      <c r="F446" s="83"/>
      <c r="G446" s="83"/>
      <c r="H446" s="406"/>
      <c r="I446" s="406"/>
    </row>
    <row r="447" spans="1:9" ht="18" x14ac:dyDescent="0.35">
      <c r="A447" s="77"/>
      <c r="B447" s="405"/>
      <c r="C447" s="83"/>
      <c r="D447" s="83"/>
      <c r="E447" s="83"/>
      <c r="F447" s="83"/>
      <c r="G447" s="83"/>
      <c r="H447" s="406"/>
      <c r="I447" s="406"/>
    </row>
    <row r="448" spans="1:9" ht="17.399999999999999" x14ac:dyDescent="0.3">
      <c r="A448" s="338"/>
      <c r="B448" s="42"/>
      <c r="C448" s="43"/>
      <c r="D448" s="43"/>
      <c r="E448" s="43"/>
      <c r="F448" s="43"/>
      <c r="G448" s="44"/>
    </row>
    <row r="449" spans="1:9" ht="18" x14ac:dyDescent="0.35">
      <c r="A449" s="41" t="s">
        <v>375</v>
      </c>
      <c r="B449" s="42"/>
      <c r="C449" s="43"/>
      <c r="D449" s="43"/>
      <c r="E449" s="43"/>
      <c r="F449" s="43"/>
      <c r="G449" s="44"/>
    </row>
    <row r="450" spans="1:9" ht="18" x14ac:dyDescent="0.35">
      <c r="A450" s="41" t="s">
        <v>376</v>
      </c>
      <c r="B450" s="42"/>
      <c r="C450" s="43"/>
      <c r="D450" s="43"/>
      <c r="E450" s="43"/>
      <c r="F450" s="43"/>
      <c r="G450" s="44"/>
    </row>
    <row r="451" spans="1:9" ht="18" x14ac:dyDescent="0.35">
      <c r="A451" s="47" t="s">
        <v>377</v>
      </c>
      <c r="B451" s="42"/>
      <c r="C451" s="46"/>
      <c r="D451" s="43"/>
      <c r="E451" s="43"/>
      <c r="F451" s="43"/>
      <c r="G451" s="46"/>
      <c r="H451" s="46"/>
      <c r="I451" s="48" t="s">
        <v>388</v>
      </c>
    </row>
    <row r="452" spans="1:9" x14ac:dyDescent="0.3">
      <c r="A452" s="338"/>
      <c r="B452" s="42"/>
      <c r="C452" s="43"/>
      <c r="D452" s="43"/>
      <c r="E452" s="43"/>
      <c r="F452" s="43"/>
    </row>
    <row r="453" spans="1:9" x14ac:dyDescent="0.3">
      <c r="A453" s="338"/>
      <c r="B453" s="42"/>
      <c r="C453" s="43"/>
      <c r="D453" s="43"/>
      <c r="E453" s="43"/>
      <c r="F453" s="43"/>
    </row>
    <row r="454" spans="1:9" x14ac:dyDescent="0.3">
      <c r="A454" s="338"/>
      <c r="B454" s="42"/>
      <c r="C454" s="43"/>
      <c r="D454" s="43"/>
      <c r="E454" s="43"/>
      <c r="F454" s="43"/>
    </row>
    <row r="455" spans="1:9" ht="17.399999999999999" x14ac:dyDescent="0.3">
      <c r="A455" s="338"/>
      <c r="B455" s="42"/>
      <c r="C455" s="43"/>
      <c r="D455" s="43"/>
      <c r="E455" s="43"/>
      <c r="F455" s="43"/>
      <c r="G455" s="44"/>
    </row>
    <row r="456" spans="1:9" hidden="1" x14ac:dyDescent="0.3">
      <c r="A456" s="336">
        <v>1</v>
      </c>
      <c r="B456" s="408" t="s">
        <v>237</v>
      </c>
      <c r="H456" s="337">
        <f>H379+H351+H342+H295+H271+H252+H227+H204+H166+H125+H15+H373+H357+H367+H426</f>
        <v>1811451.1999999997</v>
      </c>
      <c r="I456" s="337">
        <f>I379+I351+I342+I295+I271+I252+I227+I204+I166+I125+I15+I373+I357+I367+I426</f>
        <v>1799215.6</v>
      </c>
    </row>
    <row r="457" spans="1:9" hidden="1" x14ac:dyDescent="0.3"/>
    <row r="458" spans="1:9" hidden="1" x14ac:dyDescent="0.3">
      <c r="H458" s="337">
        <f>(H456/H14)*100</f>
        <v>92.806386521987605</v>
      </c>
      <c r="I458" s="337">
        <f>(I456/I14)*100</f>
        <v>95.105045180583573</v>
      </c>
    </row>
    <row r="459" spans="1:9" hidden="1" x14ac:dyDescent="0.3">
      <c r="H459" s="337"/>
      <c r="I459" s="337"/>
    </row>
    <row r="460" spans="1:9" hidden="1" x14ac:dyDescent="0.3">
      <c r="A460" s="336">
        <v>1</v>
      </c>
      <c r="B460" s="408" t="s">
        <v>238</v>
      </c>
      <c r="H460" s="337">
        <f>H439+H432</f>
        <v>36376</v>
      </c>
      <c r="I460" s="337">
        <f>I439+I432</f>
        <v>41414.300000000003</v>
      </c>
    </row>
    <row r="461" spans="1:9" hidden="1" x14ac:dyDescent="0.3">
      <c r="H461" s="337">
        <f>(H460/H465)*100</f>
        <v>1.9322057954275524</v>
      </c>
      <c r="I461" s="337">
        <f>(I460/I465)*100</f>
        <v>2.195826729349482</v>
      </c>
    </row>
    <row r="462" spans="1:9" hidden="1" x14ac:dyDescent="0.3">
      <c r="H462" s="337"/>
      <c r="I462" s="337"/>
    </row>
    <row r="463" spans="1:9" hidden="1" x14ac:dyDescent="0.3">
      <c r="B463" s="408" t="s">
        <v>364</v>
      </c>
      <c r="H463" s="337">
        <f>H444</f>
        <v>34788</v>
      </c>
      <c r="I463" s="337">
        <f>I444</f>
        <v>45416</v>
      </c>
    </row>
    <row r="464" spans="1:9" hidden="1" x14ac:dyDescent="0.3">
      <c r="H464" s="337">
        <f>(H463/H465)*100</f>
        <v>1.8478550475954942</v>
      </c>
      <c r="I464" s="337">
        <f>(I463/I465)*100</f>
        <v>2.4080007808929782</v>
      </c>
    </row>
    <row r="465" spans="2:9" hidden="1" x14ac:dyDescent="0.3">
      <c r="B465" s="408" t="s">
        <v>202</v>
      </c>
      <c r="H465" s="337">
        <f>H460+H456+H463</f>
        <v>1882615.1999999997</v>
      </c>
      <c r="I465" s="337">
        <f>I460+I456+I463</f>
        <v>1886045.9000000001</v>
      </c>
    </row>
  </sheetData>
  <autoFilter ref="A1:I465"/>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1:P952"/>
  <sheetViews>
    <sheetView zoomScale="80" zoomScaleNormal="80" workbookViewId="0">
      <selection activeCell="R11" sqref="R11"/>
    </sheetView>
  </sheetViews>
  <sheetFormatPr defaultColWidth="8.88671875" defaultRowHeight="14.4" x14ac:dyDescent="0.3"/>
  <cols>
    <col min="1" max="1" width="4.6640625" style="1" customWidth="1"/>
    <col min="2" max="2" width="54.44140625" style="509"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6.6640625" style="1" customWidth="1"/>
    <col min="13" max="13" width="14.332031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M1" s="163" t="s">
        <v>516</v>
      </c>
    </row>
    <row r="2" spans="1:14" ht="18" customHeight="1" x14ac:dyDescent="0.35">
      <c r="M2" s="163" t="s">
        <v>752</v>
      </c>
    </row>
    <row r="3" spans="1:14" ht="18" customHeight="1" x14ac:dyDescent="0.35">
      <c r="M3" s="163"/>
    </row>
    <row r="4" spans="1:14" s="35" customFormat="1" ht="19.95" customHeight="1" x14ac:dyDescent="0.35">
      <c r="M4" s="635" t="s">
        <v>518</v>
      </c>
    </row>
    <row r="5" spans="1:14" s="35" customFormat="1" ht="18.75" customHeight="1" x14ac:dyDescent="0.35">
      <c r="M5" s="635" t="s">
        <v>669</v>
      </c>
    </row>
    <row r="6" spans="1:14" ht="14.4" customHeight="1" x14ac:dyDescent="0.3"/>
    <row r="7" spans="1:14" ht="14.4" customHeight="1" x14ac:dyDescent="0.3"/>
    <row r="8" spans="1:14" ht="17.399999999999999" customHeight="1" x14ac:dyDescent="0.3">
      <c r="A8" s="731" t="s">
        <v>598</v>
      </c>
      <c r="B8" s="731"/>
      <c r="C8" s="731"/>
      <c r="D8" s="731"/>
      <c r="E8" s="731"/>
      <c r="F8" s="731"/>
      <c r="G8" s="731"/>
      <c r="H8" s="731"/>
      <c r="I8" s="731"/>
      <c r="J8" s="731"/>
      <c r="K8" s="731"/>
      <c r="L8" s="731"/>
      <c r="M8" s="731"/>
    </row>
    <row r="9" spans="1:14" ht="17.399999999999999" customHeight="1" x14ac:dyDescent="0.3">
      <c r="A9" s="695"/>
      <c r="B9" s="510"/>
      <c r="C9" s="695"/>
      <c r="D9" s="695"/>
      <c r="E9" s="695"/>
      <c r="F9" s="695"/>
      <c r="G9" s="695"/>
      <c r="H9" s="695"/>
      <c r="I9" s="695"/>
      <c r="J9" s="695"/>
      <c r="K9" s="695"/>
      <c r="L9" s="695"/>
    </row>
    <row r="10" spans="1:14" ht="18" customHeight="1" x14ac:dyDescent="0.35">
      <c r="A10" s="2"/>
      <c r="B10" s="3"/>
      <c r="C10" s="4"/>
      <c r="D10" s="4"/>
      <c r="E10" s="4"/>
      <c r="F10" s="4"/>
      <c r="G10" s="2"/>
      <c r="H10" s="5"/>
      <c r="I10" s="6"/>
      <c r="J10" s="7"/>
      <c r="K10" s="7"/>
      <c r="L10" s="7"/>
      <c r="M10" s="478" t="s">
        <v>22</v>
      </c>
    </row>
    <row r="11" spans="1:14" ht="18" customHeight="1" x14ac:dyDescent="0.3">
      <c r="A11" s="735" t="s">
        <v>23</v>
      </c>
      <c r="B11" s="737" t="s">
        <v>24</v>
      </c>
      <c r="C11" s="739" t="s">
        <v>25</v>
      </c>
      <c r="D11" s="739" t="s">
        <v>26</v>
      </c>
      <c r="E11" s="739" t="s">
        <v>27</v>
      </c>
      <c r="F11" s="741" t="s">
        <v>28</v>
      </c>
      <c r="G11" s="742"/>
      <c r="H11" s="742"/>
      <c r="I11" s="743"/>
      <c r="J11" s="739" t="s">
        <v>29</v>
      </c>
      <c r="K11" s="747" t="s">
        <v>666</v>
      </c>
      <c r="L11" s="749" t="s">
        <v>460</v>
      </c>
      <c r="M11" s="750"/>
    </row>
    <row r="12" spans="1:14" ht="34.799999999999997" customHeight="1" x14ac:dyDescent="0.35">
      <c r="A12" s="736"/>
      <c r="B12" s="738"/>
      <c r="C12" s="740"/>
      <c r="D12" s="740"/>
      <c r="E12" s="740"/>
      <c r="F12" s="744"/>
      <c r="G12" s="745"/>
      <c r="H12" s="745"/>
      <c r="I12" s="746"/>
      <c r="J12" s="740"/>
      <c r="K12" s="748"/>
      <c r="L12" s="668" t="s">
        <v>667</v>
      </c>
      <c r="M12" s="669" t="s">
        <v>668</v>
      </c>
    </row>
    <row r="13" spans="1:14" ht="18" customHeight="1" x14ac:dyDescent="0.35">
      <c r="A13" s="8">
        <v>1</v>
      </c>
      <c r="B13" s="9">
        <v>2</v>
      </c>
      <c r="C13" s="10" t="s">
        <v>30</v>
      </c>
      <c r="D13" s="10" t="s">
        <v>31</v>
      </c>
      <c r="E13" s="10" t="s">
        <v>32</v>
      </c>
      <c r="F13" s="732" t="s">
        <v>33</v>
      </c>
      <c r="G13" s="733"/>
      <c r="H13" s="733"/>
      <c r="I13" s="734"/>
      <c r="J13" s="10" t="s">
        <v>34</v>
      </c>
      <c r="K13" s="10"/>
      <c r="L13" s="10" t="s">
        <v>482</v>
      </c>
      <c r="M13" s="31">
        <v>9</v>
      </c>
    </row>
    <row r="14" spans="1:14" ht="18" customHeight="1" x14ac:dyDescent="0.3">
      <c r="A14" s="11">
        <v>1</v>
      </c>
      <c r="B14" s="12" t="s">
        <v>202</v>
      </c>
      <c r="C14" s="13"/>
      <c r="D14" s="14"/>
      <c r="E14" s="14"/>
      <c r="F14" s="15"/>
      <c r="G14" s="16"/>
      <c r="H14" s="16"/>
      <c r="I14" s="17"/>
      <c r="J14" s="14"/>
      <c r="K14" s="265" t="e">
        <f>K15+K254+K297+K315+K612+K694+K768+K802+K426</f>
        <v>#REF!</v>
      </c>
      <c r="L14" s="265">
        <f>L15+L254+L297+L315+L612+L694+L768+L802+L426</f>
        <v>49811.6</v>
      </c>
      <c r="M14" s="265">
        <f>M15+M254+M297+M315+M612+M694+M768+M802+M426</f>
        <v>2612020.7719000001</v>
      </c>
      <c r="N14" s="214"/>
    </row>
    <row r="15" spans="1:14" s="125" customFormat="1" ht="34.950000000000003" customHeight="1" x14ac:dyDescent="0.3">
      <c r="A15" s="120">
        <v>1</v>
      </c>
      <c r="B15" s="565" t="s">
        <v>0</v>
      </c>
      <c r="C15" s="18" t="s">
        <v>1</v>
      </c>
      <c r="D15" s="19"/>
      <c r="E15" s="19"/>
      <c r="F15" s="20"/>
      <c r="G15" s="21"/>
      <c r="H15" s="21"/>
      <c r="I15" s="22"/>
      <c r="J15" s="19"/>
      <c r="K15" s="32">
        <f>K16+K94+K131+K178+K202+K195+K221</f>
        <v>357236.22060000006</v>
      </c>
      <c r="L15" s="32">
        <f>L16+L94+L131+L178+L202+L195+L221</f>
        <v>20929.7</v>
      </c>
      <c r="M15" s="32">
        <f>M16+M94+M131+M178+M202+M195+M221</f>
        <v>378165.92060000001</v>
      </c>
    </row>
    <row r="16" spans="1:14" s="126" customFormat="1" ht="18" customHeight="1" x14ac:dyDescent="0.35">
      <c r="A16" s="11"/>
      <c r="B16" s="518" t="s">
        <v>36</v>
      </c>
      <c r="C16" s="23" t="s">
        <v>1</v>
      </c>
      <c r="D16" s="10" t="s">
        <v>37</v>
      </c>
      <c r="E16" s="10"/>
      <c r="F16" s="696"/>
      <c r="G16" s="697"/>
      <c r="H16" s="697"/>
      <c r="I16" s="698"/>
      <c r="J16" s="10"/>
      <c r="K16" s="24">
        <f>K17+K23+K51+K56+K45</f>
        <v>151604.05700000003</v>
      </c>
      <c r="L16" s="24">
        <f>L17+L23+L51+L56+L45</f>
        <v>20163.5</v>
      </c>
      <c r="M16" s="24">
        <f>M17+M23+M51+M56+M45</f>
        <v>171767.55700000003</v>
      </c>
    </row>
    <row r="17" spans="1:15" s="121" customFormat="1" ht="54" customHeight="1" x14ac:dyDescent="0.35">
      <c r="A17" s="11"/>
      <c r="B17" s="518" t="s">
        <v>38</v>
      </c>
      <c r="C17" s="23" t="s">
        <v>1</v>
      </c>
      <c r="D17" s="10" t="s">
        <v>37</v>
      </c>
      <c r="E17" s="10" t="s">
        <v>39</v>
      </c>
      <c r="F17" s="696"/>
      <c r="G17" s="697"/>
      <c r="H17" s="697"/>
      <c r="I17" s="698"/>
      <c r="J17" s="10"/>
      <c r="K17" s="24">
        <f t="shared" ref="K17:M20" si="0">K18</f>
        <v>2536.8000000000002</v>
      </c>
      <c r="L17" s="24">
        <f t="shared" si="0"/>
        <v>0</v>
      </c>
      <c r="M17" s="24">
        <f t="shared" si="0"/>
        <v>2536.8000000000002</v>
      </c>
      <c r="O17" s="121" t="s">
        <v>443</v>
      </c>
    </row>
    <row r="18" spans="1:15" s="121" customFormat="1" ht="54" customHeight="1" x14ac:dyDescent="0.35">
      <c r="A18" s="11"/>
      <c r="B18" s="518" t="s">
        <v>40</v>
      </c>
      <c r="C18" s="23" t="s">
        <v>1</v>
      </c>
      <c r="D18" s="10" t="s">
        <v>37</v>
      </c>
      <c r="E18" s="10" t="s">
        <v>39</v>
      </c>
      <c r="F18" s="696" t="s">
        <v>41</v>
      </c>
      <c r="G18" s="697" t="s">
        <v>42</v>
      </c>
      <c r="H18" s="697" t="s">
        <v>43</v>
      </c>
      <c r="I18" s="698" t="s">
        <v>44</v>
      </c>
      <c r="J18" s="10"/>
      <c r="K18" s="24">
        <f t="shared" si="0"/>
        <v>2536.8000000000002</v>
      </c>
      <c r="L18" s="24">
        <f t="shared" si="0"/>
        <v>0</v>
      </c>
      <c r="M18" s="24">
        <f t="shared" si="0"/>
        <v>2536.8000000000002</v>
      </c>
    </row>
    <row r="19" spans="1:15" s="121" customFormat="1" ht="36" customHeight="1" x14ac:dyDescent="0.35">
      <c r="A19" s="11"/>
      <c r="B19" s="518" t="s">
        <v>339</v>
      </c>
      <c r="C19" s="23" t="s">
        <v>1</v>
      </c>
      <c r="D19" s="10" t="s">
        <v>37</v>
      </c>
      <c r="E19" s="10" t="s">
        <v>39</v>
      </c>
      <c r="F19" s="696" t="s">
        <v>41</v>
      </c>
      <c r="G19" s="697" t="s">
        <v>45</v>
      </c>
      <c r="H19" s="697" t="s">
        <v>43</v>
      </c>
      <c r="I19" s="698" t="s">
        <v>44</v>
      </c>
      <c r="J19" s="10"/>
      <c r="K19" s="24">
        <f t="shared" si="0"/>
        <v>2536.8000000000002</v>
      </c>
      <c r="L19" s="24">
        <f t="shared" si="0"/>
        <v>0</v>
      </c>
      <c r="M19" s="24">
        <f t="shared" si="0"/>
        <v>2536.8000000000002</v>
      </c>
    </row>
    <row r="20" spans="1:15" s="121" customFormat="1" ht="54" customHeight="1" x14ac:dyDescent="0.35">
      <c r="A20" s="11"/>
      <c r="B20" s="518" t="s">
        <v>46</v>
      </c>
      <c r="C20" s="23" t="s">
        <v>1</v>
      </c>
      <c r="D20" s="10" t="s">
        <v>37</v>
      </c>
      <c r="E20" s="10" t="s">
        <v>39</v>
      </c>
      <c r="F20" s="696" t="s">
        <v>41</v>
      </c>
      <c r="G20" s="697" t="s">
        <v>45</v>
      </c>
      <c r="H20" s="697" t="s">
        <v>37</v>
      </c>
      <c r="I20" s="698" t="s">
        <v>44</v>
      </c>
      <c r="J20" s="10"/>
      <c r="K20" s="24">
        <f t="shared" si="0"/>
        <v>2536.8000000000002</v>
      </c>
      <c r="L20" s="24">
        <f t="shared" si="0"/>
        <v>0</v>
      </c>
      <c r="M20" s="24">
        <f t="shared" si="0"/>
        <v>2536.8000000000002</v>
      </c>
    </row>
    <row r="21" spans="1:15" s="121" customFormat="1" ht="36" customHeight="1" x14ac:dyDescent="0.35">
      <c r="A21" s="11"/>
      <c r="B21" s="518" t="s">
        <v>47</v>
      </c>
      <c r="C21" s="23" t="s">
        <v>1</v>
      </c>
      <c r="D21" s="10" t="s">
        <v>37</v>
      </c>
      <c r="E21" s="10" t="s">
        <v>39</v>
      </c>
      <c r="F21" s="696" t="s">
        <v>41</v>
      </c>
      <c r="G21" s="697" t="s">
        <v>45</v>
      </c>
      <c r="H21" s="697" t="s">
        <v>37</v>
      </c>
      <c r="I21" s="698" t="s">
        <v>48</v>
      </c>
      <c r="J21" s="10"/>
      <c r="K21" s="24">
        <f>K22</f>
        <v>2536.8000000000002</v>
      </c>
      <c r="L21" s="24">
        <f>L22</f>
        <v>0</v>
      </c>
      <c r="M21" s="24">
        <f>M22</f>
        <v>2536.8000000000002</v>
      </c>
    </row>
    <row r="22" spans="1:15" s="121" customFormat="1" ht="108" customHeight="1" x14ac:dyDescent="0.35">
      <c r="A22" s="11"/>
      <c r="B22" s="518" t="s">
        <v>49</v>
      </c>
      <c r="C22" s="23" t="s">
        <v>1</v>
      </c>
      <c r="D22" s="10" t="s">
        <v>37</v>
      </c>
      <c r="E22" s="10" t="s">
        <v>39</v>
      </c>
      <c r="F22" s="696" t="s">
        <v>41</v>
      </c>
      <c r="G22" s="697" t="s">
        <v>45</v>
      </c>
      <c r="H22" s="697" t="s">
        <v>37</v>
      </c>
      <c r="I22" s="698" t="s">
        <v>48</v>
      </c>
      <c r="J22" s="10" t="s">
        <v>50</v>
      </c>
      <c r="K22" s="24">
        <f>2536.8</f>
        <v>2536.8000000000002</v>
      </c>
      <c r="L22" s="24">
        <f>M22-K22</f>
        <v>0</v>
      </c>
      <c r="M22" s="24">
        <f>2536.8</f>
        <v>2536.8000000000002</v>
      </c>
    </row>
    <row r="23" spans="1:15" s="126" customFormat="1" ht="86.25" customHeight="1" x14ac:dyDescent="0.35">
      <c r="A23" s="11"/>
      <c r="B23" s="518" t="s">
        <v>51</v>
      </c>
      <c r="C23" s="23" t="s">
        <v>1</v>
      </c>
      <c r="D23" s="10" t="s">
        <v>37</v>
      </c>
      <c r="E23" s="10" t="s">
        <v>52</v>
      </c>
      <c r="F23" s="696"/>
      <c r="G23" s="697"/>
      <c r="H23" s="697"/>
      <c r="I23" s="698"/>
      <c r="J23" s="10"/>
      <c r="K23" s="24">
        <f t="shared" ref="K23:M24" si="1">K24</f>
        <v>65566.784000000014</v>
      </c>
      <c r="L23" s="24">
        <f t="shared" si="1"/>
        <v>15758.5</v>
      </c>
      <c r="M23" s="24">
        <f t="shared" si="1"/>
        <v>81325.284000000014</v>
      </c>
    </row>
    <row r="24" spans="1:15" s="126" customFormat="1" ht="54" customHeight="1" x14ac:dyDescent="0.35">
      <c r="A24" s="11"/>
      <c r="B24" s="518" t="s">
        <v>53</v>
      </c>
      <c r="C24" s="23" t="s">
        <v>1</v>
      </c>
      <c r="D24" s="10" t="s">
        <v>37</v>
      </c>
      <c r="E24" s="10" t="s">
        <v>52</v>
      </c>
      <c r="F24" s="696" t="s">
        <v>41</v>
      </c>
      <c r="G24" s="697" t="s">
        <v>42</v>
      </c>
      <c r="H24" s="697" t="s">
        <v>43</v>
      </c>
      <c r="I24" s="698" t="s">
        <v>44</v>
      </c>
      <c r="J24" s="10"/>
      <c r="K24" s="24">
        <f t="shared" si="1"/>
        <v>65566.784000000014</v>
      </c>
      <c r="L24" s="24">
        <f t="shared" si="1"/>
        <v>15758.5</v>
      </c>
      <c r="M24" s="24">
        <f t="shared" si="1"/>
        <v>81325.284000000014</v>
      </c>
    </row>
    <row r="25" spans="1:15" s="7" customFormat="1" ht="36" customHeight="1" x14ac:dyDescent="0.35">
      <c r="A25" s="11"/>
      <c r="B25" s="518" t="s">
        <v>339</v>
      </c>
      <c r="C25" s="23" t="s">
        <v>1</v>
      </c>
      <c r="D25" s="10" t="s">
        <v>37</v>
      </c>
      <c r="E25" s="10" t="s">
        <v>52</v>
      </c>
      <c r="F25" s="696" t="s">
        <v>41</v>
      </c>
      <c r="G25" s="697" t="s">
        <v>45</v>
      </c>
      <c r="H25" s="697" t="s">
        <v>43</v>
      </c>
      <c r="I25" s="698" t="s">
        <v>44</v>
      </c>
      <c r="J25" s="10"/>
      <c r="K25" s="24">
        <f>K26+K42</f>
        <v>65566.784000000014</v>
      </c>
      <c r="L25" s="24">
        <f>L26+L42</f>
        <v>15758.5</v>
      </c>
      <c r="M25" s="24">
        <f>M26+M42</f>
        <v>81325.284000000014</v>
      </c>
    </row>
    <row r="26" spans="1:15" s="7" customFormat="1" ht="36" customHeight="1" x14ac:dyDescent="0.35">
      <c r="A26" s="11"/>
      <c r="B26" s="518" t="s">
        <v>54</v>
      </c>
      <c r="C26" s="23" t="s">
        <v>1</v>
      </c>
      <c r="D26" s="10" t="s">
        <v>37</v>
      </c>
      <c r="E26" s="10" t="s">
        <v>52</v>
      </c>
      <c r="F26" s="696" t="s">
        <v>41</v>
      </c>
      <c r="G26" s="697" t="s">
        <v>45</v>
      </c>
      <c r="H26" s="697" t="s">
        <v>39</v>
      </c>
      <c r="I26" s="698" t="s">
        <v>44</v>
      </c>
      <c r="J26" s="10"/>
      <c r="K26" s="24">
        <f>K27+K34+K36+K32+K39</f>
        <v>65562.284000000014</v>
      </c>
      <c r="L26" s="24">
        <f>L27+L34+L36+L32+L39</f>
        <v>15758.5</v>
      </c>
      <c r="M26" s="24">
        <f>M27+M34+M36+M32+M39</f>
        <v>81320.784000000014</v>
      </c>
    </row>
    <row r="27" spans="1:15" s="121" customFormat="1" ht="36" customHeight="1" x14ac:dyDescent="0.35">
      <c r="A27" s="11"/>
      <c r="B27" s="518" t="s">
        <v>47</v>
      </c>
      <c r="C27" s="23" t="s">
        <v>1</v>
      </c>
      <c r="D27" s="10" t="s">
        <v>37</v>
      </c>
      <c r="E27" s="10" t="s">
        <v>52</v>
      </c>
      <c r="F27" s="696" t="s">
        <v>41</v>
      </c>
      <c r="G27" s="697" t="s">
        <v>45</v>
      </c>
      <c r="H27" s="697" t="s">
        <v>39</v>
      </c>
      <c r="I27" s="698" t="s">
        <v>48</v>
      </c>
      <c r="J27" s="10"/>
      <c r="K27" s="24">
        <f>K28+K29+K30+K31</f>
        <v>60079.884000000013</v>
      </c>
      <c r="L27" s="24">
        <f>L28+L29+L30+L31</f>
        <v>15758.5</v>
      </c>
      <c r="M27" s="24">
        <f>M28+M29+M30+M31</f>
        <v>75838.384000000005</v>
      </c>
    </row>
    <row r="28" spans="1:15" s="121" customFormat="1" ht="108" customHeight="1" x14ac:dyDescent="0.35">
      <c r="A28" s="11"/>
      <c r="B28" s="518" t="s">
        <v>49</v>
      </c>
      <c r="C28" s="23" t="s">
        <v>1</v>
      </c>
      <c r="D28" s="10" t="s">
        <v>37</v>
      </c>
      <c r="E28" s="10" t="s">
        <v>52</v>
      </c>
      <c r="F28" s="696" t="s">
        <v>41</v>
      </c>
      <c r="G28" s="697" t="s">
        <v>45</v>
      </c>
      <c r="H28" s="697" t="s">
        <v>39</v>
      </c>
      <c r="I28" s="698" t="s">
        <v>48</v>
      </c>
      <c r="J28" s="10" t="s">
        <v>50</v>
      </c>
      <c r="K28" s="24">
        <f>74010+661.8-9.68736-2500+2500-15758.5</f>
        <v>58903.612640000007</v>
      </c>
      <c r="L28" s="24">
        <f>M28-K28</f>
        <v>15758.5</v>
      </c>
      <c r="M28" s="24">
        <f>74010+661.8-9.68736-2500+2500-15758.5+15758.5</f>
        <v>74662.112640000007</v>
      </c>
      <c r="N28" s="126"/>
    </row>
    <row r="29" spans="1:15" s="7" customFormat="1" ht="54" customHeight="1" x14ac:dyDescent="0.35">
      <c r="A29" s="11"/>
      <c r="B29" s="518" t="s">
        <v>55</v>
      </c>
      <c r="C29" s="23" t="s">
        <v>1</v>
      </c>
      <c r="D29" s="10" t="s">
        <v>37</v>
      </c>
      <c r="E29" s="10" t="s">
        <v>52</v>
      </c>
      <c r="F29" s="696" t="s">
        <v>41</v>
      </c>
      <c r="G29" s="697" t="s">
        <v>45</v>
      </c>
      <c r="H29" s="697" t="s">
        <v>39</v>
      </c>
      <c r="I29" s="698" t="s">
        <v>48</v>
      </c>
      <c r="J29" s="10" t="s">
        <v>56</v>
      </c>
      <c r="K29" s="24">
        <f>1054.6+40.484</f>
        <v>1095.0839999999998</v>
      </c>
      <c r="L29" s="24">
        <f>M29-K29</f>
        <v>0</v>
      </c>
      <c r="M29" s="24">
        <f>1054.6+40.484</f>
        <v>1095.0839999999998</v>
      </c>
    </row>
    <row r="30" spans="1:15" s="7" customFormat="1" ht="36" x14ac:dyDescent="0.35">
      <c r="A30" s="11"/>
      <c r="B30" s="525" t="s">
        <v>120</v>
      </c>
      <c r="C30" s="23" t="s">
        <v>1</v>
      </c>
      <c r="D30" s="10" t="s">
        <v>37</v>
      </c>
      <c r="E30" s="10" t="s">
        <v>52</v>
      </c>
      <c r="F30" s="696" t="s">
        <v>41</v>
      </c>
      <c r="G30" s="697" t="s">
        <v>45</v>
      </c>
      <c r="H30" s="697" t="s">
        <v>39</v>
      </c>
      <c r="I30" s="698" t="s">
        <v>48</v>
      </c>
      <c r="J30" s="10" t="s">
        <v>121</v>
      </c>
      <c r="K30" s="24">
        <v>9.68736</v>
      </c>
      <c r="L30" s="24">
        <f>M30-K30</f>
        <v>0</v>
      </c>
      <c r="M30" s="24">
        <v>9.68736</v>
      </c>
    </row>
    <row r="31" spans="1:15" s="121" customFormat="1" ht="18" customHeight="1" x14ac:dyDescent="0.35">
      <c r="A31" s="11"/>
      <c r="B31" s="518" t="s">
        <v>57</v>
      </c>
      <c r="C31" s="23" t="s">
        <v>1</v>
      </c>
      <c r="D31" s="10" t="s">
        <v>37</v>
      </c>
      <c r="E31" s="10" t="s">
        <v>52</v>
      </c>
      <c r="F31" s="696" t="s">
        <v>41</v>
      </c>
      <c r="G31" s="697" t="s">
        <v>45</v>
      </c>
      <c r="H31" s="697" t="s">
        <v>39</v>
      </c>
      <c r="I31" s="698" t="s">
        <v>48</v>
      </c>
      <c r="J31" s="10" t="s">
        <v>58</v>
      </c>
      <c r="K31" s="24">
        <f>32.7+38.8</f>
        <v>71.5</v>
      </c>
      <c r="L31" s="24">
        <f>M31-K31</f>
        <v>0</v>
      </c>
      <c r="M31" s="24">
        <f>32.7+38.8</f>
        <v>71.5</v>
      </c>
      <c r="N31" s="7"/>
    </row>
    <row r="32" spans="1:15" s="7" customFormat="1" ht="90" customHeight="1" x14ac:dyDescent="0.35">
      <c r="A32" s="11"/>
      <c r="B32" s="518" t="s">
        <v>445</v>
      </c>
      <c r="C32" s="23" t="s">
        <v>1</v>
      </c>
      <c r="D32" s="10" t="s">
        <v>37</v>
      </c>
      <c r="E32" s="10" t="s">
        <v>52</v>
      </c>
      <c r="F32" s="696" t="s">
        <v>41</v>
      </c>
      <c r="G32" s="697" t="s">
        <v>45</v>
      </c>
      <c r="H32" s="697" t="s">
        <v>39</v>
      </c>
      <c r="I32" s="698" t="s">
        <v>265</v>
      </c>
      <c r="J32" s="10"/>
      <c r="K32" s="24">
        <f>K33</f>
        <v>63</v>
      </c>
      <c r="L32" s="24">
        <f>L33</f>
        <v>0</v>
      </c>
      <c r="M32" s="24">
        <f>M33</f>
        <v>63</v>
      </c>
    </row>
    <row r="33" spans="1:13" s="126" customFormat="1" ht="54" customHeight="1" x14ac:dyDescent="0.35">
      <c r="A33" s="11"/>
      <c r="B33" s="518" t="s">
        <v>55</v>
      </c>
      <c r="C33" s="23" t="s">
        <v>1</v>
      </c>
      <c r="D33" s="10" t="s">
        <v>37</v>
      </c>
      <c r="E33" s="10" t="s">
        <v>52</v>
      </c>
      <c r="F33" s="696" t="s">
        <v>41</v>
      </c>
      <c r="G33" s="697" t="s">
        <v>45</v>
      </c>
      <c r="H33" s="697" t="s">
        <v>39</v>
      </c>
      <c r="I33" s="698" t="s">
        <v>265</v>
      </c>
      <c r="J33" s="10" t="s">
        <v>56</v>
      </c>
      <c r="K33" s="24">
        <v>63</v>
      </c>
      <c r="L33" s="24">
        <f>M33-K33</f>
        <v>0</v>
      </c>
      <c r="M33" s="24">
        <v>63</v>
      </c>
    </row>
    <row r="34" spans="1:13" s="126" customFormat="1" ht="198" customHeight="1" x14ac:dyDescent="0.35">
      <c r="A34" s="11"/>
      <c r="B34" s="566" t="s">
        <v>453</v>
      </c>
      <c r="C34" s="23" t="s">
        <v>1</v>
      </c>
      <c r="D34" s="10" t="s">
        <v>37</v>
      </c>
      <c r="E34" s="10" t="s">
        <v>52</v>
      </c>
      <c r="F34" s="696" t="s">
        <v>41</v>
      </c>
      <c r="G34" s="697" t="s">
        <v>45</v>
      </c>
      <c r="H34" s="697" t="s">
        <v>39</v>
      </c>
      <c r="I34" s="698" t="s">
        <v>59</v>
      </c>
      <c r="J34" s="10"/>
      <c r="K34" s="24">
        <f>K35</f>
        <v>729.8</v>
      </c>
      <c r="L34" s="24">
        <f>L35</f>
        <v>0</v>
      </c>
      <c r="M34" s="24">
        <f>M35</f>
        <v>729.8</v>
      </c>
    </row>
    <row r="35" spans="1:13" s="126" customFormat="1" ht="108" customHeight="1" x14ac:dyDescent="0.35">
      <c r="A35" s="11"/>
      <c r="B35" s="518" t="s">
        <v>49</v>
      </c>
      <c r="C35" s="23" t="s">
        <v>1</v>
      </c>
      <c r="D35" s="10" t="s">
        <v>37</v>
      </c>
      <c r="E35" s="10" t="s">
        <v>52</v>
      </c>
      <c r="F35" s="696" t="s">
        <v>41</v>
      </c>
      <c r="G35" s="697" t="s">
        <v>45</v>
      </c>
      <c r="H35" s="697" t="s">
        <v>39</v>
      </c>
      <c r="I35" s="698" t="s">
        <v>59</v>
      </c>
      <c r="J35" s="10" t="s">
        <v>50</v>
      </c>
      <c r="K35" s="24">
        <v>729.8</v>
      </c>
      <c r="L35" s="24">
        <f>M35-K35</f>
        <v>0</v>
      </c>
      <c r="M35" s="24">
        <v>729.8</v>
      </c>
    </row>
    <row r="36" spans="1:13" s="126" customFormat="1" ht="72" customHeight="1" x14ac:dyDescent="0.35">
      <c r="A36" s="11"/>
      <c r="B36" s="518" t="s">
        <v>409</v>
      </c>
      <c r="C36" s="23" t="s">
        <v>1</v>
      </c>
      <c r="D36" s="10" t="s">
        <v>37</v>
      </c>
      <c r="E36" s="10" t="s">
        <v>52</v>
      </c>
      <c r="F36" s="696" t="s">
        <v>41</v>
      </c>
      <c r="G36" s="697" t="s">
        <v>45</v>
      </c>
      <c r="H36" s="697" t="s">
        <v>39</v>
      </c>
      <c r="I36" s="698" t="s">
        <v>61</v>
      </c>
      <c r="J36" s="10"/>
      <c r="K36" s="24">
        <f>K37+K38</f>
        <v>730</v>
      </c>
      <c r="L36" s="24">
        <f>L37+L38</f>
        <v>0</v>
      </c>
      <c r="M36" s="24">
        <f>M37+M38</f>
        <v>730</v>
      </c>
    </row>
    <row r="37" spans="1:13" s="126" customFormat="1" ht="108" customHeight="1" x14ac:dyDescent="0.35">
      <c r="A37" s="11"/>
      <c r="B37" s="518" t="s">
        <v>49</v>
      </c>
      <c r="C37" s="23" t="s">
        <v>1</v>
      </c>
      <c r="D37" s="10" t="s">
        <v>37</v>
      </c>
      <c r="E37" s="10" t="s">
        <v>52</v>
      </c>
      <c r="F37" s="696" t="s">
        <v>41</v>
      </c>
      <c r="G37" s="697" t="s">
        <v>45</v>
      </c>
      <c r="H37" s="697" t="s">
        <v>39</v>
      </c>
      <c r="I37" s="698" t="s">
        <v>61</v>
      </c>
      <c r="J37" s="10" t="s">
        <v>50</v>
      </c>
      <c r="K37" s="24">
        <v>725.8</v>
      </c>
      <c r="L37" s="24">
        <f>M37-K37</f>
        <v>0</v>
      </c>
      <c r="M37" s="24">
        <v>725.8</v>
      </c>
    </row>
    <row r="38" spans="1:13" s="126" customFormat="1" ht="54" customHeight="1" x14ac:dyDescent="0.35">
      <c r="A38" s="11"/>
      <c r="B38" s="518" t="s">
        <v>55</v>
      </c>
      <c r="C38" s="23" t="s">
        <v>1</v>
      </c>
      <c r="D38" s="10" t="s">
        <v>37</v>
      </c>
      <c r="E38" s="10" t="s">
        <v>52</v>
      </c>
      <c r="F38" s="696" t="s">
        <v>41</v>
      </c>
      <c r="G38" s="697" t="s">
        <v>45</v>
      </c>
      <c r="H38" s="697" t="s">
        <v>39</v>
      </c>
      <c r="I38" s="698" t="s">
        <v>61</v>
      </c>
      <c r="J38" s="10" t="s">
        <v>56</v>
      </c>
      <c r="K38" s="24">
        <v>4.2</v>
      </c>
      <c r="L38" s="24">
        <f>M38-K38</f>
        <v>0</v>
      </c>
      <c r="M38" s="24">
        <v>4.2</v>
      </c>
    </row>
    <row r="39" spans="1:13" s="126" customFormat="1" ht="72" customHeight="1" x14ac:dyDescent="0.35">
      <c r="A39" s="11"/>
      <c r="B39" s="518" t="s">
        <v>60</v>
      </c>
      <c r="C39" s="23" t="s">
        <v>1</v>
      </c>
      <c r="D39" s="10" t="s">
        <v>37</v>
      </c>
      <c r="E39" s="10" t="s">
        <v>52</v>
      </c>
      <c r="F39" s="696" t="s">
        <v>41</v>
      </c>
      <c r="G39" s="697" t="s">
        <v>45</v>
      </c>
      <c r="H39" s="697" t="s">
        <v>39</v>
      </c>
      <c r="I39" s="698" t="s">
        <v>541</v>
      </c>
      <c r="J39" s="10"/>
      <c r="K39" s="24">
        <f>SUM(K40:K41)</f>
        <v>3959.6</v>
      </c>
      <c r="L39" s="24">
        <f>SUM(L40:L41)</f>
        <v>0</v>
      </c>
      <c r="M39" s="24">
        <f>SUM(M40:M41)</f>
        <v>3959.6</v>
      </c>
    </row>
    <row r="40" spans="1:13" s="126" customFormat="1" ht="108" customHeight="1" x14ac:dyDescent="0.35">
      <c r="A40" s="11"/>
      <c r="B40" s="518" t="s">
        <v>49</v>
      </c>
      <c r="C40" s="23" t="s">
        <v>1</v>
      </c>
      <c r="D40" s="10" t="s">
        <v>37</v>
      </c>
      <c r="E40" s="10" t="s">
        <v>52</v>
      </c>
      <c r="F40" s="696" t="s">
        <v>41</v>
      </c>
      <c r="G40" s="697" t="s">
        <v>45</v>
      </c>
      <c r="H40" s="697" t="s">
        <v>39</v>
      </c>
      <c r="I40" s="698" t="s">
        <v>541</v>
      </c>
      <c r="J40" s="10" t="s">
        <v>50</v>
      </c>
      <c r="K40" s="24">
        <v>3895.2</v>
      </c>
      <c r="L40" s="24">
        <f>M40-K40</f>
        <v>0</v>
      </c>
      <c r="M40" s="24">
        <v>3895.2</v>
      </c>
    </row>
    <row r="41" spans="1:13" s="126" customFormat="1" ht="54" customHeight="1" x14ac:dyDescent="0.35">
      <c r="A41" s="11"/>
      <c r="B41" s="518" t="s">
        <v>55</v>
      </c>
      <c r="C41" s="23" t="s">
        <v>1</v>
      </c>
      <c r="D41" s="10" t="s">
        <v>37</v>
      </c>
      <c r="E41" s="10" t="s">
        <v>52</v>
      </c>
      <c r="F41" s="696" t="s">
        <v>41</v>
      </c>
      <c r="G41" s="697" t="s">
        <v>45</v>
      </c>
      <c r="H41" s="697" t="s">
        <v>39</v>
      </c>
      <c r="I41" s="698" t="s">
        <v>541</v>
      </c>
      <c r="J41" s="10" t="s">
        <v>56</v>
      </c>
      <c r="K41" s="24">
        <v>64.400000000000006</v>
      </c>
      <c r="L41" s="24">
        <f>M41-K41</f>
        <v>0</v>
      </c>
      <c r="M41" s="24">
        <v>64.400000000000006</v>
      </c>
    </row>
    <row r="42" spans="1:13" s="7" customFormat="1" ht="18" customHeight="1" x14ac:dyDescent="0.35">
      <c r="A42" s="11"/>
      <c r="B42" s="518" t="s">
        <v>62</v>
      </c>
      <c r="C42" s="23" t="s">
        <v>1</v>
      </c>
      <c r="D42" s="10" t="s">
        <v>37</v>
      </c>
      <c r="E42" s="10" t="s">
        <v>52</v>
      </c>
      <c r="F42" s="696" t="s">
        <v>41</v>
      </c>
      <c r="G42" s="697" t="s">
        <v>45</v>
      </c>
      <c r="H42" s="697" t="s">
        <v>63</v>
      </c>
      <c r="I42" s="698" t="s">
        <v>44</v>
      </c>
      <c r="J42" s="10"/>
      <c r="K42" s="24">
        <f t="shared" ref="K42:M43" si="2">K43</f>
        <v>4.5</v>
      </c>
      <c r="L42" s="24">
        <f t="shared" si="2"/>
        <v>0</v>
      </c>
      <c r="M42" s="24">
        <f t="shared" si="2"/>
        <v>4.5</v>
      </c>
    </row>
    <row r="43" spans="1:13" s="121" customFormat="1" ht="36" customHeight="1" x14ac:dyDescent="0.35">
      <c r="A43" s="11"/>
      <c r="B43" s="518" t="s">
        <v>47</v>
      </c>
      <c r="C43" s="23" t="s">
        <v>1</v>
      </c>
      <c r="D43" s="10" t="s">
        <v>37</v>
      </c>
      <c r="E43" s="10" t="s">
        <v>52</v>
      </c>
      <c r="F43" s="696" t="s">
        <v>41</v>
      </c>
      <c r="G43" s="697" t="s">
        <v>45</v>
      </c>
      <c r="H43" s="697" t="s">
        <v>63</v>
      </c>
      <c r="I43" s="698" t="s">
        <v>48</v>
      </c>
      <c r="J43" s="10"/>
      <c r="K43" s="24">
        <f t="shared" si="2"/>
        <v>4.5</v>
      </c>
      <c r="L43" s="24">
        <f t="shared" si="2"/>
        <v>0</v>
      </c>
      <c r="M43" s="24">
        <f t="shared" si="2"/>
        <v>4.5</v>
      </c>
    </row>
    <row r="44" spans="1:13" s="7" customFormat="1" ht="54" customHeight="1" x14ac:dyDescent="0.35">
      <c r="A44" s="11"/>
      <c r="B44" s="518" t="s">
        <v>55</v>
      </c>
      <c r="C44" s="23" t="s">
        <v>1</v>
      </c>
      <c r="D44" s="10" t="s">
        <v>37</v>
      </c>
      <c r="E44" s="10" t="s">
        <v>52</v>
      </c>
      <c r="F44" s="696" t="s">
        <v>41</v>
      </c>
      <c r="G44" s="697" t="s">
        <v>45</v>
      </c>
      <c r="H44" s="697" t="s">
        <v>63</v>
      </c>
      <c r="I44" s="698" t="s">
        <v>48</v>
      </c>
      <c r="J44" s="10" t="s">
        <v>56</v>
      </c>
      <c r="K44" s="24">
        <v>4.5</v>
      </c>
      <c r="L44" s="24">
        <f>M44-K44</f>
        <v>0</v>
      </c>
      <c r="M44" s="24">
        <v>4.5</v>
      </c>
    </row>
    <row r="45" spans="1:13" s="7" customFormat="1" ht="18" customHeight="1" x14ac:dyDescent="0.35">
      <c r="A45" s="11"/>
      <c r="B45" s="518" t="s">
        <v>384</v>
      </c>
      <c r="C45" s="23" t="s">
        <v>1</v>
      </c>
      <c r="D45" s="10" t="s">
        <v>37</v>
      </c>
      <c r="E45" s="10" t="s">
        <v>65</v>
      </c>
      <c r="F45" s="696"/>
      <c r="G45" s="697"/>
      <c r="H45" s="697"/>
      <c r="I45" s="698"/>
      <c r="J45" s="10"/>
      <c r="K45" s="24">
        <f t="shared" ref="K45:M48" si="3">K46</f>
        <v>19.8</v>
      </c>
      <c r="L45" s="24">
        <f t="shared" si="3"/>
        <v>0</v>
      </c>
      <c r="M45" s="24">
        <f t="shared" si="3"/>
        <v>19.8</v>
      </c>
    </row>
    <row r="46" spans="1:13" s="7" customFormat="1" ht="54" customHeight="1" x14ac:dyDescent="0.35">
      <c r="A46" s="11"/>
      <c r="B46" s="518" t="s">
        <v>53</v>
      </c>
      <c r="C46" s="23" t="s">
        <v>1</v>
      </c>
      <c r="D46" s="10" t="s">
        <v>37</v>
      </c>
      <c r="E46" s="10" t="s">
        <v>65</v>
      </c>
      <c r="F46" s="696" t="s">
        <v>41</v>
      </c>
      <c r="G46" s="697" t="s">
        <v>42</v>
      </c>
      <c r="H46" s="697" t="s">
        <v>43</v>
      </c>
      <c r="I46" s="698" t="s">
        <v>44</v>
      </c>
      <c r="J46" s="10"/>
      <c r="K46" s="24">
        <f t="shared" si="3"/>
        <v>19.8</v>
      </c>
      <c r="L46" s="24">
        <f t="shared" si="3"/>
        <v>0</v>
      </c>
      <c r="M46" s="24">
        <f t="shared" si="3"/>
        <v>19.8</v>
      </c>
    </row>
    <row r="47" spans="1:13" s="7" customFormat="1" ht="36" customHeight="1" x14ac:dyDescent="0.35">
      <c r="A47" s="11"/>
      <c r="B47" s="518" t="s">
        <v>339</v>
      </c>
      <c r="C47" s="23" t="s">
        <v>1</v>
      </c>
      <c r="D47" s="10" t="s">
        <v>37</v>
      </c>
      <c r="E47" s="10" t="s">
        <v>65</v>
      </c>
      <c r="F47" s="696" t="s">
        <v>41</v>
      </c>
      <c r="G47" s="697" t="s">
        <v>45</v>
      </c>
      <c r="H47" s="697" t="s">
        <v>43</v>
      </c>
      <c r="I47" s="698" t="s">
        <v>44</v>
      </c>
      <c r="J47" s="10"/>
      <c r="K47" s="24">
        <f t="shared" si="3"/>
        <v>19.8</v>
      </c>
      <c r="L47" s="24">
        <f t="shared" si="3"/>
        <v>0</v>
      </c>
      <c r="M47" s="24">
        <f t="shared" si="3"/>
        <v>19.8</v>
      </c>
    </row>
    <row r="48" spans="1:13" s="7" customFormat="1" ht="36" customHeight="1" x14ac:dyDescent="0.35">
      <c r="A48" s="11"/>
      <c r="B48" s="518" t="s">
        <v>54</v>
      </c>
      <c r="C48" s="23" t="s">
        <v>1</v>
      </c>
      <c r="D48" s="10" t="s">
        <v>37</v>
      </c>
      <c r="E48" s="10" t="s">
        <v>65</v>
      </c>
      <c r="F48" s="696" t="s">
        <v>41</v>
      </c>
      <c r="G48" s="697" t="s">
        <v>45</v>
      </c>
      <c r="H48" s="697" t="s">
        <v>39</v>
      </c>
      <c r="I48" s="698" t="s">
        <v>44</v>
      </c>
      <c r="J48" s="10"/>
      <c r="K48" s="24">
        <f t="shared" si="3"/>
        <v>19.8</v>
      </c>
      <c r="L48" s="24">
        <f t="shared" si="3"/>
        <v>0</v>
      </c>
      <c r="M48" s="24">
        <f t="shared" si="3"/>
        <v>19.8</v>
      </c>
    </row>
    <row r="49" spans="1:13" s="7" customFormat="1" ht="72" customHeight="1" x14ac:dyDescent="0.35">
      <c r="A49" s="11"/>
      <c r="B49" s="518" t="s">
        <v>386</v>
      </c>
      <c r="C49" s="23" t="s">
        <v>1</v>
      </c>
      <c r="D49" s="10" t="s">
        <v>37</v>
      </c>
      <c r="E49" s="10" t="s">
        <v>65</v>
      </c>
      <c r="F49" s="696" t="s">
        <v>41</v>
      </c>
      <c r="G49" s="697" t="s">
        <v>45</v>
      </c>
      <c r="H49" s="697" t="s">
        <v>39</v>
      </c>
      <c r="I49" s="698" t="s">
        <v>385</v>
      </c>
      <c r="J49" s="10"/>
      <c r="K49" s="24">
        <f>K50</f>
        <v>19.8</v>
      </c>
      <c r="L49" s="24">
        <f>L50</f>
        <v>0</v>
      </c>
      <c r="M49" s="24">
        <f>M50</f>
        <v>19.8</v>
      </c>
    </row>
    <row r="50" spans="1:13" s="7" customFormat="1" ht="54" customHeight="1" x14ac:dyDescent="0.35">
      <c r="A50" s="11"/>
      <c r="B50" s="518" t="s">
        <v>55</v>
      </c>
      <c r="C50" s="23" t="s">
        <v>1</v>
      </c>
      <c r="D50" s="10" t="s">
        <v>37</v>
      </c>
      <c r="E50" s="10" t="s">
        <v>65</v>
      </c>
      <c r="F50" s="696" t="s">
        <v>41</v>
      </c>
      <c r="G50" s="697" t="s">
        <v>45</v>
      </c>
      <c r="H50" s="697" t="s">
        <v>39</v>
      </c>
      <c r="I50" s="698" t="s">
        <v>385</v>
      </c>
      <c r="J50" s="10" t="s">
        <v>56</v>
      </c>
      <c r="K50" s="24">
        <v>19.8</v>
      </c>
      <c r="L50" s="24">
        <f>M50-K50</f>
        <v>0</v>
      </c>
      <c r="M50" s="24">
        <v>19.8</v>
      </c>
    </row>
    <row r="51" spans="1:13" s="121" customFormat="1" ht="18" customHeight="1" x14ac:dyDescent="0.35">
      <c r="A51" s="11"/>
      <c r="B51" s="518" t="s">
        <v>66</v>
      </c>
      <c r="C51" s="23" t="s">
        <v>1</v>
      </c>
      <c r="D51" s="10" t="s">
        <v>37</v>
      </c>
      <c r="E51" s="10" t="s">
        <v>67</v>
      </c>
      <c r="F51" s="696"/>
      <c r="G51" s="697"/>
      <c r="H51" s="697"/>
      <c r="I51" s="698"/>
      <c r="J51" s="10"/>
      <c r="K51" s="24">
        <f t="shared" ref="K51:M52" si="4">K52</f>
        <v>9590.9629999999961</v>
      </c>
      <c r="L51" s="24">
        <f t="shared" si="4"/>
        <v>-1997.8000000000002</v>
      </c>
      <c r="M51" s="24">
        <f t="shared" si="4"/>
        <v>7593.1629999999959</v>
      </c>
    </row>
    <row r="52" spans="1:13" s="121" customFormat="1" ht="36" customHeight="1" x14ac:dyDescent="0.35">
      <c r="A52" s="11"/>
      <c r="B52" s="518" t="s">
        <v>447</v>
      </c>
      <c r="C52" s="23" t="s">
        <v>1</v>
      </c>
      <c r="D52" s="10" t="s">
        <v>37</v>
      </c>
      <c r="E52" s="10" t="s">
        <v>67</v>
      </c>
      <c r="F52" s="696" t="s">
        <v>68</v>
      </c>
      <c r="G52" s="697" t="s">
        <v>42</v>
      </c>
      <c r="H52" s="697" t="s">
        <v>43</v>
      </c>
      <c r="I52" s="698" t="s">
        <v>44</v>
      </c>
      <c r="J52" s="10"/>
      <c r="K52" s="24">
        <f t="shared" si="4"/>
        <v>9590.9629999999961</v>
      </c>
      <c r="L52" s="24">
        <f t="shared" si="4"/>
        <v>-1997.8000000000002</v>
      </c>
      <c r="M52" s="24">
        <f t="shared" si="4"/>
        <v>7593.1629999999959</v>
      </c>
    </row>
    <row r="53" spans="1:13" s="121" customFormat="1" ht="18" customHeight="1" x14ac:dyDescent="0.35">
      <c r="A53" s="11"/>
      <c r="B53" s="551" t="s">
        <v>448</v>
      </c>
      <c r="C53" s="23" t="s">
        <v>1</v>
      </c>
      <c r="D53" s="10" t="s">
        <v>37</v>
      </c>
      <c r="E53" s="10" t="s">
        <v>67</v>
      </c>
      <c r="F53" s="696" t="s">
        <v>68</v>
      </c>
      <c r="G53" s="697" t="s">
        <v>45</v>
      </c>
      <c r="H53" s="697" t="s">
        <v>43</v>
      </c>
      <c r="I53" s="698" t="s">
        <v>44</v>
      </c>
      <c r="J53" s="10"/>
      <c r="K53" s="24">
        <f t="shared" ref="K53:M54" si="5">K54</f>
        <v>9590.9629999999961</v>
      </c>
      <c r="L53" s="24">
        <f t="shared" si="5"/>
        <v>-1997.8000000000002</v>
      </c>
      <c r="M53" s="24">
        <f t="shared" si="5"/>
        <v>7593.1629999999959</v>
      </c>
    </row>
    <row r="54" spans="1:13" s="121" customFormat="1" ht="36" customHeight="1" x14ac:dyDescent="0.35">
      <c r="A54" s="11"/>
      <c r="B54" s="518" t="s">
        <v>446</v>
      </c>
      <c r="C54" s="23" t="s">
        <v>1</v>
      </c>
      <c r="D54" s="10" t="s">
        <v>37</v>
      </c>
      <c r="E54" s="10" t="s">
        <v>67</v>
      </c>
      <c r="F54" s="696" t="s">
        <v>68</v>
      </c>
      <c r="G54" s="697" t="s">
        <v>45</v>
      </c>
      <c r="H54" s="697" t="s">
        <v>43</v>
      </c>
      <c r="I54" s="698" t="s">
        <v>69</v>
      </c>
      <c r="J54" s="10"/>
      <c r="K54" s="24">
        <f t="shared" si="5"/>
        <v>9590.9629999999961</v>
      </c>
      <c r="L54" s="24">
        <f t="shared" si="5"/>
        <v>-1997.8000000000002</v>
      </c>
      <c r="M54" s="24">
        <f t="shared" si="5"/>
        <v>7593.1629999999959</v>
      </c>
    </row>
    <row r="55" spans="1:13" s="121" customFormat="1" ht="18" customHeight="1" x14ac:dyDescent="0.35">
      <c r="A55" s="11"/>
      <c r="B55" s="518" t="s">
        <v>57</v>
      </c>
      <c r="C55" s="23" t="s">
        <v>1</v>
      </c>
      <c r="D55" s="10" t="s">
        <v>37</v>
      </c>
      <c r="E55" s="10" t="s">
        <v>67</v>
      </c>
      <c r="F55" s="696" t="s">
        <v>68</v>
      </c>
      <c r="G55" s="697" t="s">
        <v>45</v>
      </c>
      <c r="H55" s="697" t="s">
        <v>43</v>
      </c>
      <c r="I55" s="698" t="s">
        <v>69</v>
      </c>
      <c r="J55" s="10" t="s">
        <v>58</v>
      </c>
      <c r="K55" s="24">
        <f>55921.2-357.1-600-338-280.5-596.1-619.3-661.8-39190.7+1009.1-1070.2+20816+282.1-1769.3-18635.2+0.005-63-2699+605.6-6120-280.5-88-98.8-1204.272+6712.8+0.03-649.1-435</f>
        <v>9590.9629999999961</v>
      </c>
      <c r="L55" s="24">
        <f>M55-K55</f>
        <v>-1997.8000000000002</v>
      </c>
      <c r="M55" s="24">
        <f>55921.2-357.1-600-338-280.5-596.1-619.3-661.8-39190.7+1009.1-1070.2+20816+282.1-1769.3-18635.2+0.005-63-2699+605.6-6120-280.5-88-98.8-1204.272+6712.8+0.03-649.1-435-775-1192.8-30</f>
        <v>7593.1629999999959</v>
      </c>
    </row>
    <row r="56" spans="1:13" s="121" customFormat="1" ht="18" customHeight="1" x14ac:dyDescent="0.35">
      <c r="A56" s="11"/>
      <c r="B56" s="518" t="s">
        <v>70</v>
      </c>
      <c r="C56" s="23" t="s">
        <v>1</v>
      </c>
      <c r="D56" s="10" t="s">
        <v>37</v>
      </c>
      <c r="E56" s="10" t="s">
        <v>71</v>
      </c>
      <c r="F56" s="696"/>
      <c r="G56" s="697"/>
      <c r="H56" s="697"/>
      <c r="I56" s="698"/>
      <c r="J56" s="10"/>
      <c r="K56" s="24">
        <f>K57+K67+K62+K88</f>
        <v>73889.710000000006</v>
      </c>
      <c r="L56" s="24">
        <f>L57+L67+L62+L88</f>
        <v>6402.8</v>
      </c>
      <c r="M56" s="24">
        <f>M57+M67+M62+M88</f>
        <v>80292.510000000009</v>
      </c>
    </row>
    <row r="57" spans="1:13" s="121" customFormat="1" ht="72" customHeight="1" x14ac:dyDescent="0.35">
      <c r="A57" s="11"/>
      <c r="B57" s="601" t="s">
        <v>332</v>
      </c>
      <c r="C57" s="23" t="s">
        <v>1</v>
      </c>
      <c r="D57" s="10" t="s">
        <v>37</v>
      </c>
      <c r="E57" s="10" t="s">
        <v>71</v>
      </c>
      <c r="F57" s="696" t="s">
        <v>104</v>
      </c>
      <c r="G57" s="697" t="s">
        <v>42</v>
      </c>
      <c r="H57" s="697" t="s">
        <v>43</v>
      </c>
      <c r="I57" s="698" t="s">
        <v>44</v>
      </c>
      <c r="J57" s="10"/>
      <c r="K57" s="24">
        <f t="shared" ref="K57:M60" si="6">K58</f>
        <v>92.2</v>
      </c>
      <c r="L57" s="24">
        <f t="shared" si="6"/>
        <v>0</v>
      </c>
      <c r="M57" s="24">
        <f t="shared" si="6"/>
        <v>92.2</v>
      </c>
    </row>
    <row r="58" spans="1:13" s="121" customFormat="1" ht="36" customHeight="1" x14ac:dyDescent="0.35">
      <c r="A58" s="11"/>
      <c r="B58" s="601" t="s">
        <v>481</v>
      </c>
      <c r="C58" s="23" t="s">
        <v>1</v>
      </c>
      <c r="D58" s="10" t="s">
        <v>37</v>
      </c>
      <c r="E58" s="10" t="s">
        <v>71</v>
      </c>
      <c r="F58" s="696" t="s">
        <v>104</v>
      </c>
      <c r="G58" s="697" t="s">
        <v>482</v>
      </c>
      <c r="H58" s="697" t="s">
        <v>43</v>
      </c>
      <c r="I58" s="698" t="s">
        <v>44</v>
      </c>
      <c r="J58" s="10"/>
      <c r="K58" s="24">
        <f t="shared" si="6"/>
        <v>92.2</v>
      </c>
      <c r="L58" s="24">
        <f t="shared" si="6"/>
        <v>0</v>
      </c>
      <c r="M58" s="24">
        <f t="shared" si="6"/>
        <v>92.2</v>
      </c>
    </row>
    <row r="59" spans="1:13" s="121" customFormat="1" ht="36" customHeight="1" x14ac:dyDescent="0.35">
      <c r="A59" s="11"/>
      <c r="B59" s="601" t="s">
        <v>630</v>
      </c>
      <c r="C59" s="23" t="s">
        <v>1</v>
      </c>
      <c r="D59" s="10" t="s">
        <v>37</v>
      </c>
      <c r="E59" s="10" t="s">
        <v>71</v>
      </c>
      <c r="F59" s="696" t="s">
        <v>104</v>
      </c>
      <c r="G59" s="697" t="s">
        <v>482</v>
      </c>
      <c r="H59" s="697" t="s">
        <v>37</v>
      </c>
      <c r="I59" s="698" t="s">
        <v>44</v>
      </c>
      <c r="J59" s="10"/>
      <c r="K59" s="24">
        <f t="shared" si="6"/>
        <v>92.2</v>
      </c>
      <c r="L59" s="24">
        <f t="shared" si="6"/>
        <v>0</v>
      </c>
      <c r="M59" s="24">
        <f t="shared" si="6"/>
        <v>92.2</v>
      </c>
    </row>
    <row r="60" spans="1:13" s="121" customFormat="1" ht="72" customHeight="1" x14ac:dyDescent="0.35">
      <c r="A60" s="11"/>
      <c r="B60" s="601" t="s">
        <v>631</v>
      </c>
      <c r="C60" s="23" t="s">
        <v>1</v>
      </c>
      <c r="D60" s="10" t="s">
        <v>37</v>
      </c>
      <c r="E60" s="10" t="s">
        <v>71</v>
      </c>
      <c r="F60" s="696" t="s">
        <v>104</v>
      </c>
      <c r="G60" s="697" t="s">
        <v>482</v>
      </c>
      <c r="H60" s="697" t="s">
        <v>37</v>
      </c>
      <c r="I60" s="698" t="s">
        <v>632</v>
      </c>
      <c r="J60" s="10"/>
      <c r="K60" s="24">
        <f t="shared" si="6"/>
        <v>92.2</v>
      </c>
      <c r="L60" s="24">
        <f t="shared" si="6"/>
        <v>0</v>
      </c>
      <c r="M60" s="24">
        <f t="shared" si="6"/>
        <v>92.2</v>
      </c>
    </row>
    <row r="61" spans="1:13" s="121" customFormat="1" ht="54" customHeight="1" x14ac:dyDescent="0.35">
      <c r="A61" s="11"/>
      <c r="B61" s="601" t="s">
        <v>55</v>
      </c>
      <c r="C61" s="23" t="s">
        <v>1</v>
      </c>
      <c r="D61" s="10" t="s">
        <v>37</v>
      </c>
      <c r="E61" s="10" t="s">
        <v>71</v>
      </c>
      <c r="F61" s="696" t="s">
        <v>104</v>
      </c>
      <c r="G61" s="697" t="s">
        <v>482</v>
      </c>
      <c r="H61" s="697" t="s">
        <v>37</v>
      </c>
      <c r="I61" s="698" t="s">
        <v>632</v>
      </c>
      <c r="J61" s="10" t="s">
        <v>56</v>
      </c>
      <c r="K61" s="24">
        <v>92.2</v>
      </c>
      <c r="L61" s="24">
        <f>M61-K61</f>
        <v>0</v>
      </c>
      <c r="M61" s="24">
        <v>92.2</v>
      </c>
    </row>
    <row r="62" spans="1:13" s="121" customFormat="1" ht="72" customHeight="1" x14ac:dyDescent="0.35">
      <c r="A62" s="11"/>
      <c r="B62" s="518" t="s">
        <v>72</v>
      </c>
      <c r="C62" s="23" t="s">
        <v>1</v>
      </c>
      <c r="D62" s="10" t="s">
        <v>37</v>
      </c>
      <c r="E62" s="10" t="s">
        <v>71</v>
      </c>
      <c r="F62" s="696" t="s">
        <v>73</v>
      </c>
      <c r="G62" s="697" t="s">
        <v>42</v>
      </c>
      <c r="H62" s="697" t="s">
        <v>43</v>
      </c>
      <c r="I62" s="698" t="s">
        <v>44</v>
      </c>
      <c r="J62" s="10"/>
      <c r="K62" s="24">
        <f t="shared" ref="K62:M64" si="7">K63</f>
        <v>1002.9000000000001</v>
      </c>
      <c r="L62" s="24">
        <f t="shared" si="7"/>
        <v>780</v>
      </c>
      <c r="M62" s="24">
        <f t="shared" si="7"/>
        <v>1782.9</v>
      </c>
    </row>
    <row r="63" spans="1:13" s="121" customFormat="1" ht="36" customHeight="1" x14ac:dyDescent="0.35">
      <c r="A63" s="11"/>
      <c r="B63" s="518" t="s">
        <v>339</v>
      </c>
      <c r="C63" s="23" t="s">
        <v>1</v>
      </c>
      <c r="D63" s="10" t="s">
        <v>37</v>
      </c>
      <c r="E63" s="10" t="s">
        <v>71</v>
      </c>
      <c r="F63" s="696" t="s">
        <v>73</v>
      </c>
      <c r="G63" s="697" t="s">
        <v>45</v>
      </c>
      <c r="H63" s="697" t="s">
        <v>43</v>
      </c>
      <c r="I63" s="698" t="s">
        <v>44</v>
      </c>
      <c r="J63" s="10"/>
      <c r="K63" s="24">
        <f t="shared" si="7"/>
        <v>1002.9000000000001</v>
      </c>
      <c r="L63" s="24">
        <f t="shared" si="7"/>
        <v>780</v>
      </c>
      <c r="M63" s="24">
        <f t="shared" si="7"/>
        <v>1782.9</v>
      </c>
    </row>
    <row r="64" spans="1:13" s="121" customFormat="1" ht="54" customHeight="1" x14ac:dyDescent="0.35">
      <c r="A64" s="11"/>
      <c r="B64" s="551" t="s">
        <v>266</v>
      </c>
      <c r="C64" s="23" t="s">
        <v>1</v>
      </c>
      <c r="D64" s="10" t="s">
        <v>37</v>
      </c>
      <c r="E64" s="10" t="s">
        <v>71</v>
      </c>
      <c r="F64" s="696" t="s">
        <v>73</v>
      </c>
      <c r="G64" s="697" t="s">
        <v>45</v>
      </c>
      <c r="H64" s="697" t="s">
        <v>37</v>
      </c>
      <c r="I64" s="698" t="s">
        <v>44</v>
      </c>
      <c r="J64" s="10"/>
      <c r="K64" s="24">
        <f t="shared" si="7"/>
        <v>1002.9000000000001</v>
      </c>
      <c r="L64" s="24">
        <f t="shared" si="7"/>
        <v>780</v>
      </c>
      <c r="M64" s="24">
        <f t="shared" si="7"/>
        <v>1782.9</v>
      </c>
    </row>
    <row r="65" spans="1:13" s="121" customFormat="1" ht="54" customHeight="1" x14ac:dyDescent="0.35">
      <c r="A65" s="11"/>
      <c r="B65" s="551" t="s">
        <v>74</v>
      </c>
      <c r="C65" s="23" t="s">
        <v>1</v>
      </c>
      <c r="D65" s="10" t="s">
        <v>37</v>
      </c>
      <c r="E65" s="10" t="s">
        <v>71</v>
      </c>
      <c r="F65" s="696" t="s">
        <v>73</v>
      </c>
      <c r="G65" s="697" t="s">
        <v>45</v>
      </c>
      <c r="H65" s="697" t="s">
        <v>37</v>
      </c>
      <c r="I65" s="698" t="s">
        <v>75</v>
      </c>
      <c r="J65" s="10"/>
      <c r="K65" s="24">
        <f>K66</f>
        <v>1002.9000000000001</v>
      </c>
      <c r="L65" s="24">
        <f>L66</f>
        <v>780</v>
      </c>
      <c r="M65" s="24">
        <f>M66</f>
        <v>1782.9</v>
      </c>
    </row>
    <row r="66" spans="1:13" s="121" customFormat="1" ht="54" customHeight="1" x14ac:dyDescent="0.35">
      <c r="A66" s="11"/>
      <c r="B66" s="525" t="s">
        <v>76</v>
      </c>
      <c r="C66" s="23" t="s">
        <v>1</v>
      </c>
      <c r="D66" s="10" t="s">
        <v>37</v>
      </c>
      <c r="E66" s="10" t="s">
        <v>71</v>
      </c>
      <c r="F66" s="696" t="s">
        <v>73</v>
      </c>
      <c r="G66" s="697" t="s">
        <v>45</v>
      </c>
      <c r="H66" s="697" t="s">
        <v>37</v>
      </c>
      <c r="I66" s="698" t="s">
        <v>75</v>
      </c>
      <c r="J66" s="10" t="s">
        <v>77</v>
      </c>
      <c r="K66" s="24">
        <f>406.2+596.7</f>
        <v>1002.9000000000001</v>
      </c>
      <c r="L66" s="24">
        <f>M66-K66</f>
        <v>780</v>
      </c>
      <c r="M66" s="24">
        <f>406.2+596.7+200+580</f>
        <v>1782.9</v>
      </c>
    </row>
    <row r="67" spans="1:13" s="121" customFormat="1" ht="54" customHeight="1" x14ac:dyDescent="0.35">
      <c r="A67" s="11"/>
      <c r="B67" s="518" t="s">
        <v>40</v>
      </c>
      <c r="C67" s="23" t="s">
        <v>1</v>
      </c>
      <c r="D67" s="10" t="s">
        <v>37</v>
      </c>
      <c r="E67" s="10" t="s">
        <v>71</v>
      </c>
      <c r="F67" s="696" t="s">
        <v>41</v>
      </c>
      <c r="G67" s="697" t="s">
        <v>42</v>
      </c>
      <c r="H67" s="697" t="s">
        <v>43</v>
      </c>
      <c r="I67" s="698" t="s">
        <v>44</v>
      </c>
      <c r="J67" s="10"/>
      <c r="K67" s="24">
        <f>K68</f>
        <v>50012.010000000009</v>
      </c>
      <c r="L67" s="24">
        <f>L68</f>
        <v>2811.2</v>
      </c>
      <c r="M67" s="24">
        <f>M68</f>
        <v>52823.210000000006</v>
      </c>
    </row>
    <row r="68" spans="1:13" s="121" customFormat="1" ht="36" customHeight="1" x14ac:dyDescent="0.35">
      <c r="A68" s="11"/>
      <c r="B68" s="518" t="s">
        <v>339</v>
      </c>
      <c r="C68" s="23" t="s">
        <v>1</v>
      </c>
      <c r="D68" s="10" t="s">
        <v>37</v>
      </c>
      <c r="E68" s="10" t="s">
        <v>71</v>
      </c>
      <c r="F68" s="696" t="s">
        <v>41</v>
      </c>
      <c r="G68" s="697" t="s">
        <v>45</v>
      </c>
      <c r="H68" s="697" t="s">
        <v>43</v>
      </c>
      <c r="I68" s="698" t="s">
        <v>44</v>
      </c>
      <c r="J68" s="10"/>
      <c r="K68" s="24">
        <f>K73+K69+K81+K78</f>
        <v>50012.010000000009</v>
      </c>
      <c r="L68" s="24">
        <f>L73+L69+L81+L78</f>
        <v>2811.2</v>
      </c>
      <c r="M68" s="24">
        <f>M73+M69+M81+M78</f>
        <v>52823.210000000006</v>
      </c>
    </row>
    <row r="69" spans="1:13" s="121" customFormat="1" ht="18" customHeight="1" x14ac:dyDescent="0.35">
      <c r="A69" s="11"/>
      <c r="B69" s="525" t="s">
        <v>62</v>
      </c>
      <c r="C69" s="23" t="s">
        <v>1</v>
      </c>
      <c r="D69" s="10" t="s">
        <v>37</v>
      </c>
      <c r="E69" s="10" t="s">
        <v>71</v>
      </c>
      <c r="F69" s="696" t="s">
        <v>41</v>
      </c>
      <c r="G69" s="697" t="s">
        <v>45</v>
      </c>
      <c r="H69" s="697" t="s">
        <v>63</v>
      </c>
      <c r="I69" s="698" t="s">
        <v>44</v>
      </c>
      <c r="J69" s="10"/>
      <c r="K69" s="24">
        <f>K70</f>
        <v>5528.5</v>
      </c>
      <c r="L69" s="24">
        <f>L70</f>
        <v>897.89999999999964</v>
      </c>
      <c r="M69" s="24">
        <f>M70</f>
        <v>6426.4</v>
      </c>
    </row>
    <row r="70" spans="1:13" s="121" customFormat="1" ht="67.5" customHeight="1" x14ac:dyDescent="0.35">
      <c r="A70" s="11"/>
      <c r="B70" s="525" t="s">
        <v>380</v>
      </c>
      <c r="C70" s="23" t="s">
        <v>1</v>
      </c>
      <c r="D70" s="10" t="s">
        <v>37</v>
      </c>
      <c r="E70" s="10" t="s">
        <v>71</v>
      </c>
      <c r="F70" s="696" t="s">
        <v>41</v>
      </c>
      <c r="G70" s="697" t="s">
        <v>45</v>
      </c>
      <c r="H70" s="697" t="s">
        <v>63</v>
      </c>
      <c r="I70" s="698" t="s">
        <v>379</v>
      </c>
      <c r="J70" s="10"/>
      <c r="K70" s="24">
        <f>K71+K72</f>
        <v>5528.5</v>
      </c>
      <c r="L70" s="24">
        <f>L71+L72</f>
        <v>897.89999999999964</v>
      </c>
      <c r="M70" s="24">
        <f>M71+M72</f>
        <v>6426.4</v>
      </c>
    </row>
    <row r="71" spans="1:13" s="121" customFormat="1" ht="54" customHeight="1" x14ac:dyDescent="0.35">
      <c r="A71" s="11"/>
      <c r="B71" s="518" t="s">
        <v>55</v>
      </c>
      <c r="C71" s="23" t="s">
        <v>1</v>
      </c>
      <c r="D71" s="10" t="s">
        <v>37</v>
      </c>
      <c r="E71" s="10" t="s">
        <v>71</v>
      </c>
      <c r="F71" s="696" t="s">
        <v>41</v>
      </c>
      <c r="G71" s="697" t="s">
        <v>45</v>
      </c>
      <c r="H71" s="697" t="s">
        <v>63</v>
      </c>
      <c r="I71" s="698" t="s">
        <v>379</v>
      </c>
      <c r="J71" s="10" t="s">
        <v>56</v>
      </c>
      <c r="K71" s="24">
        <f>1911.5+1226.2-840+2500+39.3+30.2+435</f>
        <v>5302.2</v>
      </c>
      <c r="L71" s="24">
        <f>M71-K71</f>
        <v>897.89999999999964</v>
      </c>
      <c r="M71" s="24">
        <f>1911.5+1226.2-840+2500+39.3+30.2+435+47.9+850</f>
        <v>6200.0999999999995</v>
      </c>
    </row>
    <row r="72" spans="1:13" s="121" customFormat="1" ht="18" customHeight="1" x14ac:dyDescent="0.35">
      <c r="A72" s="11"/>
      <c r="B72" s="518" t="s">
        <v>57</v>
      </c>
      <c r="C72" s="23" t="s">
        <v>1</v>
      </c>
      <c r="D72" s="10" t="s">
        <v>37</v>
      </c>
      <c r="E72" s="10" t="s">
        <v>71</v>
      </c>
      <c r="F72" s="696" t="s">
        <v>41</v>
      </c>
      <c r="G72" s="697" t="s">
        <v>45</v>
      </c>
      <c r="H72" s="697" t="s">
        <v>63</v>
      </c>
      <c r="I72" s="698" t="s">
        <v>379</v>
      </c>
      <c r="J72" s="10" t="s">
        <v>58</v>
      </c>
      <c r="K72" s="24">
        <v>226.3</v>
      </c>
      <c r="L72" s="24">
        <f>M72-K72</f>
        <v>0</v>
      </c>
      <c r="M72" s="24">
        <v>226.3</v>
      </c>
    </row>
    <row r="73" spans="1:13" s="121" customFormat="1" ht="18" customHeight="1" x14ac:dyDescent="0.35">
      <c r="A73" s="11"/>
      <c r="B73" s="518" t="s">
        <v>64</v>
      </c>
      <c r="C73" s="23" t="s">
        <v>1</v>
      </c>
      <c r="D73" s="10" t="s">
        <v>37</v>
      </c>
      <c r="E73" s="10" t="s">
        <v>71</v>
      </c>
      <c r="F73" s="696" t="s">
        <v>41</v>
      </c>
      <c r="G73" s="697" t="s">
        <v>45</v>
      </c>
      <c r="H73" s="697" t="s">
        <v>52</v>
      </c>
      <c r="I73" s="698" t="s">
        <v>44</v>
      </c>
      <c r="J73" s="10"/>
      <c r="K73" s="24">
        <f>K74+K76</f>
        <v>5345.4</v>
      </c>
      <c r="L73" s="24">
        <f>L74+L76</f>
        <v>983.30000000000018</v>
      </c>
      <c r="M73" s="24">
        <f>M74+M76</f>
        <v>6328.7</v>
      </c>
    </row>
    <row r="74" spans="1:13" s="121" customFormat="1" ht="69" customHeight="1" x14ac:dyDescent="0.35">
      <c r="A74" s="11"/>
      <c r="B74" s="567" t="s">
        <v>352</v>
      </c>
      <c r="C74" s="23" t="s">
        <v>1</v>
      </c>
      <c r="D74" s="10" t="s">
        <v>37</v>
      </c>
      <c r="E74" s="10" t="s">
        <v>71</v>
      </c>
      <c r="F74" s="696" t="s">
        <v>41</v>
      </c>
      <c r="G74" s="697" t="s">
        <v>45</v>
      </c>
      <c r="H74" s="697" t="s">
        <v>52</v>
      </c>
      <c r="I74" s="698" t="s">
        <v>105</v>
      </c>
      <c r="J74" s="10"/>
      <c r="K74" s="24">
        <f>K75</f>
        <v>2256.3999999999996</v>
      </c>
      <c r="L74" s="24">
        <f>L75</f>
        <v>983.30000000000018</v>
      </c>
      <c r="M74" s="24">
        <f>M75</f>
        <v>3239.7</v>
      </c>
    </row>
    <row r="75" spans="1:13" s="121" customFormat="1" ht="54" customHeight="1" x14ac:dyDescent="0.35">
      <c r="A75" s="11"/>
      <c r="B75" s="518" t="s">
        <v>55</v>
      </c>
      <c r="C75" s="23" t="s">
        <v>1</v>
      </c>
      <c r="D75" s="10" t="s">
        <v>37</v>
      </c>
      <c r="E75" s="10" t="s">
        <v>71</v>
      </c>
      <c r="F75" s="696" t="s">
        <v>41</v>
      </c>
      <c r="G75" s="697" t="s">
        <v>45</v>
      </c>
      <c r="H75" s="697" t="s">
        <v>52</v>
      </c>
      <c r="I75" s="698" t="s">
        <v>105</v>
      </c>
      <c r="J75" s="10" t="s">
        <v>56</v>
      </c>
      <c r="K75" s="24">
        <f>1138.8+1117.6</f>
        <v>2256.3999999999996</v>
      </c>
      <c r="L75" s="24">
        <f>M75-K75</f>
        <v>983.30000000000018</v>
      </c>
      <c r="M75" s="24">
        <f>1138.8+1117.6+840+143.3</f>
        <v>3239.7</v>
      </c>
    </row>
    <row r="76" spans="1:13" s="121" customFormat="1" ht="54" customHeight="1" x14ac:dyDescent="0.35">
      <c r="A76" s="11"/>
      <c r="B76" s="518" t="s">
        <v>354</v>
      </c>
      <c r="C76" s="23" t="s">
        <v>1</v>
      </c>
      <c r="D76" s="10" t="s">
        <v>37</v>
      </c>
      <c r="E76" s="10" t="s">
        <v>71</v>
      </c>
      <c r="F76" s="696" t="s">
        <v>41</v>
      </c>
      <c r="G76" s="697" t="s">
        <v>45</v>
      </c>
      <c r="H76" s="697" t="s">
        <v>52</v>
      </c>
      <c r="I76" s="698" t="s">
        <v>353</v>
      </c>
      <c r="J76" s="10"/>
      <c r="K76" s="24">
        <f>K77</f>
        <v>3089</v>
      </c>
      <c r="L76" s="24">
        <f>L77</f>
        <v>0</v>
      </c>
      <c r="M76" s="24">
        <f>M77</f>
        <v>3089</v>
      </c>
    </row>
    <row r="77" spans="1:13" s="121" customFormat="1" ht="54" customHeight="1" x14ac:dyDescent="0.35">
      <c r="A77" s="11"/>
      <c r="B77" s="518" t="s">
        <v>55</v>
      </c>
      <c r="C77" s="23" t="s">
        <v>1</v>
      </c>
      <c r="D77" s="10" t="s">
        <v>37</v>
      </c>
      <c r="E77" s="10" t="s">
        <v>71</v>
      </c>
      <c r="F77" s="696" t="s">
        <v>41</v>
      </c>
      <c r="G77" s="697" t="s">
        <v>45</v>
      </c>
      <c r="H77" s="697" t="s">
        <v>52</v>
      </c>
      <c r="I77" s="698" t="s">
        <v>353</v>
      </c>
      <c r="J77" s="10" t="s">
        <v>56</v>
      </c>
      <c r="K77" s="24">
        <f>2089+1000</f>
        <v>3089</v>
      </c>
      <c r="L77" s="24">
        <f>M77-K77</f>
        <v>0</v>
      </c>
      <c r="M77" s="24">
        <f>2089+1000</f>
        <v>3089</v>
      </c>
    </row>
    <row r="78" spans="1:13" s="121" customFormat="1" ht="36" customHeight="1" x14ac:dyDescent="0.35">
      <c r="A78" s="11"/>
      <c r="B78" s="601" t="s">
        <v>374</v>
      </c>
      <c r="C78" s="23" t="s">
        <v>1</v>
      </c>
      <c r="D78" s="10" t="s">
        <v>37</v>
      </c>
      <c r="E78" s="10" t="s">
        <v>71</v>
      </c>
      <c r="F78" s="696" t="s">
        <v>41</v>
      </c>
      <c r="G78" s="697" t="s">
        <v>45</v>
      </c>
      <c r="H78" s="697" t="s">
        <v>674</v>
      </c>
      <c r="I78" s="698" t="s">
        <v>44</v>
      </c>
      <c r="J78" s="10"/>
      <c r="K78" s="24">
        <f t="shared" ref="K78:M78" si="8">K79</f>
        <v>1510.3</v>
      </c>
      <c r="L78" s="24">
        <f t="shared" si="8"/>
        <v>0</v>
      </c>
      <c r="M78" s="24">
        <f t="shared" si="8"/>
        <v>1510.3</v>
      </c>
    </row>
    <row r="79" spans="1:13" s="121" customFormat="1" ht="36" customHeight="1" x14ac:dyDescent="0.35">
      <c r="A79" s="11"/>
      <c r="B79" s="601" t="s">
        <v>337</v>
      </c>
      <c r="C79" s="23" t="s">
        <v>1</v>
      </c>
      <c r="D79" s="10" t="s">
        <v>37</v>
      </c>
      <c r="E79" s="10" t="s">
        <v>71</v>
      </c>
      <c r="F79" s="696" t="s">
        <v>41</v>
      </c>
      <c r="G79" s="697" t="s">
        <v>45</v>
      </c>
      <c r="H79" s="697" t="s">
        <v>674</v>
      </c>
      <c r="I79" s="698" t="s">
        <v>336</v>
      </c>
      <c r="J79" s="10"/>
      <c r="K79" s="24">
        <f>K80</f>
        <v>1510.3</v>
      </c>
      <c r="L79" s="24">
        <f>L80</f>
        <v>0</v>
      </c>
      <c r="M79" s="24">
        <f>M80</f>
        <v>1510.3</v>
      </c>
    </row>
    <row r="80" spans="1:13" s="121" customFormat="1" ht="18" x14ac:dyDescent="0.35">
      <c r="A80" s="11"/>
      <c r="B80" s="518" t="s">
        <v>57</v>
      </c>
      <c r="C80" s="23" t="s">
        <v>1</v>
      </c>
      <c r="D80" s="10" t="s">
        <v>37</v>
      </c>
      <c r="E80" s="10" t="s">
        <v>71</v>
      </c>
      <c r="F80" s="696" t="s">
        <v>41</v>
      </c>
      <c r="G80" s="697" t="s">
        <v>45</v>
      </c>
      <c r="H80" s="697" t="s">
        <v>674</v>
      </c>
      <c r="I80" s="698" t="s">
        <v>336</v>
      </c>
      <c r="J80" s="10" t="s">
        <v>58</v>
      </c>
      <c r="K80" s="24">
        <f>1089+421.3</f>
        <v>1510.3</v>
      </c>
      <c r="L80" s="24">
        <f t="shared" ref="L80" si="9">M80-K80</f>
        <v>0</v>
      </c>
      <c r="M80" s="24">
        <f>1089+421.3</f>
        <v>1510.3</v>
      </c>
    </row>
    <row r="81" spans="1:13" s="121" customFormat="1" ht="100.5" customHeight="1" x14ac:dyDescent="0.35">
      <c r="A81" s="11"/>
      <c r="B81" s="518" t="s">
        <v>603</v>
      </c>
      <c r="C81" s="23" t="s">
        <v>1</v>
      </c>
      <c r="D81" s="10" t="s">
        <v>37</v>
      </c>
      <c r="E81" s="10" t="s">
        <v>71</v>
      </c>
      <c r="F81" s="696" t="s">
        <v>41</v>
      </c>
      <c r="G81" s="697" t="s">
        <v>45</v>
      </c>
      <c r="H81" s="697" t="s">
        <v>592</v>
      </c>
      <c r="I81" s="698" t="s">
        <v>44</v>
      </c>
      <c r="J81" s="10"/>
      <c r="K81" s="24">
        <f>K82+K86</f>
        <v>37627.810000000005</v>
      </c>
      <c r="L81" s="24">
        <f>L82+L86</f>
        <v>930</v>
      </c>
      <c r="M81" s="24">
        <f>M82+M86</f>
        <v>38557.810000000005</v>
      </c>
    </row>
    <row r="82" spans="1:13" s="121" customFormat="1" ht="36" customHeight="1" x14ac:dyDescent="0.35">
      <c r="A82" s="11"/>
      <c r="B82" s="551" t="s">
        <v>466</v>
      </c>
      <c r="C82" s="23" t="s">
        <v>1</v>
      </c>
      <c r="D82" s="10" t="s">
        <v>37</v>
      </c>
      <c r="E82" s="10" t="s">
        <v>71</v>
      </c>
      <c r="F82" s="696" t="s">
        <v>41</v>
      </c>
      <c r="G82" s="697" t="s">
        <v>45</v>
      </c>
      <c r="H82" s="697" t="s">
        <v>592</v>
      </c>
      <c r="I82" s="698" t="s">
        <v>91</v>
      </c>
      <c r="J82" s="10"/>
      <c r="K82" s="24">
        <f>SUM(K83:K85)</f>
        <v>36897.51</v>
      </c>
      <c r="L82" s="24">
        <f>SUM(L83:L85)</f>
        <v>30</v>
      </c>
      <c r="M82" s="24">
        <f>SUM(M83:M85)</f>
        <v>36927.51</v>
      </c>
    </row>
    <row r="83" spans="1:13" s="121" customFormat="1" ht="108" customHeight="1" x14ac:dyDescent="0.35">
      <c r="A83" s="11"/>
      <c r="B83" s="518" t="s">
        <v>49</v>
      </c>
      <c r="C83" s="23" t="s">
        <v>1</v>
      </c>
      <c r="D83" s="10" t="s">
        <v>37</v>
      </c>
      <c r="E83" s="10" t="s">
        <v>71</v>
      </c>
      <c r="F83" s="696" t="s">
        <v>41</v>
      </c>
      <c r="G83" s="697" t="s">
        <v>45</v>
      </c>
      <c r="H83" s="697" t="s">
        <v>592</v>
      </c>
      <c r="I83" s="698" t="s">
        <v>91</v>
      </c>
      <c r="J83" s="10" t="s">
        <v>50</v>
      </c>
      <c r="K83" s="24">
        <f>23306.3-1204.3+5512.1</f>
        <v>27614.1</v>
      </c>
      <c r="L83" s="24">
        <f>M83-K83</f>
        <v>0</v>
      </c>
      <c r="M83" s="24">
        <f>23306.3-1204.3+5512.1</f>
        <v>27614.1</v>
      </c>
    </row>
    <row r="84" spans="1:13" s="121" customFormat="1" ht="54" customHeight="1" x14ac:dyDescent="0.35">
      <c r="A84" s="11"/>
      <c r="B84" s="518" t="s">
        <v>55</v>
      </c>
      <c r="C84" s="23" t="s">
        <v>1</v>
      </c>
      <c r="D84" s="10" t="s">
        <v>37</v>
      </c>
      <c r="E84" s="10" t="s">
        <v>71</v>
      </c>
      <c r="F84" s="696" t="s">
        <v>41</v>
      </c>
      <c r="G84" s="697" t="s">
        <v>45</v>
      </c>
      <c r="H84" s="697" t="s">
        <v>592</v>
      </c>
      <c r="I84" s="698" t="s">
        <v>91</v>
      </c>
      <c r="J84" s="10" t="s">
        <v>56</v>
      </c>
      <c r="K84" s="24">
        <f>6279.1+596.1+559.5+225+754+95.5-71.69+675+78.2+30.4</f>
        <v>9221.11</v>
      </c>
      <c r="L84" s="24">
        <f>M84-K84</f>
        <v>30</v>
      </c>
      <c r="M84" s="24">
        <f>6279.1+596.1+559.5+225+754+95.5-71.69+675+78.2+30.4+30</f>
        <v>9251.11</v>
      </c>
    </row>
    <row r="85" spans="1:13" s="121" customFormat="1" ht="18" customHeight="1" x14ac:dyDescent="0.35">
      <c r="A85" s="11"/>
      <c r="B85" s="518" t="s">
        <v>57</v>
      </c>
      <c r="C85" s="23" t="s">
        <v>1</v>
      </c>
      <c r="D85" s="10" t="s">
        <v>37</v>
      </c>
      <c r="E85" s="10" t="s">
        <v>71</v>
      </c>
      <c r="F85" s="696" t="s">
        <v>41</v>
      </c>
      <c r="G85" s="697" t="s">
        <v>45</v>
      </c>
      <c r="H85" s="697" t="s">
        <v>592</v>
      </c>
      <c r="I85" s="698" t="s">
        <v>91</v>
      </c>
      <c r="J85" s="10" t="s">
        <v>58</v>
      </c>
      <c r="K85" s="24">
        <v>62.3</v>
      </c>
      <c r="L85" s="24">
        <f>M85-K85</f>
        <v>0</v>
      </c>
      <c r="M85" s="24">
        <v>62.3</v>
      </c>
    </row>
    <row r="86" spans="1:13" s="121" customFormat="1" ht="18" customHeight="1" x14ac:dyDescent="0.35">
      <c r="A86" s="11"/>
      <c r="B86" s="518" t="s">
        <v>467</v>
      </c>
      <c r="C86" s="23" t="s">
        <v>1</v>
      </c>
      <c r="D86" s="10" t="s">
        <v>37</v>
      </c>
      <c r="E86" s="10" t="s">
        <v>71</v>
      </c>
      <c r="F86" s="696" t="s">
        <v>41</v>
      </c>
      <c r="G86" s="697" t="s">
        <v>45</v>
      </c>
      <c r="H86" s="697" t="s">
        <v>592</v>
      </c>
      <c r="I86" s="698" t="s">
        <v>381</v>
      </c>
      <c r="J86" s="10"/>
      <c r="K86" s="24">
        <f>K87</f>
        <v>730.3</v>
      </c>
      <c r="L86" s="24">
        <f>L87</f>
        <v>900</v>
      </c>
      <c r="M86" s="24">
        <f>M87</f>
        <v>1630.3</v>
      </c>
    </row>
    <row r="87" spans="1:13" s="121" customFormat="1" ht="54" customHeight="1" x14ac:dyDescent="0.35">
      <c r="A87" s="11"/>
      <c r="B87" s="518" t="s">
        <v>55</v>
      </c>
      <c r="C87" s="23" t="s">
        <v>1</v>
      </c>
      <c r="D87" s="10" t="s">
        <v>37</v>
      </c>
      <c r="E87" s="10" t="s">
        <v>71</v>
      </c>
      <c r="F87" s="696" t="s">
        <v>41</v>
      </c>
      <c r="G87" s="697" t="s">
        <v>45</v>
      </c>
      <c r="H87" s="697" t="s">
        <v>592</v>
      </c>
      <c r="I87" s="698" t="s">
        <v>381</v>
      </c>
      <c r="J87" s="10" t="s">
        <v>56</v>
      </c>
      <c r="K87" s="24">
        <v>730.3</v>
      </c>
      <c r="L87" s="24">
        <f>M87-K87</f>
        <v>900</v>
      </c>
      <c r="M87" s="24">
        <f>730.3+900</f>
        <v>1630.3</v>
      </c>
    </row>
    <row r="88" spans="1:13" s="121" customFormat="1" ht="36" customHeight="1" x14ac:dyDescent="0.35">
      <c r="A88" s="11"/>
      <c r="B88" s="601" t="s">
        <v>447</v>
      </c>
      <c r="C88" s="23" t="s">
        <v>1</v>
      </c>
      <c r="D88" s="10" t="s">
        <v>37</v>
      </c>
      <c r="E88" s="10" t="s">
        <v>71</v>
      </c>
      <c r="F88" s="696" t="s">
        <v>68</v>
      </c>
      <c r="G88" s="697" t="s">
        <v>42</v>
      </c>
      <c r="H88" s="697" t="s">
        <v>43</v>
      </c>
      <c r="I88" s="698" t="s">
        <v>44</v>
      </c>
      <c r="J88" s="10"/>
      <c r="K88" s="24">
        <f t="shared" ref="K88:M92" si="10">K89</f>
        <v>22782.6</v>
      </c>
      <c r="L88" s="24">
        <f t="shared" si="10"/>
        <v>2811.6000000000004</v>
      </c>
      <c r="M88" s="24">
        <f t="shared" si="10"/>
        <v>25594.199999999997</v>
      </c>
    </row>
    <row r="89" spans="1:13" s="121" customFormat="1" ht="18" customHeight="1" x14ac:dyDescent="0.35">
      <c r="A89" s="11"/>
      <c r="B89" s="601" t="s">
        <v>448</v>
      </c>
      <c r="C89" s="23" t="s">
        <v>1</v>
      </c>
      <c r="D89" s="10" t="s">
        <v>37</v>
      </c>
      <c r="E89" s="10" t="s">
        <v>71</v>
      </c>
      <c r="F89" s="696" t="s">
        <v>68</v>
      </c>
      <c r="G89" s="697" t="s">
        <v>45</v>
      </c>
      <c r="H89" s="697" t="s">
        <v>43</v>
      </c>
      <c r="I89" s="698" t="s">
        <v>44</v>
      </c>
      <c r="J89" s="10"/>
      <c r="K89" s="24">
        <f>K92+K90</f>
        <v>22782.6</v>
      </c>
      <c r="L89" s="24">
        <f>L92+L90</f>
        <v>2811.6000000000004</v>
      </c>
      <c r="M89" s="24">
        <f>M92+M90</f>
        <v>25594.199999999997</v>
      </c>
    </row>
    <row r="90" spans="1:13" s="121" customFormat="1" ht="36" x14ac:dyDescent="0.35">
      <c r="A90" s="11"/>
      <c r="B90" s="518" t="s">
        <v>723</v>
      </c>
      <c r="C90" s="23" t="s">
        <v>1</v>
      </c>
      <c r="D90" s="10" t="s">
        <v>37</v>
      </c>
      <c r="E90" s="10" t="s">
        <v>71</v>
      </c>
      <c r="F90" s="696" t="s">
        <v>68</v>
      </c>
      <c r="G90" s="697" t="s">
        <v>45</v>
      </c>
      <c r="H90" s="697" t="s">
        <v>43</v>
      </c>
      <c r="I90" s="698" t="s">
        <v>722</v>
      </c>
      <c r="J90" s="10"/>
      <c r="K90" s="24">
        <f>K91</f>
        <v>10029.599999999999</v>
      </c>
      <c r="L90" s="24">
        <f>L91</f>
        <v>2811.6000000000004</v>
      </c>
      <c r="M90" s="24">
        <f>M91</f>
        <v>12841.199999999999</v>
      </c>
    </row>
    <row r="91" spans="1:13" s="121" customFormat="1" ht="54" customHeight="1" x14ac:dyDescent="0.35">
      <c r="A91" s="11"/>
      <c r="B91" s="518" t="s">
        <v>55</v>
      </c>
      <c r="C91" s="23" t="s">
        <v>1</v>
      </c>
      <c r="D91" s="10" t="s">
        <v>37</v>
      </c>
      <c r="E91" s="10" t="s">
        <v>71</v>
      </c>
      <c r="F91" s="696" t="s">
        <v>68</v>
      </c>
      <c r="G91" s="697" t="s">
        <v>45</v>
      </c>
      <c r="H91" s="697" t="s">
        <v>43</v>
      </c>
      <c r="I91" s="698" t="s">
        <v>722</v>
      </c>
      <c r="J91" s="10" t="s">
        <v>56</v>
      </c>
      <c r="K91" s="24">
        <f>5756.4+4273.2</f>
        <v>10029.599999999999</v>
      </c>
      <c r="L91" s="24">
        <f>M91-K91</f>
        <v>2811.6000000000004</v>
      </c>
      <c r="M91" s="24">
        <f>5756.4+4273.2+2811.6</f>
        <v>12841.199999999999</v>
      </c>
    </row>
    <row r="92" spans="1:13" s="121" customFormat="1" ht="180" customHeight="1" x14ac:dyDescent="0.35">
      <c r="A92" s="11"/>
      <c r="B92" s="518" t="s">
        <v>680</v>
      </c>
      <c r="C92" s="23" t="s">
        <v>1</v>
      </c>
      <c r="D92" s="10" t="s">
        <v>37</v>
      </c>
      <c r="E92" s="10" t="s">
        <v>71</v>
      </c>
      <c r="F92" s="696" t="s">
        <v>68</v>
      </c>
      <c r="G92" s="697" t="s">
        <v>45</v>
      </c>
      <c r="H92" s="697" t="s">
        <v>43</v>
      </c>
      <c r="I92" s="698" t="s">
        <v>679</v>
      </c>
      <c r="J92" s="10"/>
      <c r="K92" s="24">
        <f t="shared" si="10"/>
        <v>12753</v>
      </c>
      <c r="L92" s="24">
        <f t="shared" si="10"/>
        <v>0</v>
      </c>
      <c r="M92" s="24">
        <f t="shared" si="10"/>
        <v>12753</v>
      </c>
    </row>
    <row r="93" spans="1:13" s="121" customFormat="1" ht="54" customHeight="1" x14ac:dyDescent="0.35">
      <c r="A93" s="11"/>
      <c r="B93" s="518" t="s">
        <v>55</v>
      </c>
      <c r="C93" s="23" t="s">
        <v>1</v>
      </c>
      <c r="D93" s="10" t="s">
        <v>37</v>
      </c>
      <c r="E93" s="10" t="s">
        <v>71</v>
      </c>
      <c r="F93" s="696" t="s">
        <v>68</v>
      </c>
      <c r="G93" s="697" t="s">
        <v>45</v>
      </c>
      <c r="H93" s="697" t="s">
        <v>43</v>
      </c>
      <c r="I93" s="698" t="s">
        <v>679</v>
      </c>
      <c r="J93" s="10" t="s">
        <v>56</v>
      </c>
      <c r="K93" s="24">
        <v>12753</v>
      </c>
      <c r="L93" s="24">
        <f>M93-K93</f>
        <v>0</v>
      </c>
      <c r="M93" s="24">
        <v>12753</v>
      </c>
    </row>
    <row r="94" spans="1:13" s="121" customFormat="1" ht="36" customHeight="1" x14ac:dyDescent="0.35">
      <c r="A94" s="11"/>
      <c r="B94" s="518" t="s">
        <v>78</v>
      </c>
      <c r="C94" s="23" t="s">
        <v>1</v>
      </c>
      <c r="D94" s="10" t="s">
        <v>63</v>
      </c>
      <c r="E94" s="10"/>
      <c r="F94" s="696"/>
      <c r="G94" s="697"/>
      <c r="H94" s="697"/>
      <c r="I94" s="698"/>
      <c r="J94" s="10"/>
      <c r="K94" s="24">
        <f>K95+K107</f>
        <v>23110.147999999994</v>
      </c>
      <c r="L94" s="24">
        <f>L95+L107</f>
        <v>-191.20000000000005</v>
      </c>
      <c r="M94" s="24">
        <f>M95+M107</f>
        <v>22918.947999999993</v>
      </c>
    </row>
    <row r="95" spans="1:13" s="121" customFormat="1" ht="72" customHeight="1" x14ac:dyDescent="0.35">
      <c r="A95" s="11"/>
      <c r="B95" s="518" t="s">
        <v>464</v>
      </c>
      <c r="C95" s="23" t="s">
        <v>1</v>
      </c>
      <c r="D95" s="10" t="s">
        <v>63</v>
      </c>
      <c r="E95" s="10" t="s">
        <v>104</v>
      </c>
      <c r="F95" s="696"/>
      <c r="G95" s="697"/>
      <c r="H95" s="697"/>
      <c r="I95" s="698"/>
      <c r="J95" s="10"/>
      <c r="K95" s="24">
        <f t="shared" ref="K95:M97" si="11">K96</f>
        <v>9493.3999999999978</v>
      </c>
      <c r="L95" s="24">
        <f t="shared" si="11"/>
        <v>0</v>
      </c>
      <c r="M95" s="24">
        <f t="shared" si="11"/>
        <v>9493.3999999999978</v>
      </c>
    </row>
    <row r="96" spans="1:13" s="121" customFormat="1" ht="54" customHeight="1" x14ac:dyDescent="0.35">
      <c r="A96" s="11"/>
      <c r="B96" s="518" t="s">
        <v>80</v>
      </c>
      <c r="C96" s="23" t="s">
        <v>1</v>
      </c>
      <c r="D96" s="10" t="s">
        <v>63</v>
      </c>
      <c r="E96" s="10" t="s">
        <v>104</v>
      </c>
      <c r="F96" s="696" t="s">
        <v>81</v>
      </c>
      <c r="G96" s="697" t="s">
        <v>42</v>
      </c>
      <c r="H96" s="697" t="s">
        <v>43</v>
      </c>
      <c r="I96" s="698" t="s">
        <v>44</v>
      </c>
      <c r="J96" s="10"/>
      <c r="K96" s="24">
        <f t="shared" si="11"/>
        <v>9493.3999999999978</v>
      </c>
      <c r="L96" s="24">
        <f t="shared" si="11"/>
        <v>0</v>
      </c>
      <c r="M96" s="24">
        <f t="shared" si="11"/>
        <v>9493.3999999999978</v>
      </c>
    </row>
    <row r="97" spans="1:13" s="121" customFormat="1" ht="54" customHeight="1" x14ac:dyDescent="0.35">
      <c r="A97" s="11"/>
      <c r="B97" s="568" t="s">
        <v>82</v>
      </c>
      <c r="C97" s="23" t="s">
        <v>1</v>
      </c>
      <c r="D97" s="10" t="s">
        <v>63</v>
      </c>
      <c r="E97" s="10" t="s">
        <v>104</v>
      </c>
      <c r="F97" s="696" t="s">
        <v>81</v>
      </c>
      <c r="G97" s="697" t="s">
        <v>45</v>
      </c>
      <c r="H97" s="697" t="s">
        <v>43</v>
      </c>
      <c r="I97" s="698" t="s">
        <v>44</v>
      </c>
      <c r="J97" s="10"/>
      <c r="K97" s="24">
        <f t="shared" si="11"/>
        <v>9493.3999999999978</v>
      </c>
      <c r="L97" s="24">
        <f t="shared" si="11"/>
        <v>0</v>
      </c>
      <c r="M97" s="24">
        <f t="shared" si="11"/>
        <v>9493.3999999999978</v>
      </c>
    </row>
    <row r="98" spans="1:13" s="121" customFormat="1" ht="72" customHeight="1" x14ac:dyDescent="0.35">
      <c r="A98" s="11"/>
      <c r="B98" s="518" t="s">
        <v>83</v>
      </c>
      <c r="C98" s="23" t="s">
        <v>1</v>
      </c>
      <c r="D98" s="10" t="s">
        <v>63</v>
      </c>
      <c r="E98" s="10" t="s">
        <v>104</v>
      </c>
      <c r="F98" s="696" t="s">
        <v>81</v>
      </c>
      <c r="G98" s="697" t="s">
        <v>45</v>
      </c>
      <c r="H98" s="697" t="s">
        <v>37</v>
      </c>
      <c r="I98" s="698" t="s">
        <v>44</v>
      </c>
      <c r="J98" s="10"/>
      <c r="K98" s="24">
        <f>K99+K101+K103+K106</f>
        <v>9493.3999999999978</v>
      </c>
      <c r="L98" s="24">
        <f>L99+L101+L103+L106</f>
        <v>0</v>
      </c>
      <c r="M98" s="24">
        <f>M99+M101+M103+M106</f>
        <v>9493.3999999999978</v>
      </c>
    </row>
    <row r="99" spans="1:13" s="121" customFormat="1" ht="36" customHeight="1" x14ac:dyDescent="0.35">
      <c r="A99" s="11"/>
      <c r="B99" s="568" t="s">
        <v>452</v>
      </c>
      <c r="C99" s="23" t="s">
        <v>1</v>
      </c>
      <c r="D99" s="10" t="s">
        <v>63</v>
      </c>
      <c r="E99" s="10" t="s">
        <v>104</v>
      </c>
      <c r="F99" s="696" t="s">
        <v>81</v>
      </c>
      <c r="G99" s="697" t="s">
        <v>45</v>
      </c>
      <c r="H99" s="697" t="s">
        <v>37</v>
      </c>
      <c r="I99" s="698" t="s">
        <v>84</v>
      </c>
      <c r="J99" s="10"/>
      <c r="K99" s="24">
        <f>K100</f>
        <v>298.39999999999998</v>
      </c>
      <c r="L99" s="24">
        <f>L100</f>
        <v>0</v>
      </c>
      <c r="M99" s="24">
        <f>M100</f>
        <v>298.39999999999998</v>
      </c>
    </row>
    <row r="100" spans="1:13" s="121" customFormat="1" ht="54" customHeight="1" x14ac:dyDescent="0.35">
      <c r="A100" s="11"/>
      <c r="B100" s="518" t="s">
        <v>55</v>
      </c>
      <c r="C100" s="23" t="s">
        <v>1</v>
      </c>
      <c r="D100" s="10" t="s">
        <v>63</v>
      </c>
      <c r="E100" s="10" t="s">
        <v>104</v>
      </c>
      <c r="F100" s="696" t="s">
        <v>81</v>
      </c>
      <c r="G100" s="697" t="s">
        <v>45</v>
      </c>
      <c r="H100" s="697" t="s">
        <v>37</v>
      </c>
      <c r="I100" s="698" t="s">
        <v>84</v>
      </c>
      <c r="J100" s="10" t="s">
        <v>56</v>
      </c>
      <c r="K100" s="24">
        <v>298.39999999999998</v>
      </c>
      <c r="L100" s="24">
        <f>M100-K100</f>
        <v>0</v>
      </c>
      <c r="M100" s="24">
        <v>298.39999999999998</v>
      </c>
    </row>
    <row r="101" spans="1:13" s="121" customFormat="1" ht="54" customHeight="1" x14ac:dyDescent="0.35">
      <c r="A101" s="11"/>
      <c r="B101" s="518" t="s">
        <v>85</v>
      </c>
      <c r="C101" s="23" t="s">
        <v>1</v>
      </c>
      <c r="D101" s="10" t="s">
        <v>63</v>
      </c>
      <c r="E101" s="10" t="s">
        <v>104</v>
      </c>
      <c r="F101" s="696" t="s">
        <v>81</v>
      </c>
      <c r="G101" s="697" t="s">
        <v>45</v>
      </c>
      <c r="H101" s="697" t="s">
        <v>37</v>
      </c>
      <c r="I101" s="698" t="s">
        <v>86</v>
      </c>
      <c r="J101" s="10"/>
      <c r="K101" s="24">
        <f>K102</f>
        <v>63.9</v>
      </c>
      <c r="L101" s="24">
        <f>L102</f>
        <v>0</v>
      </c>
      <c r="M101" s="24">
        <f>M102</f>
        <v>63.9</v>
      </c>
    </row>
    <row r="102" spans="1:13" s="121" customFormat="1" ht="54" customHeight="1" x14ac:dyDescent="0.35">
      <c r="A102" s="11"/>
      <c r="B102" s="518" t="s">
        <v>55</v>
      </c>
      <c r="C102" s="23" t="s">
        <v>1</v>
      </c>
      <c r="D102" s="10" t="s">
        <v>63</v>
      </c>
      <c r="E102" s="10" t="s">
        <v>104</v>
      </c>
      <c r="F102" s="696" t="s">
        <v>81</v>
      </c>
      <c r="G102" s="697" t="s">
        <v>45</v>
      </c>
      <c r="H102" s="697" t="s">
        <v>37</v>
      </c>
      <c r="I102" s="698" t="s">
        <v>86</v>
      </c>
      <c r="J102" s="10" t="s">
        <v>56</v>
      </c>
      <c r="K102" s="24">
        <v>63.9</v>
      </c>
      <c r="L102" s="24">
        <f>M102-K102</f>
        <v>0</v>
      </c>
      <c r="M102" s="24">
        <v>63.9</v>
      </c>
    </row>
    <row r="103" spans="1:13" s="121" customFormat="1" ht="144" customHeight="1" x14ac:dyDescent="0.35">
      <c r="A103" s="11"/>
      <c r="B103" s="518" t="s">
        <v>678</v>
      </c>
      <c r="C103" s="23" t="s">
        <v>1</v>
      </c>
      <c r="D103" s="10" t="s">
        <v>63</v>
      </c>
      <c r="E103" s="10" t="s">
        <v>104</v>
      </c>
      <c r="F103" s="696" t="s">
        <v>81</v>
      </c>
      <c r="G103" s="697" t="s">
        <v>45</v>
      </c>
      <c r="H103" s="697" t="s">
        <v>37</v>
      </c>
      <c r="I103" s="698" t="s">
        <v>329</v>
      </c>
      <c r="J103" s="10"/>
      <c r="K103" s="24">
        <f>K104</f>
        <v>9118.7999999999993</v>
      </c>
      <c r="L103" s="24">
        <f>L104</f>
        <v>0</v>
      </c>
      <c r="M103" s="24">
        <f>M104</f>
        <v>9118.7999999999993</v>
      </c>
    </row>
    <row r="104" spans="1:13" s="121" customFormat="1" ht="18" customHeight="1" x14ac:dyDescent="0.35">
      <c r="A104" s="11"/>
      <c r="B104" s="518" t="s">
        <v>123</v>
      </c>
      <c r="C104" s="23" t="s">
        <v>1</v>
      </c>
      <c r="D104" s="10" t="s">
        <v>63</v>
      </c>
      <c r="E104" s="10" t="s">
        <v>104</v>
      </c>
      <c r="F104" s="696" t="s">
        <v>81</v>
      </c>
      <c r="G104" s="697" t="s">
        <v>45</v>
      </c>
      <c r="H104" s="697" t="s">
        <v>37</v>
      </c>
      <c r="I104" s="698" t="s">
        <v>329</v>
      </c>
      <c r="J104" s="10" t="s">
        <v>124</v>
      </c>
      <c r="K104" s="24">
        <v>9118.7999999999993</v>
      </c>
      <c r="L104" s="24">
        <f>M104-K104</f>
        <v>0</v>
      </c>
      <c r="M104" s="24">
        <v>9118.7999999999993</v>
      </c>
    </row>
    <row r="105" spans="1:13" s="121" customFormat="1" ht="90" customHeight="1" x14ac:dyDescent="0.35">
      <c r="A105" s="11"/>
      <c r="B105" s="514" t="s">
        <v>677</v>
      </c>
      <c r="C105" s="23" t="s">
        <v>1</v>
      </c>
      <c r="D105" s="10" t="s">
        <v>63</v>
      </c>
      <c r="E105" s="10" t="s">
        <v>104</v>
      </c>
      <c r="F105" s="696" t="s">
        <v>81</v>
      </c>
      <c r="G105" s="697" t="s">
        <v>45</v>
      </c>
      <c r="H105" s="697" t="s">
        <v>37</v>
      </c>
      <c r="I105" s="698" t="s">
        <v>330</v>
      </c>
      <c r="J105" s="10"/>
      <c r="K105" s="24">
        <f>K106</f>
        <v>12.3</v>
      </c>
      <c r="L105" s="24">
        <f>L106</f>
        <v>0</v>
      </c>
      <c r="M105" s="24">
        <f>M106</f>
        <v>12.3</v>
      </c>
    </row>
    <row r="106" spans="1:13" s="121" customFormat="1" ht="18" customHeight="1" x14ac:dyDescent="0.35">
      <c r="A106" s="11"/>
      <c r="B106" s="518" t="s">
        <v>123</v>
      </c>
      <c r="C106" s="23" t="s">
        <v>1</v>
      </c>
      <c r="D106" s="10" t="s">
        <v>63</v>
      </c>
      <c r="E106" s="10" t="s">
        <v>104</v>
      </c>
      <c r="F106" s="696" t="s">
        <v>81</v>
      </c>
      <c r="G106" s="697" t="s">
        <v>45</v>
      </c>
      <c r="H106" s="697" t="s">
        <v>37</v>
      </c>
      <c r="I106" s="698" t="s">
        <v>330</v>
      </c>
      <c r="J106" s="10" t="s">
        <v>124</v>
      </c>
      <c r="K106" s="24">
        <v>12.3</v>
      </c>
      <c r="L106" s="24">
        <f>M106-K106</f>
        <v>0</v>
      </c>
      <c r="M106" s="24">
        <v>12.3</v>
      </c>
    </row>
    <row r="107" spans="1:13" s="121" customFormat="1" ht="54" customHeight="1" x14ac:dyDescent="0.35">
      <c r="A107" s="11"/>
      <c r="B107" s="567" t="s">
        <v>87</v>
      </c>
      <c r="C107" s="23" t="s">
        <v>1</v>
      </c>
      <c r="D107" s="10" t="s">
        <v>63</v>
      </c>
      <c r="E107" s="10" t="s">
        <v>88</v>
      </c>
      <c r="F107" s="696"/>
      <c r="G107" s="697"/>
      <c r="H107" s="697"/>
      <c r="I107" s="698"/>
      <c r="J107" s="10"/>
      <c r="K107" s="24">
        <f>K108</f>
        <v>13616.747999999996</v>
      </c>
      <c r="L107" s="24">
        <f>L108</f>
        <v>-191.20000000000005</v>
      </c>
      <c r="M107" s="24">
        <f>M108</f>
        <v>13425.547999999995</v>
      </c>
    </row>
    <row r="108" spans="1:13" s="121" customFormat="1" ht="54" customHeight="1" x14ac:dyDescent="0.35">
      <c r="A108" s="11"/>
      <c r="B108" s="518" t="s">
        <v>80</v>
      </c>
      <c r="C108" s="23" t="s">
        <v>1</v>
      </c>
      <c r="D108" s="10" t="s">
        <v>63</v>
      </c>
      <c r="E108" s="10" t="s">
        <v>88</v>
      </c>
      <c r="F108" s="696" t="s">
        <v>81</v>
      </c>
      <c r="G108" s="697" t="s">
        <v>42</v>
      </c>
      <c r="H108" s="697" t="s">
        <v>43</v>
      </c>
      <c r="I108" s="698" t="s">
        <v>44</v>
      </c>
      <c r="J108" s="10"/>
      <c r="K108" s="24">
        <f>K109+K118+K127</f>
        <v>13616.747999999996</v>
      </c>
      <c r="L108" s="24">
        <f>L109+L118+L127</f>
        <v>-191.20000000000005</v>
      </c>
      <c r="M108" s="24">
        <f>M109+M118+M127</f>
        <v>13425.547999999995</v>
      </c>
    </row>
    <row r="109" spans="1:13" s="121" customFormat="1" ht="36" customHeight="1" x14ac:dyDescent="0.35">
      <c r="A109" s="11"/>
      <c r="B109" s="567" t="s">
        <v>125</v>
      </c>
      <c r="C109" s="23" t="s">
        <v>1</v>
      </c>
      <c r="D109" s="10" t="s">
        <v>63</v>
      </c>
      <c r="E109" s="10" t="s">
        <v>88</v>
      </c>
      <c r="F109" s="696" t="s">
        <v>81</v>
      </c>
      <c r="G109" s="697" t="s">
        <v>89</v>
      </c>
      <c r="H109" s="697" t="s">
        <v>43</v>
      </c>
      <c r="I109" s="698" t="s">
        <v>44</v>
      </c>
      <c r="J109" s="10"/>
      <c r="K109" s="24">
        <f>K115+K110</f>
        <v>1563.3999999999999</v>
      </c>
      <c r="L109" s="24">
        <f>L115+L110</f>
        <v>-191.20000000000005</v>
      </c>
      <c r="M109" s="24">
        <f>M115+M110</f>
        <v>1372.1999999999998</v>
      </c>
    </row>
    <row r="110" spans="1:13" s="121" customFormat="1" ht="36" customHeight="1" x14ac:dyDescent="0.35">
      <c r="A110" s="11"/>
      <c r="B110" s="567" t="s">
        <v>271</v>
      </c>
      <c r="C110" s="23" t="s">
        <v>1</v>
      </c>
      <c r="D110" s="10" t="s">
        <v>63</v>
      </c>
      <c r="E110" s="10" t="s">
        <v>88</v>
      </c>
      <c r="F110" s="696" t="s">
        <v>81</v>
      </c>
      <c r="G110" s="697" t="s">
        <v>89</v>
      </c>
      <c r="H110" s="697" t="s">
        <v>37</v>
      </c>
      <c r="I110" s="698" t="s">
        <v>44</v>
      </c>
      <c r="J110" s="10"/>
      <c r="K110" s="24">
        <f>K113+K111</f>
        <v>143.6</v>
      </c>
      <c r="L110" s="24">
        <f>L113+L111</f>
        <v>0</v>
      </c>
      <c r="M110" s="24">
        <f>M113+M111</f>
        <v>143.6</v>
      </c>
    </row>
    <row r="111" spans="1:13" s="121" customFormat="1" ht="36" customHeight="1" x14ac:dyDescent="0.35">
      <c r="A111" s="11"/>
      <c r="B111" s="551" t="s">
        <v>127</v>
      </c>
      <c r="C111" s="23" t="s">
        <v>1</v>
      </c>
      <c r="D111" s="10" t="s">
        <v>63</v>
      </c>
      <c r="E111" s="10" t="s">
        <v>88</v>
      </c>
      <c r="F111" s="696" t="s">
        <v>81</v>
      </c>
      <c r="G111" s="697" t="s">
        <v>89</v>
      </c>
      <c r="H111" s="697" t="s">
        <v>37</v>
      </c>
      <c r="I111" s="698" t="s">
        <v>90</v>
      </c>
      <c r="J111" s="10"/>
      <c r="K111" s="24">
        <f>K112</f>
        <v>21.8</v>
      </c>
      <c r="L111" s="24">
        <f>L112</f>
        <v>0</v>
      </c>
      <c r="M111" s="24">
        <f>M112</f>
        <v>21.8</v>
      </c>
    </row>
    <row r="112" spans="1:13" s="121" customFormat="1" ht="54" customHeight="1" x14ac:dyDescent="0.35">
      <c r="A112" s="11"/>
      <c r="B112" s="518" t="s">
        <v>55</v>
      </c>
      <c r="C112" s="23" t="s">
        <v>1</v>
      </c>
      <c r="D112" s="10" t="s">
        <v>63</v>
      </c>
      <c r="E112" s="10" t="s">
        <v>88</v>
      </c>
      <c r="F112" s="696" t="s">
        <v>81</v>
      </c>
      <c r="G112" s="697" t="s">
        <v>89</v>
      </c>
      <c r="H112" s="697" t="s">
        <v>37</v>
      </c>
      <c r="I112" s="698" t="s">
        <v>90</v>
      </c>
      <c r="J112" s="10" t="s">
        <v>56</v>
      </c>
      <c r="K112" s="24">
        <v>21.8</v>
      </c>
      <c r="L112" s="24">
        <f>M112-K112</f>
        <v>0</v>
      </c>
      <c r="M112" s="24">
        <v>21.8</v>
      </c>
    </row>
    <row r="113" spans="1:13" s="121" customFormat="1" ht="90" customHeight="1" x14ac:dyDescent="0.35">
      <c r="A113" s="11"/>
      <c r="B113" s="529" t="s">
        <v>677</v>
      </c>
      <c r="C113" s="23" t="s">
        <v>1</v>
      </c>
      <c r="D113" s="10" t="s">
        <v>63</v>
      </c>
      <c r="E113" s="10" t="s">
        <v>88</v>
      </c>
      <c r="F113" s="696" t="s">
        <v>81</v>
      </c>
      <c r="G113" s="697" t="s">
        <v>89</v>
      </c>
      <c r="H113" s="697" t="s">
        <v>37</v>
      </c>
      <c r="I113" s="698" t="s">
        <v>330</v>
      </c>
      <c r="J113" s="10"/>
      <c r="K113" s="24">
        <f>K114</f>
        <v>121.8</v>
      </c>
      <c r="L113" s="24">
        <f>L114</f>
        <v>0</v>
      </c>
      <c r="M113" s="24">
        <f>M114</f>
        <v>121.8</v>
      </c>
    </row>
    <row r="114" spans="1:13" s="121" customFormat="1" ht="18" customHeight="1" x14ac:dyDescent="0.35">
      <c r="A114" s="11"/>
      <c r="B114" s="567" t="s">
        <v>123</v>
      </c>
      <c r="C114" s="23" t="s">
        <v>1</v>
      </c>
      <c r="D114" s="10" t="s">
        <v>63</v>
      </c>
      <c r="E114" s="10" t="s">
        <v>88</v>
      </c>
      <c r="F114" s="696" t="s">
        <v>81</v>
      </c>
      <c r="G114" s="697" t="s">
        <v>89</v>
      </c>
      <c r="H114" s="697" t="s">
        <v>37</v>
      </c>
      <c r="I114" s="698" t="s">
        <v>330</v>
      </c>
      <c r="J114" s="10" t="s">
        <v>124</v>
      </c>
      <c r="K114" s="24">
        <v>121.8</v>
      </c>
      <c r="L114" s="24">
        <f>M114-K114</f>
        <v>0</v>
      </c>
      <c r="M114" s="24">
        <v>121.8</v>
      </c>
    </row>
    <row r="115" spans="1:13" s="121" customFormat="1" ht="54" customHeight="1" x14ac:dyDescent="0.35">
      <c r="A115" s="11"/>
      <c r="B115" s="551" t="s">
        <v>126</v>
      </c>
      <c r="C115" s="23" t="s">
        <v>1</v>
      </c>
      <c r="D115" s="10" t="s">
        <v>63</v>
      </c>
      <c r="E115" s="10" t="s">
        <v>88</v>
      </c>
      <c r="F115" s="696" t="s">
        <v>81</v>
      </c>
      <c r="G115" s="697" t="s">
        <v>89</v>
      </c>
      <c r="H115" s="697" t="s">
        <v>39</v>
      </c>
      <c r="I115" s="698" t="s">
        <v>44</v>
      </c>
      <c r="J115" s="10"/>
      <c r="K115" s="24">
        <f t="shared" ref="K115:M116" si="12">K116</f>
        <v>1419.8</v>
      </c>
      <c r="L115" s="24">
        <f t="shared" si="12"/>
        <v>-191.20000000000005</v>
      </c>
      <c r="M115" s="24">
        <f t="shared" si="12"/>
        <v>1228.5999999999999</v>
      </c>
    </row>
    <row r="116" spans="1:13" s="121" customFormat="1" ht="36" customHeight="1" x14ac:dyDescent="0.35">
      <c r="A116" s="11"/>
      <c r="B116" s="551" t="s">
        <v>127</v>
      </c>
      <c r="C116" s="23" t="s">
        <v>1</v>
      </c>
      <c r="D116" s="10" t="s">
        <v>63</v>
      </c>
      <c r="E116" s="10" t="s">
        <v>88</v>
      </c>
      <c r="F116" s="696" t="s">
        <v>81</v>
      </c>
      <c r="G116" s="697" t="s">
        <v>89</v>
      </c>
      <c r="H116" s="697" t="s">
        <v>39</v>
      </c>
      <c r="I116" s="698" t="s">
        <v>90</v>
      </c>
      <c r="J116" s="10"/>
      <c r="K116" s="24">
        <f t="shared" si="12"/>
        <v>1419.8</v>
      </c>
      <c r="L116" s="24">
        <f t="shared" si="12"/>
        <v>-191.20000000000005</v>
      </c>
      <c r="M116" s="24">
        <f t="shared" si="12"/>
        <v>1228.5999999999999</v>
      </c>
    </row>
    <row r="117" spans="1:13" s="121" customFormat="1" ht="54" customHeight="1" x14ac:dyDescent="0.35">
      <c r="A117" s="11"/>
      <c r="B117" s="518" t="s">
        <v>55</v>
      </c>
      <c r="C117" s="23" t="s">
        <v>1</v>
      </c>
      <c r="D117" s="10" t="s">
        <v>63</v>
      </c>
      <c r="E117" s="10" t="s">
        <v>88</v>
      </c>
      <c r="F117" s="696" t="s">
        <v>81</v>
      </c>
      <c r="G117" s="697" t="s">
        <v>89</v>
      </c>
      <c r="H117" s="697" t="s">
        <v>39</v>
      </c>
      <c r="I117" s="698" t="s">
        <v>90</v>
      </c>
      <c r="J117" s="10" t="s">
        <v>56</v>
      </c>
      <c r="K117" s="24">
        <f>443.6+1015-38.8</f>
        <v>1419.8</v>
      </c>
      <c r="L117" s="24">
        <f>M117-K117</f>
        <v>-191.20000000000005</v>
      </c>
      <c r="M117" s="24">
        <f>443.6+1015-38.8-191.2</f>
        <v>1228.5999999999999</v>
      </c>
    </row>
    <row r="118" spans="1:13" s="121" customFormat="1" ht="72" customHeight="1" x14ac:dyDescent="0.35">
      <c r="A118" s="11"/>
      <c r="B118" s="567" t="s">
        <v>368</v>
      </c>
      <c r="C118" s="23" t="s">
        <v>1</v>
      </c>
      <c r="D118" s="10" t="s">
        <v>63</v>
      </c>
      <c r="E118" s="10" t="s">
        <v>88</v>
      </c>
      <c r="F118" s="696" t="s">
        <v>81</v>
      </c>
      <c r="G118" s="697" t="s">
        <v>30</v>
      </c>
      <c r="H118" s="697" t="s">
        <v>43</v>
      </c>
      <c r="I118" s="698" t="s">
        <v>44</v>
      </c>
      <c r="J118" s="10"/>
      <c r="K118" s="24">
        <f>K119+K124</f>
        <v>12031.547999999997</v>
      </c>
      <c r="L118" s="24">
        <f>L119+L124</f>
        <v>0</v>
      </c>
      <c r="M118" s="24">
        <f>M119+M124</f>
        <v>12031.547999999997</v>
      </c>
    </row>
    <row r="119" spans="1:13" s="121" customFormat="1" ht="72" customHeight="1" x14ac:dyDescent="0.35">
      <c r="A119" s="11"/>
      <c r="B119" s="551" t="s">
        <v>323</v>
      </c>
      <c r="C119" s="23" t="s">
        <v>1</v>
      </c>
      <c r="D119" s="10" t="s">
        <v>63</v>
      </c>
      <c r="E119" s="10" t="s">
        <v>88</v>
      </c>
      <c r="F119" s="696" t="s">
        <v>81</v>
      </c>
      <c r="G119" s="697" t="s">
        <v>30</v>
      </c>
      <c r="H119" s="697" t="s">
        <v>37</v>
      </c>
      <c r="I119" s="698" t="s">
        <v>44</v>
      </c>
      <c r="J119" s="10"/>
      <c r="K119" s="24">
        <f>K120</f>
        <v>11554.647999999997</v>
      </c>
      <c r="L119" s="24">
        <f>L120</f>
        <v>0</v>
      </c>
      <c r="M119" s="24">
        <f>M120</f>
        <v>11554.647999999997</v>
      </c>
    </row>
    <row r="120" spans="1:13" s="121" customFormat="1" ht="36" customHeight="1" x14ac:dyDescent="0.35">
      <c r="A120" s="11"/>
      <c r="B120" s="551" t="s">
        <v>466</v>
      </c>
      <c r="C120" s="23" t="s">
        <v>1</v>
      </c>
      <c r="D120" s="10" t="s">
        <v>63</v>
      </c>
      <c r="E120" s="10" t="s">
        <v>88</v>
      </c>
      <c r="F120" s="696" t="s">
        <v>81</v>
      </c>
      <c r="G120" s="697" t="s">
        <v>30</v>
      </c>
      <c r="H120" s="697" t="s">
        <v>37</v>
      </c>
      <c r="I120" s="698" t="s">
        <v>91</v>
      </c>
      <c r="J120" s="10"/>
      <c r="K120" s="24">
        <f>K121+K122+K123</f>
        <v>11554.647999999997</v>
      </c>
      <c r="L120" s="24">
        <f>L121+L122+L123</f>
        <v>0</v>
      </c>
      <c r="M120" s="24">
        <f>M121+M122+M123</f>
        <v>11554.647999999997</v>
      </c>
    </row>
    <row r="121" spans="1:13" s="121" customFormat="1" ht="108" customHeight="1" x14ac:dyDescent="0.35">
      <c r="A121" s="11"/>
      <c r="B121" s="518" t="s">
        <v>49</v>
      </c>
      <c r="C121" s="23" t="s">
        <v>1</v>
      </c>
      <c r="D121" s="10" t="s">
        <v>63</v>
      </c>
      <c r="E121" s="10" t="s">
        <v>88</v>
      </c>
      <c r="F121" s="696" t="s">
        <v>81</v>
      </c>
      <c r="G121" s="697" t="s">
        <v>30</v>
      </c>
      <c r="H121" s="697" t="s">
        <v>37</v>
      </c>
      <c r="I121" s="698" t="s">
        <v>91</v>
      </c>
      <c r="J121" s="10" t="s">
        <v>50</v>
      </c>
      <c r="K121" s="24">
        <v>8701.2999999999993</v>
      </c>
      <c r="L121" s="24">
        <f>M121-K121</f>
        <v>0</v>
      </c>
      <c r="M121" s="24">
        <v>8701.2999999999993</v>
      </c>
    </row>
    <row r="122" spans="1:13" s="121" customFormat="1" ht="54" x14ac:dyDescent="0.35">
      <c r="A122" s="11"/>
      <c r="B122" s="518" t="s">
        <v>55</v>
      </c>
      <c r="C122" s="23" t="s">
        <v>1</v>
      </c>
      <c r="D122" s="10" t="s">
        <v>63</v>
      </c>
      <c r="E122" s="10" t="s">
        <v>88</v>
      </c>
      <c r="F122" s="696" t="s">
        <v>81</v>
      </c>
      <c r="G122" s="697" t="s">
        <v>30</v>
      </c>
      <c r="H122" s="697" t="s">
        <v>37</v>
      </c>
      <c r="I122" s="698" t="s">
        <v>91</v>
      </c>
      <c r="J122" s="10" t="s">
        <v>56</v>
      </c>
      <c r="K122" s="24">
        <f>1852.3+1.448+429.2+197.6+198.4+171.1</f>
        <v>2850.0479999999998</v>
      </c>
      <c r="L122" s="24">
        <f>M122-K122</f>
        <v>0</v>
      </c>
      <c r="M122" s="24">
        <f>1852.3+1.448+429.2+197.6+198.4+171.1</f>
        <v>2850.0479999999998</v>
      </c>
    </row>
    <row r="123" spans="1:13" s="121" customFormat="1" ht="18" customHeight="1" x14ac:dyDescent="0.35">
      <c r="A123" s="11"/>
      <c r="B123" s="518" t="s">
        <v>57</v>
      </c>
      <c r="C123" s="23" t="s">
        <v>1</v>
      </c>
      <c r="D123" s="10" t="s">
        <v>63</v>
      </c>
      <c r="E123" s="10" t="s">
        <v>88</v>
      </c>
      <c r="F123" s="696" t="s">
        <v>81</v>
      </c>
      <c r="G123" s="697" t="s">
        <v>30</v>
      </c>
      <c r="H123" s="697" t="s">
        <v>37</v>
      </c>
      <c r="I123" s="698" t="s">
        <v>91</v>
      </c>
      <c r="J123" s="10" t="s">
        <v>58</v>
      </c>
      <c r="K123" s="24">
        <v>3.3</v>
      </c>
      <c r="L123" s="24">
        <f>M123-K123</f>
        <v>0</v>
      </c>
      <c r="M123" s="24">
        <v>3.3</v>
      </c>
    </row>
    <row r="124" spans="1:13" s="121" customFormat="1" ht="36" customHeight="1" x14ac:dyDescent="0.35">
      <c r="A124" s="11"/>
      <c r="B124" s="514" t="s">
        <v>576</v>
      </c>
      <c r="C124" s="23" t="s">
        <v>1</v>
      </c>
      <c r="D124" s="10" t="s">
        <v>63</v>
      </c>
      <c r="E124" s="10" t="s">
        <v>88</v>
      </c>
      <c r="F124" s="696" t="s">
        <v>81</v>
      </c>
      <c r="G124" s="697" t="s">
        <v>30</v>
      </c>
      <c r="H124" s="697" t="s">
        <v>39</v>
      </c>
      <c r="I124" s="698" t="s">
        <v>44</v>
      </c>
      <c r="J124" s="10"/>
      <c r="K124" s="24">
        <f t="shared" ref="K124:M125" si="13">K125</f>
        <v>476.9</v>
      </c>
      <c r="L124" s="24">
        <f t="shared" si="13"/>
        <v>0</v>
      </c>
      <c r="M124" s="24">
        <f t="shared" si="13"/>
        <v>476.9</v>
      </c>
    </row>
    <row r="125" spans="1:13" s="121" customFormat="1" ht="54" customHeight="1" x14ac:dyDescent="0.35">
      <c r="A125" s="11"/>
      <c r="B125" s="514" t="s">
        <v>85</v>
      </c>
      <c r="C125" s="23" t="s">
        <v>1</v>
      </c>
      <c r="D125" s="10" t="s">
        <v>63</v>
      </c>
      <c r="E125" s="10" t="s">
        <v>88</v>
      </c>
      <c r="F125" s="696" t="s">
        <v>81</v>
      </c>
      <c r="G125" s="697" t="s">
        <v>30</v>
      </c>
      <c r="H125" s="697" t="s">
        <v>39</v>
      </c>
      <c r="I125" s="698" t="s">
        <v>86</v>
      </c>
      <c r="J125" s="10"/>
      <c r="K125" s="24">
        <f t="shared" si="13"/>
        <v>476.9</v>
      </c>
      <c r="L125" s="24">
        <f t="shared" si="13"/>
        <v>0</v>
      </c>
      <c r="M125" s="24">
        <f t="shared" si="13"/>
        <v>476.9</v>
      </c>
    </row>
    <row r="126" spans="1:13" s="121" customFormat="1" ht="54" customHeight="1" x14ac:dyDescent="0.35">
      <c r="A126" s="11"/>
      <c r="B126" s="518" t="s">
        <v>55</v>
      </c>
      <c r="C126" s="23" t="s">
        <v>1</v>
      </c>
      <c r="D126" s="10" t="s">
        <v>63</v>
      </c>
      <c r="E126" s="10" t="s">
        <v>88</v>
      </c>
      <c r="F126" s="696" t="s">
        <v>81</v>
      </c>
      <c r="G126" s="697" t="s">
        <v>30</v>
      </c>
      <c r="H126" s="697" t="s">
        <v>39</v>
      </c>
      <c r="I126" s="698" t="s">
        <v>86</v>
      </c>
      <c r="J126" s="10" t="s">
        <v>56</v>
      </c>
      <c r="K126" s="24">
        <f>308.4+168.5</f>
        <v>476.9</v>
      </c>
      <c r="L126" s="24">
        <f>M126-K126</f>
        <v>0</v>
      </c>
      <c r="M126" s="24">
        <f>308.4+168.5</f>
        <v>476.9</v>
      </c>
    </row>
    <row r="127" spans="1:13" s="121" customFormat="1" ht="54" customHeight="1" x14ac:dyDescent="0.35">
      <c r="A127" s="11"/>
      <c r="B127" s="532" t="s">
        <v>492</v>
      </c>
      <c r="C127" s="23" t="s">
        <v>1</v>
      </c>
      <c r="D127" s="10" t="s">
        <v>63</v>
      </c>
      <c r="E127" s="10" t="s">
        <v>88</v>
      </c>
      <c r="F127" s="696" t="s">
        <v>81</v>
      </c>
      <c r="G127" s="697" t="s">
        <v>31</v>
      </c>
      <c r="H127" s="697" t="s">
        <v>43</v>
      </c>
      <c r="I127" s="698" t="s">
        <v>44</v>
      </c>
      <c r="J127" s="10"/>
      <c r="K127" s="24">
        <f>K128</f>
        <v>21.8</v>
      </c>
      <c r="L127" s="24">
        <f>L128</f>
        <v>0</v>
      </c>
      <c r="M127" s="24">
        <f>M128</f>
        <v>21.8</v>
      </c>
    </row>
    <row r="128" spans="1:13" s="121" customFormat="1" ht="72" customHeight="1" x14ac:dyDescent="0.35">
      <c r="A128" s="11"/>
      <c r="B128" s="533" t="s">
        <v>493</v>
      </c>
      <c r="C128" s="23" t="s">
        <v>1</v>
      </c>
      <c r="D128" s="10" t="s">
        <v>63</v>
      </c>
      <c r="E128" s="10" t="s">
        <v>88</v>
      </c>
      <c r="F128" s="696" t="s">
        <v>81</v>
      </c>
      <c r="G128" s="697" t="s">
        <v>31</v>
      </c>
      <c r="H128" s="697" t="s">
        <v>37</v>
      </c>
      <c r="I128" s="698" t="s">
        <v>44</v>
      </c>
      <c r="J128" s="10"/>
      <c r="K128" s="24">
        <f t="shared" ref="K128:M129" si="14">K129</f>
        <v>21.8</v>
      </c>
      <c r="L128" s="24">
        <f t="shared" si="14"/>
        <v>0</v>
      </c>
      <c r="M128" s="24">
        <f t="shared" si="14"/>
        <v>21.8</v>
      </c>
    </row>
    <row r="129" spans="1:13" s="121" customFormat="1" ht="54" customHeight="1" x14ac:dyDescent="0.35">
      <c r="A129" s="11"/>
      <c r="B129" s="534" t="s">
        <v>85</v>
      </c>
      <c r="C129" s="23" t="s">
        <v>1</v>
      </c>
      <c r="D129" s="10" t="s">
        <v>63</v>
      </c>
      <c r="E129" s="10" t="s">
        <v>88</v>
      </c>
      <c r="F129" s="696" t="s">
        <v>81</v>
      </c>
      <c r="G129" s="697" t="s">
        <v>31</v>
      </c>
      <c r="H129" s="697" t="s">
        <v>37</v>
      </c>
      <c r="I129" s="698" t="s">
        <v>86</v>
      </c>
      <c r="J129" s="10"/>
      <c r="K129" s="24">
        <f t="shared" si="14"/>
        <v>21.8</v>
      </c>
      <c r="L129" s="24">
        <f t="shared" si="14"/>
        <v>0</v>
      </c>
      <c r="M129" s="24">
        <f t="shared" si="14"/>
        <v>21.8</v>
      </c>
    </row>
    <row r="130" spans="1:13" s="121" customFormat="1" ht="54" customHeight="1" x14ac:dyDescent="0.35">
      <c r="A130" s="11"/>
      <c r="B130" s="535" t="s">
        <v>55</v>
      </c>
      <c r="C130" s="23" t="s">
        <v>1</v>
      </c>
      <c r="D130" s="10" t="s">
        <v>63</v>
      </c>
      <c r="E130" s="10" t="s">
        <v>88</v>
      </c>
      <c r="F130" s="696" t="s">
        <v>81</v>
      </c>
      <c r="G130" s="697" t="s">
        <v>31</v>
      </c>
      <c r="H130" s="697" t="s">
        <v>37</v>
      </c>
      <c r="I130" s="698" t="s">
        <v>86</v>
      </c>
      <c r="J130" s="10" t="s">
        <v>56</v>
      </c>
      <c r="K130" s="24">
        <v>21.8</v>
      </c>
      <c r="L130" s="24">
        <f>M130-K130</f>
        <v>0</v>
      </c>
      <c r="M130" s="24">
        <v>21.8</v>
      </c>
    </row>
    <row r="131" spans="1:13" s="121" customFormat="1" ht="18" customHeight="1" x14ac:dyDescent="0.35">
      <c r="A131" s="11"/>
      <c r="B131" s="518" t="s">
        <v>92</v>
      </c>
      <c r="C131" s="23" t="s">
        <v>1</v>
      </c>
      <c r="D131" s="10" t="s">
        <v>52</v>
      </c>
      <c r="E131" s="10"/>
      <c r="F131" s="696"/>
      <c r="G131" s="697"/>
      <c r="H131" s="697"/>
      <c r="I131" s="698"/>
      <c r="J131" s="10"/>
      <c r="K131" s="24">
        <f>K132+K141+K147</f>
        <v>95817.115600000005</v>
      </c>
      <c r="L131" s="24">
        <f>L132+L141+L147</f>
        <v>0</v>
      </c>
      <c r="M131" s="24">
        <f>M132+M141+M147</f>
        <v>95817.115600000005</v>
      </c>
    </row>
    <row r="132" spans="1:13" s="7" customFormat="1" ht="18" customHeight="1" x14ac:dyDescent="0.35">
      <c r="A132" s="11"/>
      <c r="B132" s="518" t="s">
        <v>93</v>
      </c>
      <c r="C132" s="23" t="s">
        <v>1</v>
      </c>
      <c r="D132" s="10" t="s">
        <v>52</v>
      </c>
      <c r="E132" s="10" t="s">
        <v>65</v>
      </c>
      <c r="F132" s="696"/>
      <c r="G132" s="697"/>
      <c r="H132" s="697"/>
      <c r="I132" s="698"/>
      <c r="J132" s="10"/>
      <c r="K132" s="24">
        <f t="shared" ref="K132:M133" si="15">K133</f>
        <v>14369.400000000001</v>
      </c>
      <c r="L132" s="24">
        <f t="shared" si="15"/>
        <v>0</v>
      </c>
      <c r="M132" s="24">
        <f t="shared" si="15"/>
        <v>14369.400000000001</v>
      </c>
    </row>
    <row r="133" spans="1:13" s="121" customFormat="1" ht="54" customHeight="1" x14ac:dyDescent="0.35">
      <c r="A133" s="11"/>
      <c r="B133" s="518" t="s">
        <v>94</v>
      </c>
      <c r="C133" s="23" t="s">
        <v>1</v>
      </c>
      <c r="D133" s="10" t="s">
        <v>52</v>
      </c>
      <c r="E133" s="10" t="s">
        <v>65</v>
      </c>
      <c r="F133" s="696" t="s">
        <v>67</v>
      </c>
      <c r="G133" s="697" t="s">
        <v>42</v>
      </c>
      <c r="H133" s="697" t="s">
        <v>43</v>
      </c>
      <c r="I133" s="698" t="s">
        <v>44</v>
      </c>
      <c r="J133" s="10"/>
      <c r="K133" s="24">
        <f t="shared" si="15"/>
        <v>14369.400000000001</v>
      </c>
      <c r="L133" s="24">
        <f t="shared" si="15"/>
        <v>0</v>
      </c>
      <c r="M133" s="24">
        <f t="shared" si="15"/>
        <v>14369.400000000001</v>
      </c>
    </row>
    <row r="134" spans="1:13" s="7" customFormat="1" ht="36" customHeight="1" x14ac:dyDescent="0.35">
      <c r="A134" s="11"/>
      <c r="B134" s="518" t="s">
        <v>339</v>
      </c>
      <c r="C134" s="23" t="s">
        <v>1</v>
      </c>
      <c r="D134" s="10" t="s">
        <v>52</v>
      </c>
      <c r="E134" s="10" t="s">
        <v>65</v>
      </c>
      <c r="F134" s="696" t="s">
        <v>67</v>
      </c>
      <c r="G134" s="697" t="s">
        <v>45</v>
      </c>
      <c r="H134" s="697" t="s">
        <v>43</v>
      </c>
      <c r="I134" s="698" t="s">
        <v>44</v>
      </c>
      <c r="J134" s="10"/>
      <c r="K134" s="24">
        <f>K135+K138</f>
        <v>14369.400000000001</v>
      </c>
      <c r="L134" s="24">
        <f>L135+L138</f>
        <v>0</v>
      </c>
      <c r="M134" s="24">
        <f>M135+M138</f>
        <v>14369.400000000001</v>
      </c>
    </row>
    <row r="135" spans="1:13" s="7" customFormat="1" ht="54" customHeight="1" x14ac:dyDescent="0.35">
      <c r="A135" s="11"/>
      <c r="B135" s="518" t="s">
        <v>95</v>
      </c>
      <c r="C135" s="23" t="s">
        <v>1</v>
      </c>
      <c r="D135" s="10" t="s">
        <v>52</v>
      </c>
      <c r="E135" s="10" t="s">
        <v>65</v>
      </c>
      <c r="F135" s="696" t="s">
        <v>67</v>
      </c>
      <c r="G135" s="697" t="s">
        <v>45</v>
      </c>
      <c r="H135" s="697" t="s">
        <v>37</v>
      </c>
      <c r="I135" s="698" t="s">
        <v>44</v>
      </c>
      <c r="J135" s="10"/>
      <c r="K135" s="24">
        <f t="shared" ref="K135:M136" si="16">K136</f>
        <v>11070.6</v>
      </c>
      <c r="L135" s="24">
        <f t="shared" si="16"/>
        <v>0</v>
      </c>
      <c r="M135" s="24">
        <f t="shared" si="16"/>
        <v>11070.6</v>
      </c>
    </row>
    <row r="136" spans="1:13" s="7" customFormat="1" ht="72" customHeight="1" x14ac:dyDescent="0.35">
      <c r="A136" s="11"/>
      <c r="B136" s="566" t="s">
        <v>409</v>
      </c>
      <c r="C136" s="23" t="s">
        <v>1</v>
      </c>
      <c r="D136" s="10" t="s">
        <v>52</v>
      </c>
      <c r="E136" s="10" t="s">
        <v>65</v>
      </c>
      <c r="F136" s="696" t="s">
        <v>67</v>
      </c>
      <c r="G136" s="697" t="s">
        <v>45</v>
      </c>
      <c r="H136" s="697" t="s">
        <v>37</v>
      </c>
      <c r="I136" s="698" t="s">
        <v>61</v>
      </c>
      <c r="J136" s="10"/>
      <c r="K136" s="24">
        <f t="shared" si="16"/>
        <v>11070.6</v>
      </c>
      <c r="L136" s="24">
        <f t="shared" si="16"/>
        <v>0</v>
      </c>
      <c r="M136" s="24">
        <f t="shared" si="16"/>
        <v>11070.6</v>
      </c>
    </row>
    <row r="137" spans="1:13" s="121" customFormat="1" ht="18" customHeight="1" x14ac:dyDescent="0.35">
      <c r="A137" s="11"/>
      <c r="B137" s="518" t="s">
        <v>57</v>
      </c>
      <c r="C137" s="23" t="s">
        <v>1</v>
      </c>
      <c r="D137" s="10" t="s">
        <v>52</v>
      </c>
      <c r="E137" s="10" t="s">
        <v>65</v>
      </c>
      <c r="F137" s="696" t="s">
        <v>67</v>
      </c>
      <c r="G137" s="697" t="s">
        <v>45</v>
      </c>
      <c r="H137" s="697" t="s">
        <v>37</v>
      </c>
      <c r="I137" s="698" t="s">
        <v>61</v>
      </c>
      <c r="J137" s="10" t="s">
        <v>58</v>
      </c>
      <c r="K137" s="24">
        <v>11070.6</v>
      </c>
      <c r="L137" s="24">
        <f>M137-K137</f>
        <v>0</v>
      </c>
      <c r="M137" s="24">
        <v>11070.6</v>
      </c>
    </row>
    <row r="138" spans="1:13" s="7" customFormat="1" ht="54" customHeight="1" x14ac:dyDescent="0.35">
      <c r="A138" s="11"/>
      <c r="B138" s="518" t="s">
        <v>96</v>
      </c>
      <c r="C138" s="23" t="s">
        <v>1</v>
      </c>
      <c r="D138" s="10" t="s">
        <v>52</v>
      </c>
      <c r="E138" s="10" t="s">
        <v>65</v>
      </c>
      <c r="F138" s="696" t="s">
        <v>67</v>
      </c>
      <c r="G138" s="697" t="s">
        <v>45</v>
      </c>
      <c r="H138" s="697" t="s">
        <v>39</v>
      </c>
      <c r="I138" s="698" t="s">
        <v>44</v>
      </c>
      <c r="J138" s="10"/>
      <c r="K138" s="24">
        <f t="shared" ref="K138:M139" si="17">K139</f>
        <v>3298.8</v>
      </c>
      <c r="L138" s="24">
        <f t="shared" si="17"/>
        <v>0</v>
      </c>
      <c r="M138" s="24">
        <f t="shared" si="17"/>
        <v>3298.8</v>
      </c>
    </row>
    <row r="139" spans="1:13" s="7" customFormat="1" ht="180" customHeight="1" x14ac:dyDescent="0.35">
      <c r="A139" s="11"/>
      <c r="B139" s="518" t="s">
        <v>527</v>
      </c>
      <c r="C139" s="23" t="s">
        <v>1</v>
      </c>
      <c r="D139" s="10" t="s">
        <v>52</v>
      </c>
      <c r="E139" s="10" t="s">
        <v>65</v>
      </c>
      <c r="F139" s="696" t="s">
        <v>67</v>
      </c>
      <c r="G139" s="697" t="s">
        <v>45</v>
      </c>
      <c r="H139" s="697" t="s">
        <v>39</v>
      </c>
      <c r="I139" s="698" t="s">
        <v>97</v>
      </c>
      <c r="J139" s="10"/>
      <c r="K139" s="24">
        <f t="shared" si="17"/>
        <v>3298.8</v>
      </c>
      <c r="L139" s="24">
        <f t="shared" si="17"/>
        <v>0</v>
      </c>
      <c r="M139" s="24">
        <f t="shared" si="17"/>
        <v>3298.8</v>
      </c>
    </row>
    <row r="140" spans="1:13" s="121" customFormat="1" ht="54" customHeight="1" x14ac:dyDescent="0.35">
      <c r="A140" s="11"/>
      <c r="B140" s="518" t="s">
        <v>55</v>
      </c>
      <c r="C140" s="23" t="s">
        <v>1</v>
      </c>
      <c r="D140" s="10" t="s">
        <v>52</v>
      </c>
      <c r="E140" s="10" t="s">
        <v>65</v>
      </c>
      <c r="F140" s="696" t="s">
        <v>67</v>
      </c>
      <c r="G140" s="697" t="s">
        <v>45</v>
      </c>
      <c r="H140" s="697" t="s">
        <v>39</v>
      </c>
      <c r="I140" s="698" t="s">
        <v>97</v>
      </c>
      <c r="J140" s="10" t="s">
        <v>56</v>
      </c>
      <c r="K140" s="24">
        <v>3298.8</v>
      </c>
      <c r="L140" s="24">
        <f>M140-K140</f>
        <v>0</v>
      </c>
      <c r="M140" s="24">
        <v>3298.8</v>
      </c>
    </row>
    <row r="141" spans="1:13" s="7" customFormat="1" ht="18" customHeight="1" x14ac:dyDescent="0.35">
      <c r="A141" s="11"/>
      <c r="B141" s="567" t="s">
        <v>98</v>
      </c>
      <c r="C141" s="23" t="s">
        <v>1</v>
      </c>
      <c r="D141" s="10" t="s">
        <v>52</v>
      </c>
      <c r="E141" s="10" t="s">
        <v>79</v>
      </c>
      <c r="F141" s="696"/>
      <c r="G141" s="697"/>
      <c r="H141" s="697"/>
      <c r="I141" s="698"/>
      <c r="J141" s="10"/>
      <c r="K141" s="24">
        <f t="shared" ref="K141:M145" si="18">K142</f>
        <v>12364.4156</v>
      </c>
      <c r="L141" s="24">
        <f t="shared" si="18"/>
        <v>0</v>
      </c>
      <c r="M141" s="24">
        <f t="shared" si="18"/>
        <v>12364.4156</v>
      </c>
    </row>
    <row r="142" spans="1:13" s="121" customFormat="1" ht="54" customHeight="1" x14ac:dyDescent="0.35">
      <c r="A142" s="11"/>
      <c r="B142" s="518" t="s">
        <v>99</v>
      </c>
      <c r="C142" s="23" t="s">
        <v>1</v>
      </c>
      <c r="D142" s="10" t="s">
        <v>52</v>
      </c>
      <c r="E142" s="10" t="s">
        <v>79</v>
      </c>
      <c r="F142" s="696" t="s">
        <v>100</v>
      </c>
      <c r="G142" s="697" t="s">
        <v>42</v>
      </c>
      <c r="H142" s="697" t="s">
        <v>43</v>
      </c>
      <c r="I142" s="698" t="s">
        <v>44</v>
      </c>
      <c r="J142" s="10"/>
      <c r="K142" s="24">
        <f t="shared" si="18"/>
        <v>12364.4156</v>
      </c>
      <c r="L142" s="24">
        <f t="shared" si="18"/>
        <v>0</v>
      </c>
      <c r="M142" s="24">
        <f t="shared" si="18"/>
        <v>12364.4156</v>
      </c>
    </row>
    <row r="143" spans="1:13" s="7" customFormat="1" ht="36" customHeight="1" x14ac:dyDescent="0.35">
      <c r="A143" s="11"/>
      <c r="B143" s="518" t="s">
        <v>339</v>
      </c>
      <c r="C143" s="23" t="s">
        <v>1</v>
      </c>
      <c r="D143" s="10" t="s">
        <v>52</v>
      </c>
      <c r="E143" s="10" t="s">
        <v>79</v>
      </c>
      <c r="F143" s="696" t="s">
        <v>100</v>
      </c>
      <c r="G143" s="697" t="s">
        <v>45</v>
      </c>
      <c r="H143" s="697" t="s">
        <v>43</v>
      </c>
      <c r="I143" s="698" t="s">
        <v>44</v>
      </c>
      <c r="J143" s="10"/>
      <c r="K143" s="24">
        <f t="shared" si="18"/>
        <v>12364.4156</v>
      </c>
      <c r="L143" s="24">
        <f t="shared" si="18"/>
        <v>0</v>
      </c>
      <c r="M143" s="24">
        <f t="shared" si="18"/>
        <v>12364.4156</v>
      </c>
    </row>
    <row r="144" spans="1:13" s="7" customFormat="1" ht="90" customHeight="1" x14ac:dyDescent="0.35">
      <c r="A144" s="11"/>
      <c r="B144" s="518" t="s">
        <v>101</v>
      </c>
      <c r="C144" s="23" t="s">
        <v>1</v>
      </c>
      <c r="D144" s="10" t="s">
        <v>52</v>
      </c>
      <c r="E144" s="10" t="s">
        <v>79</v>
      </c>
      <c r="F144" s="696" t="s">
        <v>100</v>
      </c>
      <c r="G144" s="697" t="s">
        <v>45</v>
      </c>
      <c r="H144" s="697" t="s">
        <v>37</v>
      </c>
      <c r="I144" s="698" t="s">
        <v>44</v>
      </c>
      <c r="J144" s="10"/>
      <c r="K144" s="24">
        <f>K145</f>
        <v>12364.4156</v>
      </c>
      <c r="L144" s="24">
        <f>L145</f>
        <v>0</v>
      </c>
      <c r="M144" s="24">
        <f>M145</f>
        <v>12364.4156</v>
      </c>
    </row>
    <row r="145" spans="1:13" s="7" customFormat="1" ht="72" customHeight="1" x14ac:dyDescent="0.35">
      <c r="A145" s="11"/>
      <c r="B145" s="568" t="s">
        <v>102</v>
      </c>
      <c r="C145" s="23" t="s">
        <v>1</v>
      </c>
      <c r="D145" s="10" t="s">
        <v>52</v>
      </c>
      <c r="E145" s="10" t="s">
        <v>79</v>
      </c>
      <c r="F145" s="696" t="s">
        <v>100</v>
      </c>
      <c r="G145" s="697" t="s">
        <v>45</v>
      </c>
      <c r="H145" s="697" t="s">
        <v>37</v>
      </c>
      <c r="I145" s="698" t="s">
        <v>103</v>
      </c>
      <c r="J145" s="10"/>
      <c r="K145" s="24">
        <f t="shared" si="18"/>
        <v>12364.4156</v>
      </c>
      <c r="L145" s="24">
        <f t="shared" si="18"/>
        <v>0</v>
      </c>
      <c r="M145" s="24">
        <f t="shared" si="18"/>
        <v>12364.4156</v>
      </c>
    </row>
    <row r="146" spans="1:13" s="121" customFormat="1" ht="54" customHeight="1" x14ac:dyDescent="0.35">
      <c r="A146" s="11"/>
      <c r="B146" s="518" t="s">
        <v>55</v>
      </c>
      <c r="C146" s="23" t="s">
        <v>1</v>
      </c>
      <c r="D146" s="10" t="s">
        <v>52</v>
      </c>
      <c r="E146" s="10" t="s">
        <v>79</v>
      </c>
      <c r="F146" s="696" t="s">
        <v>100</v>
      </c>
      <c r="G146" s="697" t="s">
        <v>45</v>
      </c>
      <c r="H146" s="697" t="s">
        <v>37</v>
      </c>
      <c r="I146" s="698" t="s">
        <v>103</v>
      </c>
      <c r="J146" s="10" t="s">
        <v>56</v>
      </c>
      <c r="K146" s="24">
        <f>6295.9+6068.5156</f>
        <v>12364.4156</v>
      </c>
      <c r="L146" s="24">
        <f>M146-K146</f>
        <v>0</v>
      </c>
      <c r="M146" s="24">
        <f>6295.9+6068.5156</f>
        <v>12364.4156</v>
      </c>
    </row>
    <row r="147" spans="1:13" s="7" customFormat="1" ht="36" customHeight="1" x14ac:dyDescent="0.35">
      <c r="A147" s="11"/>
      <c r="B147" s="567" t="s">
        <v>106</v>
      </c>
      <c r="C147" s="23" t="s">
        <v>1</v>
      </c>
      <c r="D147" s="10" t="s">
        <v>52</v>
      </c>
      <c r="E147" s="10" t="s">
        <v>100</v>
      </c>
      <c r="F147" s="696"/>
      <c r="G147" s="697"/>
      <c r="H147" s="697"/>
      <c r="I147" s="698"/>
      <c r="J147" s="10"/>
      <c r="K147" s="24">
        <f>K148+K157+K166</f>
        <v>69083.3</v>
      </c>
      <c r="L147" s="24">
        <f>L148+L157+L166</f>
        <v>0</v>
      </c>
      <c r="M147" s="24">
        <f>M148+M157+M166</f>
        <v>69083.3</v>
      </c>
    </row>
    <row r="148" spans="1:13" s="121" customFormat="1" ht="72" customHeight="1" x14ac:dyDescent="0.35">
      <c r="A148" s="11"/>
      <c r="B148" s="518" t="s">
        <v>107</v>
      </c>
      <c r="C148" s="23" t="s">
        <v>1</v>
      </c>
      <c r="D148" s="10" t="s">
        <v>52</v>
      </c>
      <c r="E148" s="10" t="s">
        <v>100</v>
      </c>
      <c r="F148" s="696" t="s">
        <v>71</v>
      </c>
      <c r="G148" s="697" t="s">
        <v>42</v>
      </c>
      <c r="H148" s="697" t="s">
        <v>43</v>
      </c>
      <c r="I148" s="698" t="s">
        <v>44</v>
      </c>
      <c r="J148" s="10"/>
      <c r="K148" s="24">
        <f>K149+K153</f>
        <v>1066.0999999999999</v>
      </c>
      <c r="L148" s="24">
        <f>L149+L153</f>
        <v>0</v>
      </c>
      <c r="M148" s="24">
        <f>M149+M153</f>
        <v>1066.0999999999999</v>
      </c>
    </row>
    <row r="149" spans="1:13" s="121" customFormat="1" ht="54" customHeight="1" x14ac:dyDescent="0.35">
      <c r="A149" s="11"/>
      <c r="B149" s="567" t="s">
        <v>108</v>
      </c>
      <c r="C149" s="23" t="s">
        <v>1</v>
      </c>
      <c r="D149" s="10" t="s">
        <v>52</v>
      </c>
      <c r="E149" s="10" t="s">
        <v>100</v>
      </c>
      <c r="F149" s="696" t="s">
        <v>71</v>
      </c>
      <c r="G149" s="697" t="s">
        <v>45</v>
      </c>
      <c r="H149" s="697" t="s">
        <v>43</v>
      </c>
      <c r="I149" s="698" t="s">
        <v>44</v>
      </c>
      <c r="J149" s="10"/>
      <c r="K149" s="24">
        <f t="shared" ref="K149:M150" si="19">K150</f>
        <v>340</v>
      </c>
      <c r="L149" s="24">
        <f t="shared" si="19"/>
        <v>0</v>
      </c>
      <c r="M149" s="24">
        <f t="shared" si="19"/>
        <v>340</v>
      </c>
    </row>
    <row r="150" spans="1:13" s="7" customFormat="1" ht="36" customHeight="1" x14ac:dyDescent="0.35">
      <c r="A150" s="11"/>
      <c r="B150" s="518" t="s">
        <v>109</v>
      </c>
      <c r="C150" s="23" t="s">
        <v>1</v>
      </c>
      <c r="D150" s="10" t="s">
        <v>52</v>
      </c>
      <c r="E150" s="10" t="s">
        <v>100</v>
      </c>
      <c r="F150" s="696" t="s">
        <v>71</v>
      </c>
      <c r="G150" s="697" t="s">
        <v>45</v>
      </c>
      <c r="H150" s="697" t="s">
        <v>37</v>
      </c>
      <c r="I150" s="698" t="s">
        <v>44</v>
      </c>
      <c r="J150" s="10"/>
      <c r="K150" s="24">
        <f t="shared" si="19"/>
        <v>340</v>
      </c>
      <c r="L150" s="24">
        <f t="shared" si="19"/>
        <v>0</v>
      </c>
      <c r="M150" s="24">
        <f t="shared" si="19"/>
        <v>340</v>
      </c>
    </row>
    <row r="151" spans="1:13" s="121" customFormat="1" ht="36" customHeight="1" x14ac:dyDescent="0.35">
      <c r="A151" s="11"/>
      <c r="B151" s="567" t="s">
        <v>110</v>
      </c>
      <c r="C151" s="23" t="s">
        <v>1</v>
      </c>
      <c r="D151" s="10" t="s">
        <v>52</v>
      </c>
      <c r="E151" s="10" t="s">
        <v>100</v>
      </c>
      <c r="F151" s="696" t="s">
        <v>71</v>
      </c>
      <c r="G151" s="697" t="s">
        <v>45</v>
      </c>
      <c r="H151" s="697" t="s">
        <v>37</v>
      </c>
      <c r="I151" s="698" t="s">
        <v>111</v>
      </c>
      <c r="J151" s="10"/>
      <c r="K151" s="24">
        <f>K152</f>
        <v>340</v>
      </c>
      <c r="L151" s="24">
        <f>L152</f>
        <v>0</v>
      </c>
      <c r="M151" s="24">
        <f>M152</f>
        <v>340</v>
      </c>
    </row>
    <row r="152" spans="1:13" s="7" customFormat="1" ht="54" customHeight="1" x14ac:dyDescent="0.35">
      <c r="A152" s="11"/>
      <c r="B152" s="518" t="s">
        <v>55</v>
      </c>
      <c r="C152" s="23" t="s">
        <v>1</v>
      </c>
      <c r="D152" s="10" t="s">
        <v>52</v>
      </c>
      <c r="E152" s="10" t="s">
        <v>100</v>
      </c>
      <c r="F152" s="696" t="s">
        <v>71</v>
      </c>
      <c r="G152" s="697" t="s">
        <v>45</v>
      </c>
      <c r="H152" s="697" t="s">
        <v>37</v>
      </c>
      <c r="I152" s="698" t="s">
        <v>111</v>
      </c>
      <c r="J152" s="10" t="s">
        <v>56</v>
      </c>
      <c r="K152" s="24">
        <v>340</v>
      </c>
      <c r="L152" s="24">
        <f>M152-K152</f>
        <v>0</v>
      </c>
      <c r="M152" s="24">
        <v>340</v>
      </c>
    </row>
    <row r="153" spans="1:13" s="121" customFormat="1" ht="36" customHeight="1" x14ac:dyDescent="0.35">
      <c r="A153" s="11"/>
      <c r="B153" s="567" t="s">
        <v>112</v>
      </c>
      <c r="C153" s="23" t="s">
        <v>1</v>
      </c>
      <c r="D153" s="10" t="s">
        <v>52</v>
      </c>
      <c r="E153" s="10" t="s">
        <v>100</v>
      </c>
      <c r="F153" s="696" t="s">
        <v>71</v>
      </c>
      <c r="G153" s="697" t="s">
        <v>89</v>
      </c>
      <c r="H153" s="697" t="s">
        <v>43</v>
      </c>
      <c r="I153" s="698" t="s">
        <v>44</v>
      </c>
      <c r="J153" s="10"/>
      <c r="K153" s="24">
        <f t="shared" ref="K153:M155" si="20">K154</f>
        <v>726.1</v>
      </c>
      <c r="L153" s="24">
        <f t="shared" si="20"/>
        <v>0</v>
      </c>
      <c r="M153" s="24">
        <f t="shared" si="20"/>
        <v>726.1</v>
      </c>
    </row>
    <row r="154" spans="1:13" s="7" customFormat="1" ht="54" customHeight="1" x14ac:dyDescent="0.35">
      <c r="A154" s="11"/>
      <c r="B154" s="567" t="s">
        <v>113</v>
      </c>
      <c r="C154" s="23" t="s">
        <v>1</v>
      </c>
      <c r="D154" s="10" t="s">
        <v>52</v>
      </c>
      <c r="E154" s="10" t="s">
        <v>100</v>
      </c>
      <c r="F154" s="696" t="s">
        <v>71</v>
      </c>
      <c r="G154" s="697" t="s">
        <v>89</v>
      </c>
      <c r="H154" s="697" t="s">
        <v>37</v>
      </c>
      <c r="I154" s="698" t="s">
        <v>44</v>
      </c>
      <c r="J154" s="10"/>
      <c r="K154" s="24">
        <f t="shared" si="20"/>
        <v>726.1</v>
      </c>
      <c r="L154" s="24">
        <f t="shared" si="20"/>
        <v>0</v>
      </c>
      <c r="M154" s="24">
        <f t="shared" si="20"/>
        <v>726.1</v>
      </c>
    </row>
    <row r="155" spans="1:13" s="121" customFormat="1" ht="87" customHeight="1" x14ac:dyDescent="0.35">
      <c r="A155" s="11"/>
      <c r="B155" s="567" t="s">
        <v>114</v>
      </c>
      <c r="C155" s="23" t="s">
        <v>1</v>
      </c>
      <c r="D155" s="10" t="s">
        <v>52</v>
      </c>
      <c r="E155" s="10" t="s">
        <v>100</v>
      </c>
      <c r="F155" s="696" t="s">
        <v>71</v>
      </c>
      <c r="G155" s="697" t="s">
        <v>89</v>
      </c>
      <c r="H155" s="697" t="s">
        <v>37</v>
      </c>
      <c r="I155" s="698" t="s">
        <v>115</v>
      </c>
      <c r="J155" s="10"/>
      <c r="K155" s="24">
        <f t="shared" si="20"/>
        <v>726.1</v>
      </c>
      <c r="L155" s="24">
        <f t="shared" si="20"/>
        <v>0</v>
      </c>
      <c r="M155" s="24">
        <f t="shared" si="20"/>
        <v>726.1</v>
      </c>
    </row>
    <row r="156" spans="1:13" s="7" customFormat="1" ht="54" customHeight="1" x14ac:dyDescent="0.35">
      <c r="A156" s="11"/>
      <c r="B156" s="518" t="s">
        <v>55</v>
      </c>
      <c r="C156" s="23" t="s">
        <v>1</v>
      </c>
      <c r="D156" s="10" t="s">
        <v>52</v>
      </c>
      <c r="E156" s="10" t="s">
        <v>100</v>
      </c>
      <c r="F156" s="696" t="s">
        <v>71</v>
      </c>
      <c r="G156" s="697" t="s">
        <v>89</v>
      </c>
      <c r="H156" s="697" t="s">
        <v>37</v>
      </c>
      <c r="I156" s="698" t="s">
        <v>115</v>
      </c>
      <c r="J156" s="10" t="s">
        <v>56</v>
      </c>
      <c r="K156" s="24">
        <v>726.1</v>
      </c>
      <c r="L156" s="24">
        <f>M156-K156</f>
        <v>0</v>
      </c>
      <c r="M156" s="24">
        <v>726.1</v>
      </c>
    </row>
    <row r="157" spans="1:13" s="121" customFormat="1" ht="72" customHeight="1" x14ac:dyDescent="0.35">
      <c r="A157" s="11"/>
      <c r="B157" s="518" t="s">
        <v>116</v>
      </c>
      <c r="C157" s="23" t="s">
        <v>1</v>
      </c>
      <c r="D157" s="10" t="s">
        <v>52</v>
      </c>
      <c r="E157" s="10" t="s">
        <v>100</v>
      </c>
      <c r="F157" s="696" t="s">
        <v>88</v>
      </c>
      <c r="G157" s="697" t="s">
        <v>42</v>
      </c>
      <c r="H157" s="697" t="s">
        <v>43</v>
      </c>
      <c r="I157" s="698" t="s">
        <v>44</v>
      </c>
      <c r="J157" s="10"/>
      <c r="K157" s="24">
        <f t="shared" ref="K157:M160" si="21">K158</f>
        <v>54785.5</v>
      </c>
      <c r="L157" s="24">
        <f t="shared" si="21"/>
        <v>0</v>
      </c>
      <c r="M157" s="24">
        <f t="shared" si="21"/>
        <v>54785.5</v>
      </c>
    </row>
    <row r="158" spans="1:13" s="121" customFormat="1" ht="36" customHeight="1" x14ac:dyDescent="0.35">
      <c r="A158" s="11"/>
      <c r="B158" s="518" t="s">
        <v>339</v>
      </c>
      <c r="C158" s="23" t="s">
        <v>1</v>
      </c>
      <c r="D158" s="10" t="s">
        <v>52</v>
      </c>
      <c r="E158" s="10" t="s">
        <v>100</v>
      </c>
      <c r="F158" s="696" t="s">
        <v>88</v>
      </c>
      <c r="G158" s="697" t="s">
        <v>45</v>
      </c>
      <c r="H158" s="697" t="s">
        <v>43</v>
      </c>
      <c r="I158" s="698" t="s">
        <v>44</v>
      </c>
      <c r="J158" s="10"/>
      <c r="K158" s="24">
        <f t="shared" si="21"/>
        <v>54785.5</v>
      </c>
      <c r="L158" s="24">
        <f t="shared" si="21"/>
        <v>0</v>
      </c>
      <c r="M158" s="24">
        <f t="shared" si="21"/>
        <v>54785.5</v>
      </c>
    </row>
    <row r="159" spans="1:13" s="7" customFormat="1" ht="72" customHeight="1" x14ac:dyDescent="0.35">
      <c r="A159" s="11"/>
      <c r="B159" s="567" t="s">
        <v>307</v>
      </c>
      <c r="C159" s="23" t="s">
        <v>1</v>
      </c>
      <c r="D159" s="10" t="s">
        <v>52</v>
      </c>
      <c r="E159" s="10" t="s">
        <v>100</v>
      </c>
      <c r="F159" s="696" t="s">
        <v>88</v>
      </c>
      <c r="G159" s="697" t="s">
        <v>45</v>
      </c>
      <c r="H159" s="697" t="s">
        <v>37</v>
      </c>
      <c r="I159" s="698" t="s">
        <v>44</v>
      </c>
      <c r="J159" s="10"/>
      <c r="K159" s="24">
        <f>K160+K162+K164</f>
        <v>54785.5</v>
      </c>
      <c r="L159" s="24">
        <f>L160+L162+L164</f>
        <v>0</v>
      </c>
      <c r="M159" s="24">
        <f>M160+M162+M164</f>
        <v>54785.5</v>
      </c>
    </row>
    <row r="160" spans="1:13" s="121" customFormat="1" ht="54" customHeight="1" x14ac:dyDescent="0.35">
      <c r="A160" s="11"/>
      <c r="B160" s="567" t="s">
        <v>117</v>
      </c>
      <c r="C160" s="23" t="s">
        <v>1</v>
      </c>
      <c r="D160" s="10" t="s">
        <v>52</v>
      </c>
      <c r="E160" s="10" t="s">
        <v>100</v>
      </c>
      <c r="F160" s="696" t="s">
        <v>88</v>
      </c>
      <c r="G160" s="697" t="s">
        <v>45</v>
      </c>
      <c r="H160" s="697" t="s">
        <v>37</v>
      </c>
      <c r="I160" s="698" t="s">
        <v>118</v>
      </c>
      <c r="J160" s="10"/>
      <c r="K160" s="24">
        <f t="shared" si="21"/>
        <v>2274.4</v>
      </c>
      <c r="L160" s="24">
        <f t="shared" si="21"/>
        <v>0</v>
      </c>
      <c r="M160" s="24">
        <f t="shared" si="21"/>
        <v>2274.4</v>
      </c>
    </row>
    <row r="161" spans="1:13" s="7" customFormat="1" ht="54" customHeight="1" x14ac:dyDescent="0.35">
      <c r="A161" s="11"/>
      <c r="B161" s="518" t="s">
        <v>55</v>
      </c>
      <c r="C161" s="23" t="s">
        <v>1</v>
      </c>
      <c r="D161" s="10" t="s">
        <v>52</v>
      </c>
      <c r="E161" s="10" t="s">
        <v>100</v>
      </c>
      <c r="F161" s="696" t="s">
        <v>88</v>
      </c>
      <c r="G161" s="697" t="s">
        <v>45</v>
      </c>
      <c r="H161" s="697" t="s">
        <v>37</v>
      </c>
      <c r="I161" s="698" t="s">
        <v>118</v>
      </c>
      <c r="J161" s="10" t="s">
        <v>56</v>
      </c>
      <c r="K161" s="24">
        <f>50+338.2+313+1573.2</f>
        <v>2274.4</v>
      </c>
      <c r="L161" s="24">
        <f>M161-K161</f>
        <v>0</v>
      </c>
      <c r="M161" s="24">
        <f>50+338.2+313+1573.2</f>
        <v>2274.4</v>
      </c>
    </row>
    <row r="162" spans="1:13" s="7" customFormat="1" ht="99" customHeight="1" x14ac:dyDescent="0.35">
      <c r="A162" s="11"/>
      <c r="B162" s="518" t="s">
        <v>528</v>
      </c>
      <c r="C162" s="23" t="s">
        <v>1</v>
      </c>
      <c r="D162" s="10" t="s">
        <v>52</v>
      </c>
      <c r="E162" s="10" t="s">
        <v>100</v>
      </c>
      <c r="F162" s="696" t="s">
        <v>88</v>
      </c>
      <c r="G162" s="697" t="s">
        <v>45</v>
      </c>
      <c r="H162" s="697" t="s">
        <v>37</v>
      </c>
      <c r="I162" s="698" t="s">
        <v>526</v>
      </c>
      <c r="J162" s="10"/>
      <c r="K162" s="24">
        <f>K163</f>
        <v>15802.7</v>
      </c>
      <c r="L162" s="24">
        <f>L163</f>
        <v>0</v>
      </c>
      <c r="M162" s="24">
        <f>M163</f>
        <v>15802.7</v>
      </c>
    </row>
    <row r="163" spans="1:13" s="7" customFormat="1" ht="54" customHeight="1" x14ac:dyDescent="0.35">
      <c r="A163" s="11"/>
      <c r="B163" s="518" t="s">
        <v>55</v>
      </c>
      <c r="C163" s="23" t="s">
        <v>1</v>
      </c>
      <c r="D163" s="10" t="s">
        <v>52</v>
      </c>
      <c r="E163" s="10" t="s">
        <v>100</v>
      </c>
      <c r="F163" s="696" t="s">
        <v>88</v>
      </c>
      <c r="G163" s="697" t="s">
        <v>45</v>
      </c>
      <c r="H163" s="697" t="s">
        <v>37</v>
      </c>
      <c r="I163" s="698" t="s">
        <v>526</v>
      </c>
      <c r="J163" s="10" t="s">
        <v>56</v>
      </c>
      <c r="K163" s="24">
        <v>15802.7</v>
      </c>
      <c r="L163" s="24">
        <f>M163-K163</f>
        <v>0</v>
      </c>
      <c r="M163" s="24">
        <v>15802.7</v>
      </c>
    </row>
    <row r="164" spans="1:13" s="7" customFormat="1" ht="72" customHeight="1" x14ac:dyDescent="0.35">
      <c r="A164" s="11"/>
      <c r="B164" s="518" t="s">
        <v>591</v>
      </c>
      <c r="C164" s="23" t="s">
        <v>1</v>
      </c>
      <c r="D164" s="10" t="s">
        <v>52</v>
      </c>
      <c r="E164" s="10" t="s">
        <v>100</v>
      </c>
      <c r="F164" s="696" t="s">
        <v>88</v>
      </c>
      <c r="G164" s="697" t="s">
        <v>45</v>
      </c>
      <c r="H164" s="697" t="s">
        <v>37</v>
      </c>
      <c r="I164" s="698" t="s">
        <v>588</v>
      </c>
      <c r="J164" s="10"/>
      <c r="K164" s="24">
        <f>K165</f>
        <v>36708.400000000001</v>
      </c>
      <c r="L164" s="24">
        <f>L165</f>
        <v>0</v>
      </c>
      <c r="M164" s="24">
        <f>M165</f>
        <v>36708.400000000001</v>
      </c>
    </row>
    <row r="165" spans="1:13" s="7" customFormat="1" ht="54" customHeight="1" x14ac:dyDescent="0.35">
      <c r="A165" s="11"/>
      <c r="B165" s="518" t="s">
        <v>55</v>
      </c>
      <c r="C165" s="23" t="s">
        <v>1</v>
      </c>
      <c r="D165" s="10" t="s">
        <v>52</v>
      </c>
      <c r="E165" s="10" t="s">
        <v>100</v>
      </c>
      <c r="F165" s="696" t="s">
        <v>88</v>
      </c>
      <c r="G165" s="697" t="s">
        <v>45</v>
      </c>
      <c r="H165" s="697" t="s">
        <v>37</v>
      </c>
      <c r="I165" s="698" t="s">
        <v>588</v>
      </c>
      <c r="J165" s="10" t="s">
        <v>56</v>
      </c>
      <c r="K165" s="24">
        <v>36708.400000000001</v>
      </c>
      <c r="L165" s="24">
        <f>M165-K165</f>
        <v>0</v>
      </c>
      <c r="M165" s="24">
        <v>36708.400000000001</v>
      </c>
    </row>
    <row r="166" spans="1:13" s="7" customFormat="1" ht="54" customHeight="1" x14ac:dyDescent="0.35">
      <c r="A166" s="11"/>
      <c r="B166" s="518" t="s">
        <v>40</v>
      </c>
      <c r="C166" s="23" t="s">
        <v>1</v>
      </c>
      <c r="D166" s="10" t="s">
        <v>52</v>
      </c>
      <c r="E166" s="10" t="s">
        <v>100</v>
      </c>
      <c r="F166" s="696" t="s">
        <v>41</v>
      </c>
      <c r="G166" s="697" t="s">
        <v>42</v>
      </c>
      <c r="H166" s="697" t="s">
        <v>43</v>
      </c>
      <c r="I166" s="698" t="s">
        <v>44</v>
      </c>
      <c r="J166" s="10"/>
      <c r="K166" s="24">
        <f t="shared" ref="K166:M166" si="22">K167</f>
        <v>13231.7</v>
      </c>
      <c r="L166" s="24">
        <f t="shared" si="22"/>
        <v>0</v>
      </c>
      <c r="M166" s="24">
        <f t="shared" si="22"/>
        <v>13231.7</v>
      </c>
    </row>
    <row r="167" spans="1:13" s="7" customFormat="1" ht="36" customHeight="1" x14ac:dyDescent="0.35">
      <c r="A167" s="11"/>
      <c r="B167" s="518" t="s">
        <v>339</v>
      </c>
      <c r="C167" s="23" t="s">
        <v>1</v>
      </c>
      <c r="D167" s="10" t="s">
        <v>52</v>
      </c>
      <c r="E167" s="10" t="s">
        <v>100</v>
      </c>
      <c r="F167" s="696" t="s">
        <v>41</v>
      </c>
      <c r="G167" s="697" t="s">
        <v>45</v>
      </c>
      <c r="H167" s="697" t="s">
        <v>43</v>
      </c>
      <c r="I167" s="698" t="s">
        <v>44</v>
      </c>
      <c r="J167" s="10"/>
      <c r="K167" s="24">
        <f>K168+K175</f>
        <v>13231.7</v>
      </c>
      <c r="L167" s="24">
        <f>L168+L175</f>
        <v>0</v>
      </c>
      <c r="M167" s="24">
        <f>M168+M175</f>
        <v>13231.7</v>
      </c>
    </row>
    <row r="168" spans="1:13" s="7" customFormat="1" ht="54" customHeight="1" x14ac:dyDescent="0.35">
      <c r="A168" s="11"/>
      <c r="B168" s="518" t="s">
        <v>331</v>
      </c>
      <c r="C168" s="23" t="s">
        <v>1</v>
      </c>
      <c r="D168" s="10" t="s">
        <v>52</v>
      </c>
      <c r="E168" s="10" t="s">
        <v>100</v>
      </c>
      <c r="F168" s="696" t="s">
        <v>41</v>
      </c>
      <c r="G168" s="697" t="s">
        <v>45</v>
      </c>
      <c r="H168" s="697" t="s">
        <v>88</v>
      </c>
      <c r="I168" s="698" t="s">
        <v>44</v>
      </c>
      <c r="J168" s="10"/>
      <c r="K168" s="24">
        <f>K171+K169+K173</f>
        <v>12114.7</v>
      </c>
      <c r="L168" s="24">
        <f>L171+L169+L173</f>
        <v>0</v>
      </c>
      <c r="M168" s="24">
        <f>M171+M169+M173</f>
        <v>12114.7</v>
      </c>
    </row>
    <row r="169" spans="1:13" s="7" customFormat="1" ht="54" customHeight="1" x14ac:dyDescent="0.35">
      <c r="A169" s="11"/>
      <c r="B169" s="518" t="s">
        <v>567</v>
      </c>
      <c r="C169" s="23" t="s">
        <v>1</v>
      </c>
      <c r="D169" s="10" t="s">
        <v>52</v>
      </c>
      <c r="E169" s="10" t="s">
        <v>100</v>
      </c>
      <c r="F169" s="696" t="s">
        <v>41</v>
      </c>
      <c r="G169" s="697" t="s">
        <v>45</v>
      </c>
      <c r="H169" s="697" t="s">
        <v>88</v>
      </c>
      <c r="I169" s="698" t="s">
        <v>568</v>
      </c>
      <c r="J169" s="10"/>
      <c r="K169" s="24">
        <f>K170</f>
        <v>471.7</v>
      </c>
      <c r="L169" s="24">
        <f>L170</f>
        <v>0</v>
      </c>
      <c r="M169" s="24">
        <f>M170</f>
        <v>471.7</v>
      </c>
    </row>
    <row r="170" spans="1:13" s="7" customFormat="1" ht="54" customHeight="1" x14ac:dyDescent="0.35">
      <c r="A170" s="11"/>
      <c r="B170" s="518" t="s">
        <v>55</v>
      </c>
      <c r="C170" s="23" t="s">
        <v>1</v>
      </c>
      <c r="D170" s="10" t="s">
        <v>52</v>
      </c>
      <c r="E170" s="10" t="s">
        <v>100</v>
      </c>
      <c r="F170" s="696" t="s">
        <v>41</v>
      </c>
      <c r="G170" s="697" t="s">
        <v>45</v>
      </c>
      <c r="H170" s="697" t="s">
        <v>88</v>
      </c>
      <c r="I170" s="698" t="s">
        <v>568</v>
      </c>
      <c r="J170" s="10" t="s">
        <v>56</v>
      </c>
      <c r="K170" s="24">
        <v>471.7</v>
      </c>
      <c r="L170" s="24">
        <f>M170-K170</f>
        <v>0</v>
      </c>
      <c r="M170" s="24">
        <v>471.7</v>
      </c>
    </row>
    <row r="171" spans="1:13" s="7" customFormat="1" ht="54" customHeight="1" x14ac:dyDescent="0.35">
      <c r="A171" s="11"/>
      <c r="B171" s="518" t="s">
        <v>540</v>
      </c>
      <c r="C171" s="23" t="s">
        <v>1</v>
      </c>
      <c r="D171" s="10" t="s">
        <v>52</v>
      </c>
      <c r="E171" s="10" t="s">
        <v>100</v>
      </c>
      <c r="F171" s="696" t="s">
        <v>41</v>
      </c>
      <c r="G171" s="697" t="s">
        <v>45</v>
      </c>
      <c r="H171" s="697" t="s">
        <v>88</v>
      </c>
      <c r="I171" s="698" t="s">
        <v>539</v>
      </c>
      <c r="J171" s="10"/>
      <c r="K171" s="24">
        <f>K172</f>
        <v>1743</v>
      </c>
      <c r="L171" s="24">
        <f>L172</f>
        <v>0</v>
      </c>
      <c r="M171" s="24">
        <f>M172</f>
        <v>1743</v>
      </c>
    </row>
    <row r="172" spans="1:13" s="7" customFormat="1" ht="54" customHeight="1" x14ac:dyDescent="0.35">
      <c r="A172" s="11"/>
      <c r="B172" s="518" t="s">
        <v>55</v>
      </c>
      <c r="C172" s="23" t="s">
        <v>1</v>
      </c>
      <c r="D172" s="10" t="s">
        <v>52</v>
      </c>
      <c r="E172" s="10" t="s">
        <v>100</v>
      </c>
      <c r="F172" s="696" t="s">
        <v>41</v>
      </c>
      <c r="G172" s="697" t="s">
        <v>45</v>
      </c>
      <c r="H172" s="697" t="s">
        <v>88</v>
      </c>
      <c r="I172" s="698" t="s">
        <v>539</v>
      </c>
      <c r="J172" s="10" t="s">
        <v>56</v>
      </c>
      <c r="K172" s="24">
        <f>1690.7+52.3</f>
        <v>1743</v>
      </c>
      <c r="L172" s="24">
        <f>M172-K172</f>
        <v>0</v>
      </c>
      <c r="M172" s="24">
        <f>1690.7+52.3</f>
        <v>1743</v>
      </c>
    </row>
    <row r="173" spans="1:13" s="7" customFormat="1" ht="54" customHeight="1" x14ac:dyDescent="0.35">
      <c r="A173" s="11"/>
      <c r="B173" s="518" t="s">
        <v>727</v>
      </c>
      <c r="C173" s="23" t="s">
        <v>1</v>
      </c>
      <c r="D173" s="10" t="s">
        <v>52</v>
      </c>
      <c r="E173" s="10" t="s">
        <v>100</v>
      </c>
      <c r="F173" s="696" t="s">
        <v>41</v>
      </c>
      <c r="G173" s="697" t="s">
        <v>45</v>
      </c>
      <c r="H173" s="697" t="s">
        <v>88</v>
      </c>
      <c r="I173" s="698" t="s">
        <v>726</v>
      </c>
      <c r="J173" s="10"/>
      <c r="K173" s="24">
        <f>K174</f>
        <v>9900</v>
      </c>
      <c r="L173" s="24">
        <f>L174</f>
        <v>0</v>
      </c>
      <c r="M173" s="24">
        <f>M174</f>
        <v>9900</v>
      </c>
    </row>
    <row r="174" spans="1:13" s="7" customFormat="1" ht="54" customHeight="1" x14ac:dyDescent="0.35">
      <c r="A174" s="11"/>
      <c r="B174" s="518" t="s">
        <v>55</v>
      </c>
      <c r="C174" s="23" t="s">
        <v>1</v>
      </c>
      <c r="D174" s="10" t="s">
        <v>52</v>
      </c>
      <c r="E174" s="10" t="s">
        <v>100</v>
      </c>
      <c r="F174" s="696" t="s">
        <v>41</v>
      </c>
      <c r="G174" s="697" t="s">
        <v>45</v>
      </c>
      <c r="H174" s="697" t="s">
        <v>88</v>
      </c>
      <c r="I174" s="698" t="s">
        <v>726</v>
      </c>
      <c r="J174" s="10" t="s">
        <v>56</v>
      </c>
      <c r="K174" s="24">
        <f>9603+297</f>
        <v>9900</v>
      </c>
      <c r="L174" s="24">
        <f>M174-K174</f>
        <v>0</v>
      </c>
      <c r="M174" s="24">
        <f>9603+297</f>
        <v>9900</v>
      </c>
    </row>
    <row r="175" spans="1:13" s="7" customFormat="1" ht="36" customHeight="1" x14ac:dyDescent="0.35">
      <c r="A175" s="11"/>
      <c r="B175" s="601" t="s">
        <v>374</v>
      </c>
      <c r="C175" s="23" t="s">
        <v>1</v>
      </c>
      <c r="D175" s="10" t="s">
        <v>52</v>
      </c>
      <c r="E175" s="10" t="s">
        <v>100</v>
      </c>
      <c r="F175" s="696" t="s">
        <v>41</v>
      </c>
      <c r="G175" s="697" t="s">
        <v>45</v>
      </c>
      <c r="H175" s="697" t="s">
        <v>674</v>
      </c>
      <c r="I175" s="698" t="s">
        <v>44</v>
      </c>
      <c r="J175" s="10"/>
      <c r="K175" s="24">
        <f t="shared" ref="K175:M176" si="23">K176</f>
        <v>1117</v>
      </c>
      <c r="L175" s="24">
        <f t="shared" si="23"/>
        <v>0</v>
      </c>
      <c r="M175" s="24">
        <f t="shared" si="23"/>
        <v>1117</v>
      </c>
    </row>
    <row r="176" spans="1:13" s="7" customFormat="1" ht="36" customHeight="1" x14ac:dyDescent="0.35">
      <c r="A176" s="11"/>
      <c r="B176" s="601" t="s">
        <v>372</v>
      </c>
      <c r="C176" s="23" t="s">
        <v>1</v>
      </c>
      <c r="D176" s="10" t="s">
        <v>52</v>
      </c>
      <c r="E176" s="10" t="s">
        <v>100</v>
      </c>
      <c r="F176" s="696" t="s">
        <v>41</v>
      </c>
      <c r="G176" s="697" t="s">
        <v>45</v>
      </c>
      <c r="H176" s="697" t="s">
        <v>674</v>
      </c>
      <c r="I176" s="698" t="s">
        <v>371</v>
      </c>
      <c r="J176" s="10"/>
      <c r="K176" s="24">
        <f t="shared" si="23"/>
        <v>1117</v>
      </c>
      <c r="L176" s="24">
        <f t="shared" si="23"/>
        <v>0</v>
      </c>
      <c r="M176" s="24">
        <f t="shared" si="23"/>
        <v>1117</v>
      </c>
    </row>
    <row r="177" spans="1:13" s="7" customFormat="1" ht="54" customHeight="1" x14ac:dyDescent="0.35">
      <c r="A177" s="11"/>
      <c r="B177" s="601" t="s">
        <v>55</v>
      </c>
      <c r="C177" s="23" t="s">
        <v>1</v>
      </c>
      <c r="D177" s="10" t="s">
        <v>52</v>
      </c>
      <c r="E177" s="10" t="s">
        <v>100</v>
      </c>
      <c r="F177" s="696" t="s">
        <v>41</v>
      </c>
      <c r="G177" s="697" t="s">
        <v>45</v>
      </c>
      <c r="H177" s="697" t="s">
        <v>674</v>
      </c>
      <c r="I177" s="698" t="s">
        <v>371</v>
      </c>
      <c r="J177" s="10" t="s">
        <v>56</v>
      </c>
      <c r="K177" s="24">
        <v>1117</v>
      </c>
      <c r="L177" s="24">
        <f>M177-K177</f>
        <v>0</v>
      </c>
      <c r="M177" s="24">
        <v>1117</v>
      </c>
    </row>
    <row r="178" spans="1:13" s="7" customFormat="1" ht="18" customHeight="1" x14ac:dyDescent="0.35">
      <c r="A178" s="11"/>
      <c r="B178" s="518" t="s">
        <v>177</v>
      </c>
      <c r="C178" s="23" t="s">
        <v>1</v>
      </c>
      <c r="D178" s="10" t="s">
        <v>65</v>
      </c>
      <c r="E178" s="10"/>
      <c r="F178" s="696"/>
      <c r="G178" s="697"/>
      <c r="H178" s="697"/>
      <c r="I178" s="698"/>
      <c r="J178" s="10"/>
      <c r="K178" s="266">
        <f>K179+K189</f>
        <v>41446.800000000003</v>
      </c>
      <c r="L178" s="266">
        <f>L179+L189</f>
        <v>0</v>
      </c>
      <c r="M178" s="266">
        <f>M179+M189</f>
        <v>41446.800000000003</v>
      </c>
    </row>
    <row r="179" spans="1:13" s="7" customFormat="1" ht="18" customHeight="1" x14ac:dyDescent="0.35">
      <c r="A179" s="11"/>
      <c r="B179" s="518" t="s">
        <v>479</v>
      </c>
      <c r="C179" s="23" t="s">
        <v>1</v>
      </c>
      <c r="D179" s="10" t="s">
        <v>65</v>
      </c>
      <c r="E179" s="10" t="s">
        <v>37</v>
      </c>
      <c r="F179" s="696"/>
      <c r="G179" s="697"/>
      <c r="H179" s="697"/>
      <c r="I179" s="698"/>
      <c r="J179" s="10"/>
      <c r="K179" s="266">
        <f>K180</f>
        <v>34361.1</v>
      </c>
      <c r="L179" s="266">
        <f>L180</f>
        <v>0</v>
      </c>
      <c r="M179" s="266">
        <f>M180</f>
        <v>34361.1</v>
      </c>
    </row>
    <row r="180" spans="1:13" s="7" customFormat="1" ht="72" customHeight="1" x14ac:dyDescent="0.35">
      <c r="A180" s="11"/>
      <c r="B180" s="569" t="s">
        <v>332</v>
      </c>
      <c r="C180" s="23" t="s">
        <v>1</v>
      </c>
      <c r="D180" s="10" t="s">
        <v>65</v>
      </c>
      <c r="E180" s="10" t="s">
        <v>37</v>
      </c>
      <c r="F180" s="696" t="s">
        <v>104</v>
      </c>
      <c r="G180" s="697" t="s">
        <v>42</v>
      </c>
      <c r="H180" s="697" t="s">
        <v>43</v>
      </c>
      <c r="I180" s="698" t="s">
        <v>44</v>
      </c>
      <c r="J180" s="10"/>
      <c r="K180" s="24">
        <f>K182</f>
        <v>34361.1</v>
      </c>
      <c r="L180" s="24">
        <f>L182</f>
        <v>0</v>
      </c>
      <c r="M180" s="24">
        <f>M182</f>
        <v>34361.1</v>
      </c>
    </row>
    <row r="181" spans="1:13" s="7" customFormat="1" ht="36" customHeight="1" x14ac:dyDescent="0.35">
      <c r="A181" s="11"/>
      <c r="B181" s="549" t="s">
        <v>481</v>
      </c>
      <c r="C181" s="23" t="s">
        <v>1</v>
      </c>
      <c r="D181" s="10" t="s">
        <v>65</v>
      </c>
      <c r="E181" s="10" t="s">
        <v>37</v>
      </c>
      <c r="F181" s="696" t="s">
        <v>104</v>
      </c>
      <c r="G181" s="697" t="s">
        <v>482</v>
      </c>
      <c r="H181" s="697" t="s">
        <v>43</v>
      </c>
      <c r="I181" s="698" t="s">
        <v>44</v>
      </c>
      <c r="J181" s="10"/>
      <c r="K181" s="24">
        <f>K182</f>
        <v>34361.1</v>
      </c>
      <c r="L181" s="24">
        <f>L182</f>
        <v>0</v>
      </c>
      <c r="M181" s="24">
        <f>M182</f>
        <v>34361.1</v>
      </c>
    </row>
    <row r="182" spans="1:13" s="7" customFormat="1" ht="54" customHeight="1" x14ac:dyDescent="0.35">
      <c r="A182" s="11"/>
      <c r="B182" s="518" t="s">
        <v>477</v>
      </c>
      <c r="C182" s="23" t="s">
        <v>1</v>
      </c>
      <c r="D182" s="10" t="s">
        <v>65</v>
      </c>
      <c r="E182" s="10" t="s">
        <v>37</v>
      </c>
      <c r="F182" s="696" t="s">
        <v>104</v>
      </c>
      <c r="G182" s="697" t="s">
        <v>482</v>
      </c>
      <c r="H182" s="697" t="s">
        <v>476</v>
      </c>
      <c r="I182" s="698" t="s">
        <v>44</v>
      </c>
      <c r="J182" s="10"/>
      <c r="K182" s="24">
        <f>K187+K183+K185</f>
        <v>34361.1</v>
      </c>
      <c r="L182" s="24">
        <f>L187+L183+L185</f>
        <v>0</v>
      </c>
      <c r="M182" s="24">
        <f>M187+M183+M185</f>
        <v>34361.1</v>
      </c>
    </row>
    <row r="183" spans="1:13" s="7" customFormat="1" ht="108" customHeight="1" x14ac:dyDescent="0.35">
      <c r="A183" s="11"/>
      <c r="B183" s="601" t="s">
        <v>478</v>
      </c>
      <c r="C183" s="23" t="s">
        <v>1</v>
      </c>
      <c r="D183" s="10" t="s">
        <v>65</v>
      </c>
      <c r="E183" s="10" t="s">
        <v>37</v>
      </c>
      <c r="F183" s="696" t="s">
        <v>104</v>
      </c>
      <c r="G183" s="697" t="s">
        <v>482</v>
      </c>
      <c r="H183" s="697" t="s">
        <v>476</v>
      </c>
      <c r="I183" s="698" t="s">
        <v>627</v>
      </c>
      <c r="J183" s="10"/>
      <c r="K183" s="24">
        <f>K184</f>
        <v>13125.3</v>
      </c>
      <c r="L183" s="24">
        <f>L184</f>
        <v>0</v>
      </c>
      <c r="M183" s="24">
        <f>M184</f>
        <v>13125.3</v>
      </c>
    </row>
    <row r="184" spans="1:13" s="7" customFormat="1" ht="54" customHeight="1" x14ac:dyDescent="0.35">
      <c r="A184" s="11"/>
      <c r="B184" s="601" t="s">
        <v>203</v>
      </c>
      <c r="C184" s="23" t="s">
        <v>1</v>
      </c>
      <c r="D184" s="10" t="s">
        <v>65</v>
      </c>
      <c r="E184" s="10" t="s">
        <v>37</v>
      </c>
      <c r="F184" s="696" t="s">
        <v>104</v>
      </c>
      <c r="G184" s="697" t="s">
        <v>482</v>
      </c>
      <c r="H184" s="697" t="s">
        <v>476</v>
      </c>
      <c r="I184" s="698" t="s">
        <v>627</v>
      </c>
      <c r="J184" s="10" t="s">
        <v>204</v>
      </c>
      <c r="K184" s="24">
        <v>13125.3</v>
      </c>
      <c r="L184" s="24">
        <f>M184-K184</f>
        <v>0</v>
      </c>
      <c r="M184" s="24">
        <v>13125.3</v>
      </c>
    </row>
    <row r="185" spans="1:13" s="7" customFormat="1" ht="108" customHeight="1" x14ac:dyDescent="0.35">
      <c r="A185" s="11"/>
      <c r="B185" s="601" t="s">
        <v>478</v>
      </c>
      <c r="C185" s="23" t="s">
        <v>1</v>
      </c>
      <c r="D185" s="10" t="s">
        <v>65</v>
      </c>
      <c r="E185" s="10" t="s">
        <v>37</v>
      </c>
      <c r="F185" s="696" t="s">
        <v>104</v>
      </c>
      <c r="G185" s="697" t="s">
        <v>482</v>
      </c>
      <c r="H185" s="697" t="s">
        <v>476</v>
      </c>
      <c r="I185" s="698" t="s">
        <v>626</v>
      </c>
      <c r="J185" s="10"/>
      <c r="K185" s="24">
        <f>K186</f>
        <v>18201</v>
      </c>
      <c r="L185" s="24">
        <f>L186</f>
        <v>0</v>
      </c>
      <c r="M185" s="24">
        <f>M186</f>
        <v>18201</v>
      </c>
    </row>
    <row r="186" spans="1:13" s="7" customFormat="1" ht="54" customHeight="1" x14ac:dyDescent="0.35">
      <c r="A186" s="11"/>
      <c r="B186" s="602" t="s">
        <v>203</v>
      </c>
      <c r="C186" s="23" t="s">
        <v>1</v>
      </c>
      <c r="D186" s="10" t="s">
        <v>65</v>
      </c>
      <c r="E186" s="10" t="s">
        <v>37</v>
      </c>
      <c r="F186" s="696" t="s">
        <v>104</v>
      </c>
      <c r="G186" s="697" t="s">
        <v>482</v>
      </c>
      <c r="H186" s="697" t="s">
        <v>476</v>
      </c>
      <c r="I186" s="698" t="s">
        <v>626</v>
      </c>
      <c r="J186" s="10" t="s">
        <v>204</v>
      </c>
      <c r="K186" s="24">
        <v>18201</v>
      </c>
      <c r="L186" s="24">
        <f>M186-K186</f>
        <v>0</v>
      </c>
      <c r="M186" s="24">
        <v>18201</v>
      </c>
    </row>
    <row r="187" spans="1:13" s="7" customFormat="1" ht="108" customHeight="1" x14ac:dyDescent="0.35">
      <c r="A187" s="11"/>
      <c r="B187" s="518" t="s">
        <v>478</v>
      </c>
      <c r="C187" s="23" t="s">
        <v>1</v>
      </c>
      <c r="D187" s="10" t="s">
        <v>65</v>
      </c>
      <c r="E187" s="10" t="s">
        <v>37</v>
      </c>
      <c r="F187" s="696" t="s">
        <v>104</v>
      </c>
      <c r="G187" s="697" t="s">
        <v>482</v>
      </c>
      <c r="H187" s="697" t="s">
        <v>476</v>
      </c>
      <c r="I187" s="698" t="s">
        <v>520</v>
      </c>
      <c r="J187" s="10"/>
      <c r="K187" s="24">
        <f>K188</f>
        <v>3034.8</v>
      </c>
      <c r="L187" s="24">
        <f>L188</f>
        <v>0</v>
      </c>
      <c r="M187" s="24">
        <f>M188</f>
        <v>3034.8</v>
      </c>
    </row>
    <row r="188" spans="1:13" s="7" customFormat="1" ht="54" customHeight="1" x14ac:dyDescent="0.35">
      <c r="A188" s="11"/>
      <c r="B188" s="518" t="s">
        <v>203</v>
      </c>
      <c r="C188" s="23" t="s">
        <v>1</v>
      </c>
      <c r="D188" s="10" t="s">
        <v>65</v>
      </c>
      <c r="E188" s="10" t="s">
        <v>37</v>
      </c>
      <c r="F188" s="696" t="s">
        <v>104</v>
      </c>
      <c r="G188" s="697" t="s">
        <v>482</v>
      </c>
      <c r="H188" s="697" t="s">
        <v>476</v>
      </c>
      <c r="I188" s="698" t="s">
        <v>520</v>
      </c>
      <c r="J188" s="10" t="s">
        <v>204</v>
      </c>
      <c r="K188" s="24">
        <f>1649+1385.8</f>
        <v>3034.8</v>
      </c>
      <c r="L188" s="24">
        <f>M188-K188</f>
        <v>0</v>
      </c>
      <c r="M188" s="24">
        <f>1649+1385.8</f>
        <v>3034.8</v>
      </c>
    </row>
    <row r="189" spans="1:13" s="7" customFormat="1" ht="18" customHeight="1" x14ac:dyDescent="0.35">
      <c r="A189" s="11"/>
      <c r="B189" s="601" t="s">
        <v>637</v>
      </c>
      <c r="C189" s="23" t="s">
        <v>1</v>
      </c>
      <c r="D189" s="10" t="s">
        <v>65</v>
      </c>
      <c r="E189" s="10" t="s">
        <v>63</v>
      </c>
      <c r="F189" s="696"/>
      <c r="G189" s="697"/>
      <c r="H189" s="697"/>
      <c r="I189" s="698"/>
      <c r="J189" s="10"/>
      <c r="K189" s="24">
        <f t="shared" ref="K189:M193" si="24">K190</f>
        <v>7085.7000000000007</v>
      </c>
      <c r="L189" s="24">
        <f t="shared" si="24"/>
        <v>0</v>
      </c>
      <c r="M189" s="24">
        <f t="shared" si="24"/>
        <v>7085.7000000000007</v>
      </c>
    </row>
    <row r="190" spans="1:13" s="7" customFormat="1" ht="72" customHeight="1" x14ac:dyDescent="0.35">
      <c r="A190" s="11"/>
      <c r="B190" s="601" t="s">
        <v>638</v>
      </c>
      <c r="C190" s="23" t="s">
        <v>1</v>
      </c>
      <c r="D190" s="10" t="s">
        <v>65</v>
      </c>
      <c r="E190" s="10" t="s">
        <v>63</v>
      </c>
      <c r="F190" s="696" t="s">
        <v>104</v>
      </c>
      <c r="G190" s="697" t="s">
        <v>42</v>
      </c>
      <c r="H190" s="697" t="s">
        <v>43</v>
      </c>
      <c r="I190" s="698" t="s">
        <v>44</v>
      </c>
      <c r="J190" s="10"/>
      <c r="K190" s="24">
        <f t="shared" si="24"/>
        <v>7085.7000000000007</v>
      </c>
      <c r="L190" s="24">
        <f t="shared" si="24"/>
        <v>0</v>
      </c>
      <c r="M190" s="24">
        <f t="shared" si="24"/>
        <v>7085.7000000000007</v>
      </c>
    </row>
    <row r="191" spans="1:13" s="7" customFormat="1" ht="54" customHeight="1" x14ac:dyDescent="0.35">
      <c r="A191" s="11"/>
      <c r="B191" s="601" t="s">
        <v>633</v>
      </c>
      <c r="C191" s="23" t="s">
        <v>1</v>
      </c>
      <c r="D191" s="10" t="s">
        <v>65</v>
      </c>
      <c r="E191" s="10" t="s">
        <v>63</v>
      </c>
      <c r="F191" s="696" t="s">
        <v>104</v>
      </c>
      <c r="G191" s="697" t="s">
        <v>34</v>
      </c>
      <c r="H191" s="697" t="s">
        <v>43</v>
      </c>
      <c r="I191" s="698" t="s">
        <v>44</v>
      </c>
      <c r="J191" s="10"/>
      <c r="K191" s="24">
        <f t="shared" si="24"/>
        <v>7085.7000000000007</v>
      </c>
      <c r="L191" s="24">
        <f t="shared" si="24"/>
        <v>0</v>
      </c>
      <c r="M191" s="24">
        <f t="shared" si="24"/>
        <v>7085.7000000000007</v>
      </c>
    </row>
    <row r="192" spans="1:13" s="7" customFormat="1" ht="54" customHeight="1" x14ac:dyDescent="0.35">
      <c r="A192" s="11"/>
      <c r="B192" s="601" t="s">
        <v>634</v>
      </c>
      <c r="C192" s="23" t="s">
        <v>1</v>
      </c>
      <c r="D192" s="10" t="s">
        <v>65</v>
      </c>
      <c r="E192" s="10" t="s">
        <v>63</v>
      </c>
      <c r="F192" s="696" t="s">
        <v>104</v>
      </c>
      <c r="G192" s="697" t="s">
        <v>34</v>
      </c>
      <c r="H192" s="697" t="s">
        <v>37</v>
      </c>
      <c r="I192" s="698" t="s">
        <v>44</v>
      </c>
      <c r="J192" s="10"/>
      <c r="K192" s="24">
        <f t="shared" si="24"/>
        <v>7085.7000000000007</v>
      </c>
      <c r="L192" s="24">
        <f t="shared" si="24"/>
        <v>0</v>
      </c>
      <c r="M192" s="24">
        <f t="shared" si="24"/>
        <v>7085.7000000000007</v>
      </c>
    </row>
    <row r="193" spans="1:13" s="7" customFormat="1" ht="36" customHeight="1" x14ac:dyDescent="0.35">
      <c r="A193" s="11"/>
      <c r="B193" s="601" t="s">
        <v>635</v>
      </c>
      <c r="C193" s="23" t="s">
        <v>1</v>
      </c>
      <c r="D193" s="10" t="s">
        <v>65</v>
      </c>
      <c r="E193" s="10" t="s">
        <v>63</v>
      </c>
      <c r="F193" s="696" t="s">
        <v>104</v>
      </c>
      <c r="G193" s="697" t="s">
        <v>34</v>
      </c>
      <c r="H193" s="697" t="s">
        <v>37</v>
      </c>
      <c r="I193" s="698" t="s">
        <v>636</v>
      </c>
      <c r="J193" s="10"/>
      <c r="K193" s="24">
        <f t="shared" si="24"/>
        <v>7085.7000000000007</v>
      </c>
      <c r="L193" s="24">
        <f t="shared" si="24"/>
        <v>0</v>
      </c>
      <c r="M193" s="24">
        <f t="shared" si="24"/>
        <v>7085.7000000000007</v>
      </c>
    </row>
    <row r="194" spans="1:13" s="7" customFormat="1" ht="54" customHeight="1" x14ac:dyDescent="0.35">
      <c r="A194" s="11"/>
      <c r="B194" s="601" t="s">
        <v>55</v>
      </c>
      <c r="C194" s="23" t="s">
        <v>1</v>
      </c>
      <c r="D194" s="10" t="s">
        <v>65</v>
      </c>
      <c r="E194" s="10" t="s">
        <v>63</v>
      </c>
      <c r="F194" s="696" t="s">
        <v>104</v>
      </c>
      <c r="G194" s="697" t="s">
        <v>34</v>
      </c>
      <c r="H194" s="697" t="s">
        <v>37</v>
      </c>
      <c r="I194" s="698" t="s">
        <v>636</v>
      </c>
      <c r="J194" s="10" t="s">
        <v>56</v>
      </c>
      <c r="K194" s="24">
        <f>5758.6+1327.1</f>
        <v>7085.7000000000007</v>
      </c>
      <c r="L194" s="24">
        <f>M194-K194</f>
        <v>0</v>
      </c>
      <c r="M194" s="24">
        <f>5758.6+1327.1</f>
        <v>7085.7000000000007</v>
      </c>
    </row>
    <row r="195" spans="1:13" s="7" customFormat="1" ht="18" customHeight="1" x14ac:dyDescent="0.35">
      <c r="A195" s="11"/>
      <c r="B195" s="518" t="s">
        <v>179</v>
      </c>
      <c r="C195" s="23" t="s">
        <v>1</v>
      </c>
      <c r="D195" s="10" t="s">
        <v>224</v>
      </c>
      <c r="E195" s="10"/>
      <c r="F195" s="696"/>
      <c r="G195" s="697"/>
      <c r="H195" s="697"/>
      <c r="I195" s="698"/>
      <c r="J195" s="10"/>
      <c r="K195" s="24">
        <f>K196</f>
        <v>130.9</v>
      </c>
      <c r="L195" s="24">
        <f>L196</f>
        <v>0</v>
      </c>
      <c r="M195" s="24">
        <f>M196</f>
        <v>130.9</v>
      </c>
    </row>
    <row r="196" spans="1:13" s="7" customFormat="1" ht="36" customHeight="1" x14ac:dyDescent="0.35">
      <c r="A196" s="11"/>
      <c r="B196" s="518" t="s">
        <v>532</v>
      </c>
      <c r="C196" s="23" t="s">
        <v>1</v>
      </c>
      <c r="D196" s="10" t="s">
        <v>224</v>
      </c>
      <c r="E196" s="10" t="s">
        <v>65</v>
      </c>
      <c r="F196" s="696"/>
      <c r="G196" s="697"/>
      <c r="H196" s="697"/>
      <c r="I196" s="698"/>
      <c r="J196" s="10"/>
      <c r="K196" s="24">
        <f t="shared" ref="K196:M200" si="25">K197</f>
        <v>130.9</v>
      </c>
      <c r="L196" s="24">
        <f t="shared" si="25"/>
        <v>0</v>
      </c>
      <c r="M196" s="24">
        <f t="shared" si="25"/>
        <v>130.9</v>
      </c>
    </row>
    <row r="197" spans="1:13" s="7" customFormat="1" ht="54" customHeight="1" x14ac:dyDescent="0.35">
      <c r="A197" s="11"/>
      <c r="B197" s="518" t="s">
        <v>40</v>
      </c>
      <c r="C197" s="23" t="s">
        <v>1</v>
      </c>
      <c r="D197" s="10" t="s">
        <v>224</v>
      </c>
      <c r="E197" s="10" t="s">
        <v>65</v>
      </c>
      <c r="F197" s="696" t="s">
        <v>41</v>
      </c>
      <c r="G197" s="697" t="s">
        <v>42</v>
      </c>
      <c r="H197" s="697" t="s">
        <v>43</v>
      </c>
      <c r="I197" s="698" t="s">
        <v>44</v>
      </c>
      <c r="J197" s="10"/>
      <c r="K197" s="24">
        <f t="shared" si="25"/>
        <v>130.9</v>
      </c>
      <c r="L197" s="24">
        <f t="shared" si="25"/>
        <v>0</v>
      </c>
      <c r="M197" s="24">
        <f t="shared" si="25"/>
        <v>130.9</v>
      </c>
    </row>
    <row r="198" spans="1:13" s="7" customFormat="1" ht="36" customHeight="1" x14ac:dyDescent="0.35">
      <c r="A198" s="11"/>
      <c r="B198" s="518" t="s">
        <v>339</v>
      </c>
      <c r="C198" s="23" t="s">
        <v>1</v>
      </c>
      <c r="D198" s="10" t="s">
        <v>224</v>
      </c>
      <c r="E198" s="10" t="s">
        <v>65</v>
      </c>
      <c r="F198" s="696" t="s">
        <v>41</v>
      </c>
      <c r="G198" s="697" t="s">
        <v>45</v>
      </c>
      <c r="H198" s="697" t="s">
        <v>43</v>
      </c>
      <c r="I198" s="698" t="s">
        <v>44</v>
      </c>
      <c r="J198" s="10"/>
      <c r="K198" s="24">
        <f t="shared" si="25"/>
        <v>130.9</v>
      </c>
      <c r="L198" s="24">
        <f t="shared" si="25"/>
        <v>0</v>
      </c>
      <c r="M198" s="24">
        <f t="shared" si="25"/>
        <v>130.9</v>
      </c>
    </row>
    <row r="199" spans="1:13" s="7" customFormat="1" ht="18" customHeight="1" x14ac:dyDescent="0.35">
      <c r="A199" s="11"/>
      <c r="B199" s="518" t="s">
        <v>62</v>
      </c>
      <c r="C199" s="23" t="s">
        <v>1</v>
      </c>
      <c r="D199" s="10" t="s">
        <v>224</v>
      </c>
      <c r="E199" s="10" t="s">
        <v>65</v>
      </c>
      <c r="F199" s="696" t="s">
        <v>41</v>
      </c>
      <c r="G199" s="697" t="s">
        <v>45</v>
      </c>
      <c r="H199" s="697" t="s">
        <v>63</v>
      </c>
      <c r="I199" s="698" t="s">
        <v>44</v>
      </c>
      <c r="J199" s="10"/>
      <c r="K199" s="24">
        <f t="shared" si="25"/>
        <v>130.9</v>
      </c>
      <c r="L199" s="24">
        <f t="shared" si="25"/>
        <v>0</v>
      </c>
      <c r="M199" s="24">
        <f t="shared" si="25"/>
        <v>130.9</v>
      </c>
    </row>
    <row r="200" spans="1:13" s="7" customFormat="1" ht="36" customHeight="1" x14ac:dyDescent="0.35">
      <c r="A200" s="11"/>
      <c r="B200" s="518" t="s">
        <v>534</v>
      </c>
      <c r="C200" s="23" t="s">
        <v>1</v>
      </c>
      <c r="D200" s="10" t="s">
        <v>224</v>
      </c>
      <c r="E200" s="10" t="s">
        <v>65</v>
      </c>
      <c r="F200" s="696" t="s">
        <v>41</v>
      </c>
      <c r="G200" s="697" t="s">
        <v>45</v>
      </c>
      <c r="H200" s="697" t="s">
        <v>63</v>
      </c>
      <c r="I200" s="698" t="s">
        <v>533</v>
      </c>
      <c r="J200" s="10"/>
      <c r="K200" s="24">
        <f t="shared" si="25"/>
        <v>130.9</v>
      </c>
      <c r="L200" s="24">
        <f t="shared" si="25"/>
        <v>0</v>
      </c>
      <c r="M200" s="24">
        <f t="shared" si="25"/>
        <v>130.9</v>
      </c>
    </row>
    <row r="201" spans="1:13" s="7" customFormat="1" ht="54" customHeight="1" x14ac:dyDescent="0.35">
      <c r="A201" s="11"/>
      <c r="B201" s="518" t="s">
        <v>55</v>
      </c>
      <c r="C201" s="23" t="s">
        <v>1</v>
      </c>
      <c r="D201" s="10" t="s">
        <v>224</v>
      </c>
      <c r="E201" s="10" t="s">
        <v>65</v>
      </c>
      <c r="F201" s="696" t="s">
        <v>41</v>
      </c>
      <c r="G201" s="697" t="s">
        <v>45</v>
      </c>
      <c r="H201" s="697" t="s">
        <v>63</v>
      </c>
      <c r="I201" s="698" t="s">
        <v>533</v>
      </c>
      <c r="J201" s="10" t="s">
        <v>56</v>
      </c>
      <c r="K201" s="24">
        <f>91.9+39</f>
        <v>130.9</v>
      </c>
      <c r="L201" s="24">
        <f>M201-K201</f>
        <v>0</v>
      </c>
      <c r="M201" s="24">
        <f>91.9+39</f>
        <v>130.9</v>
      </c>
    </row>
    <row r="202" spans="1:13" s="121" customFormat="1" ht="18" customHeight="1" x14ac:dyDescent="0.35">
      <c r="A202" s="11"/>
      <c r="B202" s="518" t="s">
        <v>119</v>
      </c>
      <c r="C202" s="23" t="s">
        <v>1</v>
      </c>
      <c r="D202" s="10" t="s">
        <v>104</v>
      </c>
      <c r="E202" s="10"/>
      <c r="F202" s="696"/>
      <c r="G202" s="697"/>
      <c r="H202" s="697"/>
      <c r="I202" s="698"/>
      <c r="J202" s="10"/>
      <c r="K202" s="24">
        <f>K203+K209+K215</f>
        <v>5272.7000000000007</v>
      </c>
      <c r="L202" s="24">
        <f>L203+L209+L215</f>
        <v>182.40000000000009</v>
      </c>
      <c r="M202" s="24">
        <f>M203+M209+M215</f>
        <v>5455.1</v>
      </c>
    </row>
    <row r="203" spans="1:13" s="121" customFormat="1" ht="18" customHeight="1" x14ac:dyDescent="0.35">
      <c r="A203" s="11"/>
      <c r="B203" s="518" t="s">
        <v>355</v>
      </c>
      <c r="C203" s="23" t="s">
        <v>1</v>
      </c>
      <c r="D203" s="10" t="s">
        <v>104</v>
      </c>
      <c r="E203" s="10" t="s">
        <v>37</v>
      </c>
      <c r="F203" s="696"/>
      <c r="G203" s="697"/>
      <c r="H203" s="697"/>
      <c r="I203" s="698"/>
      <c r="J203" s="10"/>
      <c r="K203" s="24">
        <f t="shared" ref="K203:M207" si="26">K204</f>
        <v>1539.6</v>
      </c>
      <c r="L203" s="24">
        <f>L204</f>
        <v>0</v>
      </c>
      <c r="M203" s="24">
        <f t="shared" si="26"/>
        <v>1539.6</v>
      </c>
    </row>
    <row r="204" spans="1:13" s="121" customFormat="1" ht="54" customHeight="1" x14ac:dyDescent="0.35">
      <c r="A204" s="11"/>
      <c r="B204" s="570" t="s">
        <v>295</v>
      </c>
      <c r="C204" s="23" t="s">
        <v>1</v>
      </c>
      <c r="D204" s="10" t="s">
        <v>104</v>
      </c>
      <c r="E204" s="10" t="s">
        <v>37</v>
      </c>
      <c r="F204" s="696" t="s">
        <v>79</v>
      </c>
      <c r="G204" s="697" t="s">
        <v>42</v>
      </c>
      <c r="H204" s="697" t="s">
        <v>43</v>
      </c>
      <c r="I204" s="698" t="s">
        <v>44</v>
      </c>
      <c r="J204" s="10"/>
      <c r="K204" s="24">
        <f t="shared" si="26"/>
        <v>1539.6</v>
      </c>
      <c r="L204" s="24">
        <f t="shared" si="26"/>
        <v>0</v>
      </c>
      <c r="M204" s="24">
        <f t="shared" si="26"/>
        <v>1539.6</v>
      </c>
    </row>
    <row r="205" spans="1:13" s="121" customFormat="1" ht="36" customHeight="1" x14ac:dyDescent="0.35">
      <c r="A205" s="11"/>
      <c r="B205" s="518" t="s">
        <v>339</v>
      </c>
      <c r="C205" s="23" t="s">
        <v>1</v>
      </c>
      <c r="D205" s="10" t="s">
        <v>104</v>
      </c>
      <c r="E205" s="10" t="s">
        <v>37</v>
      </c>
      <c r="F205" s="696" t="s">
        <v>79</v>
      </c>
      <c r="G205" s="697" t="s">
        <v>45</v>
      </c>
      <c r="H205" s="697" t="s">
        <v>43</v>
      </c>
      <c r="I205" s="698" t="s">
        <v>44</v>
      </c>
      <c r="J205" s="10"/>
      <c r="K205" s="24">
        <f t="shared" si="26"/>
        <v>1539.6</v>
      </c>
      <c r="L205" s="24">
        <f t="shared" si="26"/>
        <v>0</v>
      </c>
      <c r="M205" s="24">
        <f t="shared" si="26"/>
        <v>1539.6</v>
      </c>
    </row>
    <row r="206" spans="1:13" s="121" customFormat="1" ht="90" customHeight="1" x14ac:dyDescent="0.35">
      <c r="A206" s="11"/>
      <c r="B206" s="551" t="s">
        <v>449</v>
      </c>
      <c r="C206" s="23" t="s">
        <v>1</v>
      </c>
      <c r="D206" s="10" t="s">
        <v>104</v>
      </c>
      <c r="E206" s="10" t="s">
        <v>37</v>
      </c>
      <c r="F206" s="696" t="s">
        <v>79</v>
      </c>
      <c r="G206" s="697" t="s">
        <v>45</v>
      </c>
      <c r="H206" s="697" t="s">
        <v>52</v>
      </c>
      <c r="I206" s="698" t="s">
        <v>44</v>
      </c>
      <c r="J206" s="10"/>
      <c r="K206" s="24">
        <f t="shared" si="26"/>
        <v>1539.6</v>
      </c>
      <c r="L206" s="24">
        <f t="shared" si="26"/>
        <v>0</v>
      </c>
      <c r="M206" s="24">
        <f t="shared" si="26"/>
        <v>1539.6</v>
      </c>
    </row>
    <row r="207" spans="1:13" s="121" customFormat="1" ht="72" customHeight="1" x14ac:dyDescent="0.35">
      <c r="A207" s="11"/>
      <c r="B207" s="551" t="s">
        <v>444</v>
      </c>
      <c r="C207" s="23" t="s">
        <v>1</v>
      </c>
      <c r="D207" s="10" t="s">
        <v>104</v>
      </c>
      <c r="E207" s="10" t="s">
        <v>37</v>
      </c>
      <c r="F207" s="696" t="s">
        <v>79</v>
      </c>
      <c r="G207" s="697" t="s">
        <v>45</v>
      </c>
      <c r="H207" s="697" t="s">
        <v>52</v>
      </c>
      <c r="I207" s="698" t="s">
        <v>356</v>
      </c>
      <c r="J207" s="10"/>
      <c r="K207" s="24">
        <f t="shared" si="26"/>
        <v>1539.6</v>
      </c>
      <c r="L207" s="24">
        <f t="shared" si="26"/>
        <v>0</v>
      </c>
      <c r="M207" s="24">
        <f t="shared" si="26"/>
        <v>1539.6</v>
      </c>
    </row>
    <row r="208" spans="1:13" s="121" customFormat="1" ht="36" customHeight="1" x14ac:dyDescent="0.35">
      <c r="A208" s="11"/>
      <c r="B208" s="525" t="s">
        <v>120</v>
      </c>
      <c r="C208" s="23" t="s">
        <v>1</v>
      </c>
      <c r="D208" s="10" t="s">
        <v>104</v>
      </c>
      <c r="E208" s="10" t="s">
        <v>37</v>
      </c>
      <c r="F208" s="696" t="s">
        <v>79</v>
      </c>
      <c r="G208" s="697" t="s">
        <v>45</v>
      </c>
      <c r="H208" s="697" t="s">
        <v>52</v>
      </c>
      <c r="I208" s="698" t="s">
        <v>356</v>
      </c>
      <c r="J208" s="10" t="s">
        <v>121</v>
      </c>
      <c r="K208" s="24">
        <f>1260+60+137.3+30+52.3</f>
        <v>1539.6</v>
      </c>
      <c r="L208" s="24">
        <f>M208-K208</f>
        <v>0</v>
      </c>
      <c r="M208" s="24">
        <f>1260+60+137.3+30+52.3</f>
        <v>1539.6</v>
      </c>
    </row>
    <row r="209" spans="1:13" s="121" customFormat="1" ht="18" x14ac:dyDescent="0.35">
      <c r="A209" s="11"/>
      <c r="B209" s="518" t="s">
        <v>735</v>
      </c>
      <c r="C209" s="23" t="s">
        <v>1</v>
      </c>
      <c r="D209" s="10" t="s">
        <v>104</v>
      </c>
      <c r="E209" s="10" t="s">
        <v>63</v>
      </c>
      <c r="F209" s="696"/>
      <c r="G209" s="697"/>
      <c r="H209" s="697"/>
      <c r="I209" s="698"/>
      <c r="J209" s="10"/>
      <c r="K209" s="24">
        <f>K210</f>
        <v>1150</v>
      </c>
      <c r="L209" s="24">
        <f>L210</f>
        <v>0</v>
      </c>
      <c r="M209" s="24">
        <f>M210</f>
        <v>1150</v>
      </c>
    </row>
    <row r="210" spans="1:13" s="121" customFormat="1" ht="52.8" customHeight="1" x14ac:dyDescent="0.35">
      <c r="A210" s="11"/>
      <c r="B210" s="570" t="s">
        <v>295</v>
      </c>
      <c r="C210" s="23" t="s">
        <v>1</v>
      </c>
      <c r="D210" s="10" t="s">
        <v>104</v>
      </c>
      <c r="E210" s="10" t="s">
        <v>63</v>
      </c>
      <c r="F210" s="696" t="s">
        <v>79</v>
      </c>
      <c r="G210" s="697" t="s">
        <v>42</v>
      </c>
      <c r="H210" s="697" t="s">
        <v>43</v>
      </c>
      <c r="I210" s="698" t="s">
        <v>44</v>
      </c>
      <c r="J210" s="10"/>
      <c r="K210" s="24">
        <f t="shared" ref="K210:M213" si="27">K211</f>
        <v>1150</v>
      </c>
      <c r="L210" s="24">
        <f t="shared" si="27"/>
        <v>0</v>
      </c>
      <c r="M210" s="24">
        <f t="shared" si="27"/>
        <v>1150</v>
      </c>
    </row>
    <row r="211" spans="1:13" s="121" customFormat="1" ht="36" customHeight="1" x14ac:dyDescent="0.35">
      <c r="A211" s="11"/>
      <c r="B211" s="518" t="s">
        <v>339</v>
      </c>
      <c r="C211" s="23" t="s">
        <v>1</v>
      </c>
      <c r="D211" s="10" t="s">
        <v>104</v>
      </c>
      <c r="E211" s="10" t="s">
        <v>63</v>
      </c>
      <c r="F211" s="696" t="s">
        <v>79</v>
      </c>
      <c r="G211" s="697" t="s">
        <v>45</v>
      </c>
      <c r="H211" s="697" t="s">
        <v>43</v>
      </c>
      <c r="I211" s="698" t="s">
        <v>44</v>
      </c>
      <c r="J211" s="10"/>
      <c r="K211" s="24">
        <f t="shared" si="27"/>
        <v>1150</v>
      </c>
      <c r="L211" s="24">
        <f t="shared" si="27"/>
        <v>0</v>
      </c>
      <c r="M211" s="24">
        <f t="shared" si="27"/>
        <v>1150</v>
      </c>
    </row>
    <row r="212" spans="1:13" s="121" customFormat="1" ht="36" customHeight="1" x14ac:dyDescent="0.35">
      <c r="A212" s="11"/>
      <c r="B212" s="518" t="s">
        <v>729</v>
      </c>
      <c r="C212" s="23" t="s">
        <v>1</v>
      </c>
      <c r="D212" s="10" t="s">
        <v>104</v>
      </c>
      <c r="E212" s="10" t="s">
        <v>63</v>
      </c>
      <c r="F212" s="696" t="s">
        <v>79</v>
      </c>
      <c r="G212" s="697" t="s">
        <v>45</v>
      </c>
      <c r="H212" s="697" t="s">
        <v>65</v>
      </c>
      <c r="I212" s="698" t="s">
        <v>44</v>
      </c>
      <c r="J212" s="10"/>
      <c r="K212" s="24">
        <f t="shared" si="27"/>
        <v>1150</v>
      </c>
      <c r="L212" s="24">
        <f t="shared" si="27"/>
        <v>0</v>
      </c>
      <c r="M212" s="24">
        <f t="shared" si="27"/>
        <v>1150</v>
      </c>
    </row>
    <row r="213" spans="1:13" s="121" customFormat="1" ht="54" x14ac:dyDescent="0.35">
      <c r="A213" s="11"/>
      <c r="B213" s="518" t="s">
        <v>730</v>
      </c>
      <c r="C213" s="23" t="s">
        <v>1</v>
      </c>
      <c r="D213" s="10" t="s">
        <v>104</v>
      </c>
      <c r="E213" s="10" t="s">
        <v>63</v>
      </c>
      <c r="F213" s="696" t="s">
        <v>79</v>
      </c>
      <c r="G213" s="697" t="s">
        <v>45</v>
      </c>
      <c r="H213" s="697" t="s">
        <v>65</v>
      </c>
      <c r="I213" s="698" t="s">
        <v>728</v>
      </c>
      <c r="J213" s="10"/>
      <c r="K213" s="24">
        <f t="shared" si="27"/>
        <v>1150</v>
      </c>
      <c r="L213" s="24">
        <f t="shared" si="27"/>
        <v>0</v>
      </c>
      <c r="M213" s="24">
        <f t="shared" si="27"/>
        <v>1150</v>
      </c>
    </row>
    <row r="214" spans="1:13" s="121" customFormat="1" ht="36" customHeight="1" x14ac:dyDescent="0.35">
      <c r="A214" s="11"/>
      <c r="B214" s="517" t="s">
        <v>120</v>
      </c>
      <c r="C214" s="23" t="s">
        <v>1</v>
      </c>
      <c r="D214" s="10" t="s">
        <v>104</v>
      </c>
      <c r="E214" s="10" t="s">
        <v>63</v>
      </c>
      <c r="F214" s="696" t="s">
        <v>79</v>
      </c>
      <c r="G214" s="697" t="s">
        <v>45</v>
      </c>
      <c r="H214" s="697" t="s">
        <v>65</v>
      </c>
      <c r="I214" s="698" t="s">
        <v>728</v>
      </c>
      <c r="J214" s="10" t="s">
        <v>121</v>
      </c>
      <c r="K214" s="24">
        <v>1150</v>
      </c>
      <c r="L214" s="24">
        <f>M214-K214</f>
        <v>0</v>
      </c>
      <c r="M214" s="24">
        <v>1150</v>
      </c>
    </row>
    <row r="215" spans="1:13" s="121" customFormat="1" ht="36" customHeight="1" x14ac:dyDescent="0.35">
      <c r="A215" s="11"/>
      <c r="B215" s="518" t="s">
        <v>122</v>
      </c>
      <c r="C215" s="23" t="s">
        <v>1</v>
      </c>
      <c r="D215" s="10" t="s">
        <v>104</v>
      </c>
      <c r="E215" s="10" t="s">
        <v>81</v>
      </c>
      <c r="F215" s="696"/>
      <c r="G215" s="697"/>
      <c r="H215" s="697"/>
      <c r="I215" s="698"/>
      <c r="J215" s="10"/>
      <c r="K215" s="24">
        <f>K216</f>
        <v>2583.1000000000004</v>
      </c>
      <c r="L215" s="24">
        <f>L216</f>
        <v>182.40000000000009</v>
      </c>
      <c r="M215" s="24">
        <f>M216</f>
        <v>2765.5000000000005</v>
      </c>
    </row>
    <row r="216" spans="1:13" s="121" customFormat="1" ht="72" customHeight="1" x14ac:dyDescent="0.35">
      <c r="A216" s="11"/>
      <c r="B216" s="518" t="s">
        <v>72</v>
      </c>
      <c r="C216" s="23" t="s">
        <v>1</v>
      </c>
      <c r="D216" s="10" t="s">
        <v>104</v>
      </c>
      <c r="E216" s="10" t="s">
        <v>81</v>
      </c>
      <c r="F216" s="696" t="s">
        <v>73</v>
      </c>
      <c r="G216" s="697" t="s">
        <v>42</v>
      </c>
      <c r="H216" s="697" t="s">
        <v>43</v>
      </c>
      <c r="I216" s="698" t="s">
        <v>44</v>
      </c>
      <c r="J216" s="10"/>
      <c r="K216" s="24">
        <f t="shared" ref="K216:M219" si="28">K217</f>
        <v>2583.1000000000004</v>
      </c>
      <c r="L216" s="24">
        <f t="shared" si="28"/>
        <v>182.40000000000009</v>
      </c>
      <c r="M216" s="24">
        <f t="shared" si="28"/>
        <v>2765.5000000000005</v>
      </c>
    </row>
    <row r="217" spans="1:13" s="121" customFormat="1" ht="36" customHeight="1" x14ac:dyDescent="0.35">
      <c r="A217" s="11"/>
      <c r="B217" s="518" t="s">
        <v>339</v>
      </c>
      <c r="C217" s="23" t="s">
        <v>1</v>
      </c>
      <c r="D217" s="10" t="s">
        <v>104</v>
      </c>
      <c r="E217" s="10" t="s">
        <v>81</v>
      </c>
      <c r="F217" s="696" t="s">
        <v>73</v>
      </c>
      <c r="G217" s="697" t="s">
        <v>45</v>
      </c>
      <c r="H217" s="697" t="s">
        <v>43</v>
      </c>
      <c r="I217" s="698" t="s">
        <v>44</v>
      </c>
      <c r="J217" s="10"/>
      <c r="K217" s="24">
        <f t="shared" si="28"/>
        <v>2583.1000000000004</v>
      </c>
      <c r="L217" s="24">
        <f t="shared" si="28"/>
        <v>182.40000000000009</v>
      </c>
      <c r="M217" s="24">
        <f t="shared" si="28"/>
        <v>2765.5000000000005</v>
      </c>
    </row>
    <row r="218" spans="1:13" s="121" customFormat="1" ht="54" customHeight="1" x14ac:dyDescent="0.35">
      <c r="A218" s="11"/>
      <c r="B218" s="551" t="s">
        <v>266</v>
      </c>
      <c r="C218" s="23" t="s">
        <v>1</v>
      </c>
      <c r="D218" s="10" t="s">
        <v>104</v>
      </c>
      <c r="E218" s="10" t="s">
        <v>81</v>
      </c>
      <c r="F218" s="696" t="s">
        <v>73</v>
      </c>
      <c r="G218" s="697" t="s">
        <v>45</v>
      </c>
      <c r="H218" s="697" t="s">
        <v>37</v>
      </c>
      <c r="I218" s="698" t="s">
        <v>44</v>
      </c>
      <c r="J218" s="10"/>
      <c r="K218" s="24">
        <f t="shared" si="28"/>
        <v>2583.1000000000004</v>
      </c>
      <c r="L218" s="24">
        <f t="shared" si="28"/>
        <v>182.40000000000009</v>
      </c>
      <c r="M218" s="24">
        <f t="shared" si="28"/>
        <v>2765.5000000000005</v>
      </c>
    </row>
    <row r="219" spans="1:13" s="121" customFormat="1" ht="54" customHeight="1" x14ac:dyDescent="0.35">
      <c r="A219" s="11"/>
      <c r="B219" s="551" t="s">
        <v>74</v>
      </c>
      <c r="C219" s="23" t="s">
        <v>1</v>
      </c>
      <c r="D219" s="10" t="s">
        <v>104</v>
      </c>
      <c r="E219" s="10" t="s">
        <v>81</v>
      </c>
      <c r="F219" s="696" t="s">
        <v>73</v>
      </c>
      <c r="G219" s="697" t="s">
        <v>45</v>
      </c>
      <c r="H219" s="697" t="s">
        <v>37</v>
      </c>
      <c r="I219" s="698" t="s">
        <v>75</v>
      </c>
      <c r="J219" s="10"/>
      <c r="K219" s="24">
        <f t="shared" si="28"/>
        <v>2583.1000000000004</v>
      </c>
      <c r="L219" s="24">
        <f t="shared" si="28"/>
        <v>182.40000000000009</v>
      </c>
      <c r="M219" s="24">
        <f t="shared" si="28"/>
        <v>2765.5000000000005</v>
      </c>
    </row>
    <row r="220" spans="1:13" s="121" customFormat="1" ht="54" customHeight="1" x14ac:dyDescent="0.35">
      <c r="A220" s="11"/>
      <c r="B220" s="525" t="s">
        <v>76</v>
      </c>
      <c r="C220" s="23" t="s">
        <v>1</v>
      </c>
      <c r="D220" s="10" t="s">
        <v>104</v>
      </c>
      <c r="E220" s="10" t="s">
        <v>81</v>
      </c>
      <c r="F220" s="696" t="s">
        <v>73</v>
      </c>
      <c r="G220" s="697" t="s">
        <v>45</v>
      </c>
      <c r="H220" s="697" t="s">
        <v>37</v>
      </c>
      <c r="I220" s="698" t="s">
        <v>75</v>
      </c>
      <c r="J220" s="10" t="s">
        <v>77</v>
      </c>
      <c r="K220" s="24">
        <f>1111.2+100.9+108+63+1200</f>
        <v>2583.1000000000004</v>
      </c>
      <c r="L220" s="24">
        <f>M220-K220</f>
        <v>182.40000000000009</v>
      </c>
      <c r="M220" s="24">
        <f>1111.2+100.9+108+63+1200+182.4</f>
        <v>2765.5000000000005</v>
      </c>
    </row>
    <row r="221" spans="1:13" s="121" customFormat="1" ht="54" customHeight="1" x14ac:dyDescent="0.35">
      <c r="A221" s="11"/>
      <c r="B221" s="601" t="s">
        <v>200</v>
      </c>
      <c r="C221" s="23" t="s">
        <v>1</v>
      </c>
      <c r="D221" s="10" t="s">
        <v>88</v>
      </c>
      <c r="E221" s="10"/>
      <c r="F221" s="696"/>
      <c r="G221" s="697"/>
      <c r="H221" s="697"/>
      <c r="I221" s="698"/>
      <c r="J221" s="10"/>
      <c r="K221" s="24">
        <f t="shared" ref="K221:M229" si="29">K222</f>
        <v>39854.5</v>
      </c>
      <c r="L221" s="24">
        <f t="shared" si="29"/>
        <v>775</v>
      </c>
      <c r="M221" s="24">
        <f t="shared" si="29"/>
        <v>40629.5</v>
      </c>
    </row>
    <row r="222" spans="1:13" s="121" customFormat="1" ht="36" customHeight="1" x14ac:dyDescent="0.35">
      <c r="A222" s="11"/>
      <c r="B222" s="667" t="s">
        <v>681</v>
      </c>
      <c r="C222" s="23" t="s">
        <v>1</v>
      </c>
      <c r="D222" s="10" t="s">
        <v>88</v>
      </c>
      <c r="E222" s="10" t="s">
        <v>63</v>
      </c>
      <c r="F222" s="696"/>
      <c r="G222" s="697"/>
      <c r="H222" s="697"/>
      <c r="I222" s="698"/>
      <c r="J222" s="10"/>
      <c r="K222" s="24">
        <f>K223+K249</f>
        <v>39854.5</v>
      </c>
      <c r="L222" s="24">
        <f>L223+L249</f>
        <v>775</v>
      </c>
      <c r="M222" s="24">
        <f>M223+M249</f>
        <v>40629.5</v>
      </c>
    </row>
    <row r="223" spans="1:13" s="121" customFormat="1" ht="108" customHeight="1" x14ac:dyDescent="0.35">
      <c r="A223" s="11"/>
      <c r="B223" s="667" t="s">
        <v>682</v>
      </c>
      <c r="C223" s="23" t="s">
        <v>1</v>
      </c>
      <c r="D223" s="10" t="s">
        <v>88</v>
      </c>
      <c r="E223" s="10" t="s">
        <v>63</v>
      </c>
      <c r="F223" s="696" t="s">
        <v>683</v>
      </c>
      <c r="G223" s="697" t="s">
        <v>42</v>
      </c>
      <c r="H223" s="697" t="s">
        <v>43</v>
      </c>
      <c r="I223" s="698" t="s">
        <v>44</v>
      </c>
      <c r="J223" s="10"/>
      <c r="K223" s="24">
        <f t="shared" si="29"/>
        <v>28693.3</v>
      </c>
      <c r="L223" s="24">
        <f t="shared" si="29"/>
        <v>775</v>
      </c>
      <c r="M223" s="24">
        <f t="shared" si="29"/>
        <v>29468.3</v>
      </c>
    </row>
    <row r="224" spans="1:13" s="121" customFormat="1" ht="108" customHeight="1" x14ac:dyDescent="0.35">
      <c r="A224" s="11"/>
      <c r="B224" s="667" t="s">
        <v>684</v>
      </c>
      <c r="C224" s="23" t="s">
        <v>1</v>
      </c>
      <c r="D224" s="10" t="s">
        <v>88</v>
      </c>
      <c r="E224" s="10" t="s">
        <v>63</v>
      </c>
      <c r="F224" s="696" t="s">
        <v>683</v>
      </c>
      <c r="G224" s="697" t="s">
        <v>89</v>
      </c>
      <c r="H224" s="697" t="s">
        <v>43</v>
      </c>
      <c r="I224" s="698" t="s">
        <v>44</v>
      </c>
      <c r="J224" s="10"/>
      <c r="K224" s="24">
        <f>K225+K228+K231+K234+K237+K240</f>
        <v>28693.3</v>
      </c>
      <c r="L224" s="24">
        <f>L225+L228+L231+L234+L237+L240+L243+L246</f>
        <v>775</v>
      </c>
      <c r="M224" s="24">
        <f>M225+M228+M231+M234+M237+M240+M243+M246</f>
        <v>29468.3</v>
      </c>
    </row>
    <row r="225" spans="1:13" s="121" customFormat="1" ht="126" customHeight="1" x14ac:dyDescent="0.35">
      <c r="A225" s="11"/>
      <c r="B225" s="525" t="s">
        <v>687</v>
      </c>
      <c r="C225" s="23" t="s">
        <v>1</v>
      </c>
      <c r="D225" s="10" t="s">
        <v>88</v>
      </c>
      <c r="E225" s="10" t="s">
        <v>63</v>
      </c>
      <c r="F225" s="696" t="s">
        <v>683</v>
      </c>
      <c r="G225" s="697" t="s">
        <v>89</v>
      </c>
      <c r="H225" s="697" t="s">
        <v>37</v>
      </c>
      <c r="I225" s="698" t="s">
        <v>44</v>
      </c>
      <c r="J225" s="10"/>
      <c r="K225" s="24">
        <f t="shared" si="29"/>
        <v>18635.2</v>
      </c>
      <c r="L225" s="24">
        <f t="shared" si="29"/>
        <v>0</v>
      </c>
      <c r="M225" s="24">
        <f t="shared" si="29"/>
        <v>18635.2</v>
      </c>
    </row>
    <row r="226" spans="1:13" s="121" customFormat="1" ht="72" customHeight="1" x14ac:dyDescent="0.35">
      <c r="A226" s="11"/>
      <c r="B226" s="525" t="s">
        <v>686</v>
      </c>
      <c r="C226" s="23" t="s">
        <v>1</v>
      </c>
      <c r="D226" s="10" t="s">
        <v>88</v>
      </c>
      <c r="E226" s="10" t="s">
        <v>63</v>
      </c>
      <c r="F226" s="696" t="s">
        <v>683</v>
      </c>
      <c r="G226" s="697" t="s">
        <v>89</v>
      </c>
      <c r="H226" s="697" t="s">
        <v>37</v>
      </c>
      <c r="I226" s="698" t="s">
        <v>685</v>
      </c>
      <c r="J226" s="10"/>
      <c r="K226" s="24">
        <f t="shared" si="29"/>
        <v>18635.2</v>
      </c>
      <c r="L226" s="24">
        <f t="shared" si="29"/>
        <v>0</v>
      </c>
      <c r="M226" s="24">
        <f t="shared" si="29"/>
        <v>18635.2</v>
      </c>
    </row>
    <row r="227" spans="1:13" s="121" customFormat="1" ht="18" customHeight="1" x14ac:dyDescent="0.35">
      <c r="A227" s="11"/>
      <c r="B227" s="667" t="s">
        <v>123</v>
      </c>
      <c r="C227" s="23" t="s">
        <v>1</v>
      </c>
      <c r="D227" s="10" t="s">
        <v>88</v>
      </c>
      <c r="E227" s="10" t="s">
        <v>63</v>
      </c>
      <c r="F227" s="696" t="s">
        <v>683</v>
      </c>
      <c r="G227" s="697" t="s">
        <v>89</v>
      </c>
      <c r="H227" s="697" t="s">
        <v>37</v>
      </c>
      <c r="I227" s="698" t="s">
        <v>685</v>
      </c>
      <c r="J227" s="10" t="s">
        <v>124</v>
      </c>
      <c r="K227" s="24">
        <v>18635.2</v>
      </c>
      <c r="L227" s="24">
        <f>M227-K227</f>
        <v>0</v>
      </c>
      <c r="M227" s="24">
        <v>18635.2</v>
      </c>
    </row>
    <row r="228" spans="1:13" s="121" customFormat="1" ht="54" x14ac:dyDescent="0.35">
      <c r="A228" s="11"/>
      <c r="B228" s="667" t="s">
        <v>710</v>
      </c>
      <c r="C228" s="23" t="s">
        <v>1</v>
      </c>
      <c r="D228" s="10" t="s">
        <v>88</v>
      </c>
      <c r="E228" s="10" t="s">
        <v>63</v>
      </c>
      <c r="F228" s="696" t="s">
        <v>683</v>
      </c>
      <c r="G228" s="697" t="s">
        <v>89</v>
      </c>
      <c r="H228" s="697" t="s">
        <v>39</v>
      </c>
      <c r="I228" s="698" t="s">
        <v>44</v>
      </c>
      <c r="J228" s="10"/>
      <c r="K228" s="24">
        <f t="shared" si="29"/>
        <v>2699</v>
      </c>
      <c r="L228" s="24">
        <f>L229</f>
        <v>0</v>
      </c>
      <c r="M228" s="24">
        <f t="shared" si="29"/>
        <v>2699</v>
      </c>
    </row>
    <row r="229" spans="1:13" s="121" customFormat="1" ht="72" x14ac:dyDescent="0.35">
      <c r="A229" s="11"/>
      <c r="B229" s="667" t="s">
        <v>686</v>
      </c>
      <c r="C229" s="23" t="s">
        <v>1</v>
      </c>
      <c r="D229" s="10" t="s">
        <v>88</v>
      </c>
      <c r="E229" s="10" t="s">
        <v>63</v>
      </c>
      <c r="F229" s="696" t="s">
        <v>683</v>
      </c>
      <c r="G229" s="697" t="s">
        <v>89</v>
      </c>
      <c r="H229" s="697" t="s">
        <v>39</v>
      </c>
      <c r="I229" s="698" t="s">
        <v>685</v>
      </c>
      <c r="J229" s="10"/>
      <c r="K229" s="24">
        <f t="shared" si="29"/>
        <v>2699</v>
      </c>
      <c r="L229" s="24">
        <f t="shared" si="29"/>
        <v>0</v>
      </c>
      <c r="M229" s="24">
        <f t="shared" si="29"/>
        <v>2699</v>
      </c>
    </row>
    <row r="230" spans="1:13" ht="18" customHeight="1" x14ac:dyDescent="0.35">
      <c r="A230" s="11"/>
      <c r="B230" s="518" t="s">
        <v>123</v>
      </c>
      <c r="C230" s="23" t="s">
        <v>1</v>
      </c>
      <c r="D230" s="10" t="s">
        <v>88</v>
      </c>
      <c r="E230" s="10" t="s">
        <v>63</v>
      </c>
      <c r="F230" s="696" t="s">
        <v>683</v>
      </c>
      <c r="G230" s="697" t="s">
        <v>89</v>
      </c>
      <c r="H230" s="697" t="s">
        <v>39</v>
      </c>
      <c r="I230" s="698" t="s">
        <v>685</v>
      </c>
      <c r="J230" s="281" t="s">
        <v>124</v>
      </c>
      <c r="K230" s="24">
        <v>2699</v>
      </c>
      <c r="L230" s="24">
        <f>M230-K230</f>
        <v>0</v>
      </c>
      <c r="M230" s="24">
        <v>2699</v>
      </c>
    </row>
    <row r="231" spans="1:13" ht="144" x14ac:dyDescent="0.35">
      <c r="A231" s="11"/>
      <c r="B231" s="518" t="s">
        <v>721</v>
      </c>
      <c r="C231" s="23" t="s">
        <v>1</v>
      </c>
      <c r="D231" s="10" t="s">
        <v>88</v>
      </c>
      <c r="E231" s="10" t="s">
        <v>63</v>
      </c>
      <c r="F231" s="696" t="s">
        <v>683</v>
      </c>
      <c r="G231" s="697" t="s">
        <v>89</v>
      </c>
      <c r="H231" s="697" t="s">
        <v>63</v>
      </c>
      <c r="I231" s="698" t="s">
        <v>44</v>
      </c>
      <c r="J231" s="281"/>
      <c r="K231" s="24">
        <f t="shared" ref="K231:M232" si="30">K232</f>
        <v>250</v>
      </c>
      <c r="L231" s="24">
        <f t="shared" si="30"/>
        <v>0</v>
      </c>
      <c r="M231" s="24">
        <f t="shared" si="30"/>
        <v>250</v>
      </c>
    </row>
    <row r="232" spans="1:13" ht="75.599999999999994" customHeight="1" x14ac:dyDescent="0.35">
      <c r="A232" s="11"/>
      <c r="B232" s="667" t="s">
        <v>686</v>
      </c>
      <c r="C232" s="23" t="s">
        <v>1</v>
      </c>
      <c r="D232" s="10" t="s">
        <v>88</v>
      </c>
      <c r="E232" s="10" t="s">
        <v>63</v>
      </c>
      <c r="F232" s="696" t="s">
        <v>683</v>
      </c>
      <c r="G232" s="697" t="s">
        <v>89</v>
      </c>
      <c r="H232" s="697" t="s">
        <v>63</v>
      </c>
      <c r="I232" s="698" t="s">
        <v>685</v>
      </c>
      <c r="J232" s="281"/>
      <c r="K232" s="24">
        <f t="shared" si="30"/>
        <v>250</v>
      </c>
      <c r="L232" s="24">
        <f t="shared" si="30"/>
        <v>0</v>
      </c>
      <c r="M232" s="24">
        <f t="shared" si="30"/>
        <v>250</v>
      </c>
    </row>
    <row r="233" spans="1:13" ht="18" customHeight="1" x14ac:dyDescent="0.35">
      <c r="A233" s="11"/>
      <c r="B233" s="518" t="s">
        <v>123</v>
      </c>
      <c r="C233" s="23" t="s">
        <v>1</v>
      </c>
      <c r="D233" s="10" t="s">
        <v>88</v>
      </c>
      <c r="E233" s="10" t="s">
        <v>63</v>
      </c>
      <c r="F233" s="696" t="s">
        <v>683</v>
      </c>
      <c r="G233" s="697" t="s">
        <v>89</v>
      </c>
      <c r="H233" s="697" t="s">
        <v>63</v>
      </c>
      <c r="I233" s="698" t="s">
        <v>685</v>
      </c>
      <c r="J233" s="281">
        <v>500</v>
      </c>
      <c r="K233" s="24">
        <f>170+80</f>
        <v>250</v>
      </c>
      <c r="L233" s="24">
        <f>M233-K233</f>
        <v>0</v>
      </c>
      <c r="M233" s="24">
        <f>170+80</f>
        <v>250</v>
      </c>
    </row>
    <row r="234" spans="1:13" ht="90" x14ac:dyDescent="0.35">
      <c r="A234" s="11"/>
      <c r="B234" s="518" t="s">
        <v>724</v>
      </c>
      <c r="C234" s="23" t="s">
        <v>1</v>
      </c>
      <c r="D234" s="10" t="s">
        <v>88</v>
      </c>
      <c r="E234" s="10" t="s">
        <v>63</v>
      </c>
      <c r="F234" s="696" t="s">
        <v>683</v>
      </c>
      <c r="G234" s="697" t="s">
        <v>89</v>
      </c>
      <c r="H234" s="697" t="s">
        <v>52</v>
      </c>
      <c r="I234" s="698" t="s">
        <v>44</v>
      </c>
      <c r="J234" s="281"/>
      <c r="K234" s="24">
        <f t="shared" ref="K234:M235" si="31">K235</f>
        <v>5950</v>
      </c>
      <c r="L234" s="24">
        <f t="shared" si="31"/>
        <v>0</v>
      </c>
      <c r="M234" s="24">
        <f t="shared" si="31"/>
        <v>5950</v>
      </c>
    </row>
    <row r="235" spans="1:13" ht="84" customHeight="1" x14ac:dyDescent="0.35">
      <c r="A235" s="11"/>
      <c r="B235" s="667" t="s">
        <v>686</v>
      </c>
      <c r="C235" s="23" t="s">
        <v>1</v>
      </c>
      <c r="D235" s="10" t="s">
        <v>88</v>
      </c>
      <c r="E235" s="10" t="s">
        <v>63</v>
      </c>
      <c r="F235" s="696" t="s">
        <v>683</v>
      </c>
      <c r="G235" s="697" t="s">
        <v>89</v>
      </c>
      <c r="H235" s="697" t="s">
        <v>52</v>
      </c>
      <c r="I235" s="698" t="s">
        <v>685</v>
      </c>
      <c r="J235" s="281"/>
      <c r="K235" s="24">
        <f t="shared" si="31"/>
        <v>5950</v>
      </c>
      <c r="L235" s="24">
        <f t="shared" si="31"/>
        <v>0</v>
      </c>
      <c r="M235" s="24">
        <f t="shared" si="31"/>
        <v>5950</v>
      </c>
    </row>
    <row r="236" spans="1:13" ht="18" customHeight="1" x14ac:dyDescent="0.35">
      <c r="A236" s="11"/>
      <c r="B236" s="518" t="s">
        <v>123</v>
      </c>
      <c r="C236" s="23" t="s">
        <v>1</v>
      </c>
      <c r="D236" s="10" t="s">
        <v>88</v>
      </c>
      <c r="E236" s="10" t="s">
        <v>63</v>
      </c>
      <c r="F236" s="696" t="s">
        <v>683</v>
      </c>
      <c r="G236" s="697" t="s">
        <v>89</v>
      </c>
      <c r="H236" s="697" t="s">
        <v>52</v>
      </c>
      <c r="I236" s="698" t="s">
        <v>685</v>
      </c>
      <c r="J236" s="281">
        <v>500</v>
      </c>
      <c r="K236" s="24">
        <v>5950</v>
      </c>
      <c r="L236" s="24">
        <f>M236-K236</f>
        <v>0</v>
      </c>
      <c r="M236" s="24">
        <v>5950</v>
      </c>
    </row>
    <row r="237" spans="1:13" ht="72" x14ac:dyDescent="0.35">
      <c r="A237" s="11"/>
      <c r="B237" s="518" t="s">
        <v>737</v>
      </c>
      <c r="C237" s="23" t="s">
        <v>1</v>
      </c>
      <c r="D237" s="10" t="s">
        <v>88</v>
      </c>
      <c r="E237" s="10" t="s">
        <v>63</v>
      </c>
      <c r="F237" s="696" t="s">
        <v>683</v>
      </c>
      <c r="G237" s="697" t="s">
        <v>89</v>
      </c>
      <c r="H237" s="697" t="s">
        <v>65</v>
      </c>
      <c r="I237" s="698" t="s">
        <v>44</v>
      </c>
      <c r="J237" s="281"/>
      <c r="K237" s="24">
        <f t="shared" ref="K237:M238" si="32">K238</f>
        <v>590</v>
      </c>
      <c r="L237" s="24">
        <f t="shared" si="32"/>
        <v>0</v>
      </c>
      <c r="M237" s="24">
        <f t="shared" si="32"/>
        <v>590</v>
      </c>
    </row>
    <row r="238" spans="1:13" ht="72" x14ac:dyDescent="0.35">
      <c r="A238" s="11"/>
      <c r="B238" s="667" t="s">
        <v>686</v>
      </c>
      <c r="C238" s="23" t="s">
        <v>1</v>
      </c>
      <c r="D238" s="10" t="s">
        <v>88</v>
      </c>
      <c r="E238" s="10" t="s">
        <v>63</v>
      </c>
      <c r="F238" s="696" t="s">
        <v>683</v>
      </c>
      <c r="G238" s="697" t="s">
        <v>89</v>
      </c>
      <c r="H238" s="697" t="s">
        <v>65</v>
      </c>
      <c r="I238" s="698" t="s">
        <v>685</v>
      </c>
      <c r="J238" s="281"/>
      <c r="K238" s="24">
        <f t="shared" si="32"/>
        <v>590</v>
      </c>
      <c r="L238" s="24">
        <f t="shared" si="32"/>
        <v>0</v>
      </c>
      <c r="M238" s="24">
        <f t="shared" si="32"/>
        <v>590</v>
      </c>
    </row>
    <row r="239" spans="1:13" ht="18" customHeight="1" x14ac:dyDescent="0.35">
      <c r="A239" s="11"/>
      <c r="B239" s="518" t="s">
        <v>123</v>
      </c>
      <c r="C239" s="23" t="s">
        <v>1</v>
      </c>
      <c r="D239" s="10" t="s">
        <v>88</v>
      </c>
      <c r="E239" s="10" t="s">
        <v>63</v>
      </c>
      <c r="F239" s="696" t="s">
        <v>683</v>
      </c>
      <c r="G239" s="697" t="s">
        <v>89</v>
      </c>
      <c r="H239" s="697" t="s">
        <v>65</v>
      </c>
      <c r="I239" s="698" t="s">
        <v>685</v>
      </c>
      <c r="J239" s="281">
        <v>500</v>
      </c>
      <c r="K239" s="24">
        <v>590</v>
      </c>
      <c r="L239" s="24">
        <f>M239-K239</f>
        <v>0</v>
      </c>
      <c r="M239" s="24">
        <v>590</v>
      </c>
    </row>
    <row r="240" spans="1:13" ht="90" x14ac:dyDescent="0.35">
      <c r="A240" s="11"/>
      <c r="B240" s="518" t="s">
        <v>744</v>
      </c>
      <c r="C240" s="23" t="s">
        <v>1</v>
      </c>
      <c r="D240" s="10" t="s">
        <v>88</v>
      </c>
      <c r="E240" s="10" t="s">
        <v>63</v>
      </c>
      <c r="F240" s="696" t="s">
        <v>683</v>
      </c>
      <c r="G240" s="697" t="s">
        <v>89</v>
      </c>
      <c r="H240" s="697" t="s">
        <v>224</v>
      </c>
      <c r="I240" s="698" t="s">
        <v>44</v>
      </c>
      <c r="J240" s="281"/>
      <c r="K240" s="24">
        <f t="shared" ref="K240:M241" si="33">K241</f>
        <v>569.1</v>
      </c>
      <c r="L240" s="24">
        <f t="shared" si="33"/>
        <v>0</v>
      </c>
      <c r="M240" s="24">
        <f t="shared" si="33"/>
        <v>569.1</v>
      </c>
    </row>
    <row r="241" spans="1:13" ht="72" x14ac:dyDescent="0.35">
      <c r="A241" s="11"/>
      <c r="B241" s="667" t="s">
        <v>686</v>
      </c>
      <c r="C241" s="23" t="s">
        <v>1</v>
      </c>
      <c r="D241" s="10" t="s">
        <v>88</v>
      </c>
      <c r="E241" s="10" t="s">
        <v>63</v>
      </c>
      <c r="F241" s="696" t="s">
        <v>683</v>
      </c>
      <c r="G241" s="697" t="s">
        <v>89</v>
      </c>
      <c r="H241" s="697" t="s">
        <v>224</v>
      </c>
      <c r="I241" s="698" t="s">
        <v>685</v>
      </c>
      <c r="J241" s="281"/>
      <c r="K241" s="24">
        <f t="shared" si="33"/>
        <v>569.1</v>
      </c>
      <c r="L241" s="24">
        <f t="shared" si="33"/>
        <v>0</v>
      </c>
      <c r="M241" s="24">
        <f t="shared" si="33"/>
        <v>569.1</v>
      </c>
    </row>
    <row r="242" spans="1:13" ht="18" customHeight="1" x14ac:dyDescent="0.35">
      <c r="A242" s="11"/>
      <c r="B242" s="518" t="s">
        <v>123</v>
      </c>
      <c r="C242" s="23" t="s">
        <v>1</v>
      </c>
      <c r="D242" s="10" t="s">
        <v>88</v>
      </c>
      <c r="E242" s="10" t="s">
        <v>63</v>
      </c>
      <c r="F242" s="696" t="s">
        <v>683</v>
      </c>
      <c r="G242" s="697" t="s">
        <v>89</v>
      </c>
      <c r="H242" s="697" t="s">
        <v>224</v>
      </c>
      <c r="I242" s="698" t="s">
        <v>685</v>
      </c>
      <c r="J242" s="281">
        <v>500</v>
      </c>
      <c r="K242" s="24">
        <v>569.1</v>
      </c>
      <c r="L242" s="24">
        <f>M242-K242</f>
        <v>0</v>
      </c>
      <c r="M242" s="24">
        <v>569.1</v>
      </c>
    </row>
    <row r="243" spans="1:13" ht="54" x14ac:dyDescent="0.35">
      <c r="A243" s="11"/>
      <c r="B243" s="518" t="s">
        <v>748</v>
      </c>
      <c r="C243" s="23" t="s">
        <v>1</v>
      </c>
      <c r="D243" s="10" t="s">
        <v>88</v>
      </c>
      <c r="E243" s="10" t="s">
        <v>63</v>
      </c>
      <c r="F243" s="696" t="s">
        <v>683</v>
      </c>
      <c r="G243" s="697" t="s">
        <v>89</v>
      </c>
      <c r="H243" s="697" t="s">
        <v>226</v>
      </c>
      <c r="I243" s="698" t="s">
        <v>44</v>
      </c>
      <c r="J243" s="281"/>
      <c r="K243" s="24"/>
      <c r="L243" s="24">
        <f>L244</f>
        <v>245</v>
      </c>
      <c r="M243" s="24">
        <f>M244</f>
        <v>245</v>
      </c>
    </row>
    <row r="244" spans="1:13" ht="18" customHeight="1" x14ac:dyDescent="0.35">
      <c r="A244" s="11"/>
      <c r="B244" s="667" t="s">
        <v>686</v>
      </c>
      <c r="C244" s="23" t="s">
        <v>1</v>
      </c>
      <c r="D244" s="10" t="s">
        <v>88</v>
      </c>
      <c r="E244" s="10" t="s">
        <v>63</v>
      </c>
      <c r="F244" s="696" t="s">
        <v>683</v>
      </c>
      <c r="G244" s="697" t="s">
        <v>89</v>
      </c>
      <c r="H244" s="697" t="s">
        <v>226</v>
      </c>
      <c r="I244" s="698" t="s">
        <v>685</v>
      </c>
      <c r="J244" s="281"/>
      <c r="K244" s="24"/>
      <c r="L244" s="24">
        <f>L245</f>
        <v>245</v>
      </c>
      <c r="M244" s="24">
        <f>M245</f>
        <v>245</v>
      </c>
    </row>
    <row r="245" spans="1:13" ht="18" customHeight="1" x14ac:dyDescent="0.35">
      <c r="A245" s="11"/>
      <c r="B245" s="518" t="s">
        <v>123</v>
      </c>
      <c r="C245" s="23" t="s">
        <v>1</v>
      </c>
      <c r="D245" s="10" t="s">
        <v>88</v>
      </c>
      <c r="E245" s="10" t="s">
        <v>63</v>
      </c>
      <c r="F245" s="696" t="s">
        <v>683</v>
      </c>
      <c r="G245" s="697" t="s">
        <v>89</v>
      </c>
      <c r="H245" s="697" t="s">
        <v>226</v>
      </c>
      <c r="I245" s="698" t="s">
        <v>685</v>
      </c>
      <c r="J245" s="281">
        <v>500</v>
      </c>
      <c r="K245" s="24"/>
      <c r="L245" s="24">
        <f>M245-K245</f>
        <v>245</v>
      </c>
      <c r="M245" s="24">
        <v>245</v>
      </c>
    </row>
    <row r="246" spans="1:13" ht="90" x14ac:dyDescent="0.35">
      <c r="A246" s="11"/>
      <c r="B246" s="518" t="s">
        <v>749</v>
      </c>
      <c r="C246" s="23" t="s">
        <v>1</v>
      </c>
      <c r="D246" s="10" t="s">
        <v>88</v>
      </c>
      <c r="E246" s="10" t="s">
        <v>63</v>
      </c>
      <c r="F246" s="696" t="s">
        <v>683</v>
      </c>
      <c r="G246" s="697" t="s">
        <v>89</v>
      </c>
      <c r="H246" s="697" t="s">
        <v>79</v>
      </c>
      <c r="I246" s="698" t="s">
        <v>44</v>
      </c>
      <c r="J246" s="281"/>
      <c r="K246" s="24"/>
      <c r="L246" s="24">
        <f>L247</f>
        <v>530</v>
      </c>
      <c r="M246" s="24">
        <f>M247</f>
        <v>530</v>
      </c>
    </row>
    <row r="247" spans="1:13" ht="18" customHeight="1" x14ac:dyDescent="0.35">
      <c r="A247" s="11"/>
      <c r="B247" s="667" t="s">
        <v>686</v>
      </c>
      <c r="C247" s="23" t="s">
        <v>1</v>
      </c>
      <c r="D247" s="10" t="s">
        <v>88</v>
      </c>
      <c r="E247" s="10" t="s">
        <v>63</v>
      </c>
      <c r="F247" s="696" t="s">
        <v>683</v>
      </c>
      <c r="G247" s="697" t="s">
        <v>89</v>
      </c>
      <c r="H247" s="697" t="s">
        <v>79</v>
      </c>
      <c r="I247" s="698" t="s">
        <v>685</v>
      </c>
      <c r="J247" s="281"/>
      <c r="K247" s="24"/>
      <c r="L247" s="24">
        <f>L248</f>
        <v>530</v>
      </c>
      <c r="M247" s="24">
        <f>M248</f>
        <v>530</v>
      </c>
    </row>
    <row r="248" spans="1:13" ht="18" customHeight="1" x14ac:dyDescent="0.35">
      <c r="A248" s="11"/>
      <c r="B248" s="518" t="s">
        <v>123</v>
      </c>
      <c r="C248" s="23" t="s">
        <v>1</v>
      </c>
      <c r="D248" s="10" t="s">
        <v>88</v>
      </c>
      <c r="E248" s="10" t="s">
        <v>63</v>
      </c>
      <c r="F248" s="696" t="s">
        <v>683</v>
      </c>
      <c r="G248" s="697" t="s">
        <v>89</v>
      </c>
      <c r="H248" s="697" t="s">
        <v>79</v>
      </c>
      <c r="I248" s="698" t="s">
        <v>685</v>
      </c>
      <c r="J248" s="281">
        <v>500</v>
      </c>
      <c r="K248" s="24"/>
      <c r="L248" s="24">
        <f>M248-K248</f>
        <v>530</v>
      </c>
      <c r="M248" s="24">
        <v>530</v>
      </c>
    </row>
    <row r="249" spans="1:13" ht="36" x14ac:dyDescent="0.35">
      <c r="A249" s="11"/>
      <c r="B249" s="518" t="s">
        <v>447</v>
      </c>
      <c r="C249" s="23" t="s">
        <v>1</v>
      </c>
      <c r="D249" s="10" t="s">
        <v>88</v>
      </c>
      <c r="E249" s="10" t="s">
        <v>63</v>
      </c>
      <c r="F249" s="696" t="s">
        <v>68</v>
      </c>
      <c r="G249" s="697" t="s">
        <v>42</v>
      </c>
      <c r="H249" s="697" t="s">
        <v>43</v>
      </c>
      <c r="I249" s="698" t="s">
        <v>44</v>
      </c>
      <c r="J249" s="281"/>
      <c r="K249" s="24">
        <f t="shared" ref="K249:M251" si="34">K250</f>
        <v>11161.2</v>
      </c>
      <c r="L249" s="24">
        <f t="shared" si="34"/>
        <v>0</v>
      </c>
      <c r="M249" s="24">
        <f t="shared" si="34"/>
        <v>11161.2</v>
      </c>
    </row>
    <row r="250" spans="1:13" ht="18" customHeight="1" x14ac:dyDescent="0.35">
      <c r="A250" s="11"/>
      <c r="B250" s="518" t="s">
        <v>448</v>
      </c>
      <c r="C250" s="23" t="s">
        <v>1</v>
      </c>
      <c r="D250" s="10" t="s">
        <v>88</v>
      </c>
      <c r="E250" s="10" t="s">
        <v>63</v>
      </c>
      <c r="F250" s="696" t="s">
        <v>68</v>
      </c>
      <c r="G250" s="697" t="s">
        <v>45</v>
      </c>
      <c r="H250" s="697" t="s">
        <v>43</v>
      </c>
      <c r="I250" s="698" t="s">
        <v>44</v>
      </c>
      <c r="J250" s="281"/>
      <c r="K250" s="24">
        <f t="shared" si="34"/>
        <v>11161.2</v>
      </c>
      <c r="L250" s="24">
        <f t="shared" si="34"/>
        <v>0</v>
      </c>
      <c r="M250" s="24">
        <f t="shared" si="34"/>
        <v>11161.2</v>
      </c>
    </row>
    <row r="251" spans="1:13" ht="36" x14ac:dyDescent="0.35">
      <c r="A251" s="11"/>
      <c r="B251" s="518" t="s">
        <v>711</v>
      </c>
      <c r="C251" s="23" t="s">
        <v>1</v>
      </c>
      <c r="D251" s="10" t="s">
        <v>88</v>
      </c>
      <c r="E251" s="10" t="s">
        <v>63</v>
      </c>
      <c r="F251" s="696" t="s">
        <v>68</v>
      </c>
      <c r="G251" s="697" t="s">
        <v>45</v>
      </c>
      <c r="H251" s="697" t="s">
        <v>43</v>
      </c>
      <c r="I251" s="698" t="s">
        <v>712</v>
      </c>
      <c r="J251" s="281"/>
      <c r="K251" s="24">
        <f t="shared" si="34"/>
        <v>11161.2</v>
      </c>
      <c r="L251" s="24">
        <f t="shared" si="34"/>
        <v>0</v>
      </c>
      <c r="M251" s="24">
        <f t="shared" si="34"/>
        <v>11161.2</v>
      </c>
    </row>
    <row r="252" spans="1:13" ht="18" customHeight="1" x14ac:dyDescent="0.35">
      <c r="A252" s="11"/>
      <c r="B252" s="518" t="s">
        <v>123</v>
      </c>
      <c r="C252" s="23" t="s">
        <v>1</v>
      </c>
      <c r="D252" s="10" t="s">
        <v>88</v>
      </c>
      <c r="E252" s="10" t="s">
        <v>63</v>
      </c>
      <c r="F252" s="696" t="s">
        <v>68</v>
      </c>
      <c r="G252" s="697" t="s">
        <v>45</v>
      </c>
      <c r="H252" s="697" t="s">
        <v>43</v>
      </c>
      <c r="I252" s="698" t="s">
        <v>712</v>
      </c>
      <c r="J252" s="281">
        <v>500</v>
      </c>
      <c r="K252" s="24">
        <v>11161.2</v>
      </c>
      <c r="L252" s="24">
        <f>M252-K252</f>
        <v>0</v>
      </c>
      <c r="M252" s="24">
        <v>11161.2</v>
      </c>
    </row>
    <row r="253" spans="1:13" ht="18" customHeight="1" x14ac:dyDescent="0.35">
      <c r="A253" s="11"/>
      <c r="B253" s="518"/>
      <c r="C253" s="23"/>
      <c r="D253" s="10"/>
      <c r="E253" s="10"/>
      <c r="F253" s="696"/>
      <c r="G253" s="697"/>
      <c r="H253" s="697"/>
      <c r="I253" s="698"/>
      <c r="J253" s="281"/>
      <c r="K253" s="24"/>
      <c r="L253" s="24"/>
      <c r="M253" s="24"/>
    </row>
    <row r="254" spans="1:13" ht="52.2" customHeight="1" x14ac:dyDescent="0.3">
      <c r="A254" s="120">
        <v>2</v>
      </c>
      <c r="B254" s="565" t="s">
        <v>2</v>
      </c>
      <c r="C254" s="18" t="s">
        <v>302</v>
      </c>
      <c r="D254" s="19"/>
      <c r="E254" s="19"/>
      <c r="F254" s="20"/>
      <c r="G254" s="21"/>
      <c r="H254" s="21"/>
      <c r="I254" s="22"/>
      <c r="J254" s="19"/>
      <c r="K254" s="32">
        <f>K255+K283+K276</f>
        <v>42143.299999999996</v>
      </c>
      <c r="L254" s="32">
        <f>L255+L283+L276</f>
        <v>7500</v>
      </c>
      <c r="M254" s="32">
        <f>M255+M283+M276</f>
        <v>49643.299999999996</v>
      </c>
    </row>
    <row r="255" spans="1:13" s="125" customFormat="1" ht="18" customHeight="1" x14ac:dyDescent="0.35">
      <c r="A255" s="11"/>
      <c r="B255" s="518" t="s">
        <v>36</v>
      </c>
      <c r="C255" s="23" t="s">
        <v>302</v>
      </c>
      <c r="D255" s="10" t="s">
        <v>37</v>
      </c>
      <c r="E255" s="10"/>
      <c r="F255" s="696"/>
      <c r="G255" s="697"/>
      <c r="H255" s="697"/>
      <c r="I255" s="698"/>
      <c r="J255" s="10"/>
      <c r="K255" s="24">
        <f>K256+K267</f>
        <v>34527.699999999997</v>
      </c>
      <c r="L255" s="24">
        <f>L256+L267</f>
        <v>0</v>
      </c>
      <c r="M255" s="24">
        <f>M256+M267</f>
        <v>34527.699999999997</v>
      </c>
    </row>
    <row r="256" spans="1:13" s="126" customFormat="1" ht="72" customHeight="1" x14ac:dyDescent="0.35">
      <c r="A256" s="11"/>
      <c r="B256" s="518" t="s">
        <v>129</v>
      </c>
      <c r="C256" s="23" t="s">
        <v>302</v>
      </c>
      <c r="D256" s="10" t="s">
        <v>37</v>
      </c>
      <c r="E256" s="10" t="s">
        <v>81</v>
      </c>
      <c r="F256" s="696"/>
      <c r="G256" s="697"/>
      <c r="H256" s="697"/>
      <c r="I256" s="698"/>
      <c r="J256" s="10"/>
      <c r="K256" s="24">
        <f t="shared" ref="K256:M259" si="35">K257</f>
        <v>31082.6</v>
      </c>
      <c r="L256" s="24">
        <f t="shared" si="35"/>
        <v>0</v>
      </c>
      <c r="M256" s="24">
        <f t="shared" si="35"/>
        <v>31082.6</v>
      </c>
    </row>
    <row r="257" spans="1:13" s="121" customFormat="1" ht="54" customHeight="1" x14ac:dyDescent="0.35">
      <c r="A257" s="11"/>
      <c r="B257" s="518" t="s">
        <v>223</v>
      </c>
      <c r="C257" s="23" t="s">
        <v>302</v>
      </c>
      <c r="D257" s="10" t="s">
        <v>37</v>
      </c>
      <c r="E257" s="10" t="s">
        <v>81</v>
      </c>
      <c r="F257" s="696" t="s">
        <v>224</v>
      </c>
      <c r="G257" s="697" t="s">
        <v>42</v>
      </c>
      <c r="H257" s="697" t="s">
        <v>43</v>
      </c>
      <c r="I257" s="698" t="s">
        <v>44</v>
      </c>
      <c r="J257" s="10"/>
      <c r="K257" s="24">
        <f t="shared" si="35"/>
        <v>31082.6</v>
      </c>
      <c r="L257" s="24">
        <f t="shared" si="35"/>
        <v>0</v>
      </c>
      <c r="M257" s="24">
        <f t="shared" si="35"/>
        <v>31082.6</v>
      </c>
    </row>
    <row r="258" spans="1:13" s="121" customFormat="1" ht="36" customHeight="1" x14ac:dyDescent="0.35">
      <c r="A258" s="11"/>
      <c r="B258" s="518" t="s">
        <v>339</v>
      </c>
      <c r="C258" s="23" t="s">
        <v>302</v>
      </c>
      <c r="D258" s="10" t="s">
        <v>37</v>
      </c>
      <c r="E258" s="10" t="s">
        <v>81</v>
      </c>
      <c r="F258" s="25" t="s">
        <v>224</v>
      </c>
      <c r="G258" s="26" t="s">
        <v>45</v>
      </c>
      <c r="H258" s="697" t="s">
        <v>43</v>
      </c>
      <c r="I258" s="698" t="s">
        <v>44</v>
      </c>
      <c r="J258" s="10"/>
      <c r="K258" s="24">
        <f>K259+K264</f>
        <v>31082.6</v>
      </c>
      <c r="L258" s="24">
        <f>L259+L264</f>
        <v>0</v>
      </c>
      <c r="M258" s="24">
        <f>M259+M264</f>
        <v>31082.6</v>
      </c>
    </row>
    <row r="259" spans="1:13" s="121" customFormat="1" ht="54" customHeight="1" x14ac:dyDescent="0.35">
      <c r="A259" s="11"/>
      <c r="B259" s="518" t="s">
        <v>303</v>
      </c>
      <c r="C259" s="23" t="s">
        <v>302</v>
      </c>
      <c r="D259" s="10" t="s">
        <v>37</v>
      </c>
      <c r="E259" s="10" t="s">
        <v>81</v>
      </c>
      <c r="F259" s="25" t="s">
        <v>224</v>
      </c>
      <c r="G259" s="26" t="s">
        <v>45</v>
      </c>
      <c r="H259" s="697" t="s">
        <v>37</v>
      </c>
      <c r="I259" s="698" t="s">
        <v>44</v>
      </c>
      <c r="J259" s="10"/>
      <c r="K259" s="24">
        <f t="shared" si="35"/>
        <v>30356.399999999998</v>
      </c>
      <c r="L259" s="24">
        <f t="shared" si="35"/>
        <v>0</v>
      </c>
      <c r="M259" s="24">
        <f t="shared" si="35"/>
        <v>30356.399999999998</v>
      </c>
    </row>
    <row r="260" spans="1:13" s="121" customFormat="1" ht="36" customHeight="1" x14ac:dyDescent="0.35">
      <c r="A260" s="11"/>
      <c r="B260" s="518" t="s">
        <v>47</v>
      </c>
      <c r="C260" s="23" t="s">
        <v>302</v>
      </c>
      <c r="D260" s="10" t="s">
        <v>37</v>
      </c>
      <c r="E260" s="10" t="s">
        <v>81</v>
      </c>
      <c r="F260" s="25" t="s">
        <v>224</v>
      </c>
      <c r="G260" s="26" t="s">
        <v>45</v>
      </c>
      <c r="H260" s="697" t="s">
        <v>37</v>
      </c>
      <c r="I260" s="698" t="s">
        <v>48</v>
      </c>
      <c r="J260" s="10"/>
      <c r="K260" s="24">
        <f>SUM(K261:K263)</f>
        <v>30356.399999999998</v>
      </c>
      <c r="L260" s="24">
        <f>SUM(L261:L263)</f>
        <v>0</v>
      </c>
      <c r="M260" s="24">
        <f>SUM(M261:M263)</f>
        <v>30356.399999999998</v>
      </c>
    </row>
    <row r="261" spans="1:13" s="121" customFormat="1" ht="108" customHeight="1" x14ac:dyDescent="0.35">
      <c r="A261" s="11"/>
      <c r="B261" s="518" t="s">
        <v>49</v>
      </c>
      <c r="C261" s="23" t="s">
        <v>302</v>
      </c>
      <c r="D261" s="10" t="s">
        <v>37</v>
      </c>
      <c r="E261" s="10" t="s">
        <v>81</v>
      </c>
      <c r="F261" s="25" t="s">
        <v>224</v>
      </c>
      <c r="G261" s="26" t="s">
        <v>45</v>
      </c>
      <c r="H261" s="697" t="s">
        <v>37</v>
      </c>
      <c r="I261" s="698" t="s">
        <v>48</v>
      </c>
      <c r="J261" s="10" t="s">
        <v>50</v>
      </c>
      <c r="K261" s="24">
        <f>29637.3-280.5+280.5</f>
        <v>29637.3</v>
      </c>
      <c r="L261" s="24">
        <f>M261-K261</f>
        <v>0</v>
      </c>
      <c r="M261" s="24">
        <f>29637.3-280.5+280.5</f>
        <v>29637.3</v>
      </c>
    </row>
    <row r="262" spans="1:13" s="121" customFormat="1" ht="54" customHeight="1" x14ac:dyDescent="0.35">
      <c r="A262" s="11"/>
      <c r="B262" s="518" t="s">
        <v>55</v>
      </c>
      <c r="C262" s="23" t="s">
        <v>302</v>
      </c>
      <c r="D262" s="10" t="s">
        <v>37</v>
      </c>
      <c r="E262" s="10" t="s">
        <v>81</v>
      </c>
      <c r="F262" s="25" t="s">
        <v>224</v>
      </c>
      <c r="G262" s="26" t="s">
        <v>45</v>
      </c>
      <c r="H262" s="697" t="s">
        <v>37</v>
      </c>
      <c r="I262" s="698" t="s">
        <v>48</v>
      </c>
      <c r="J262" s="10" t="s">
        <v>56</v>
      </c>
      <c r="K262" s="24">
        <v>714.5</v>
      </c>
      <c r="L262" s="24">
        <f>M262-K262</f>
        <v>0</v>
      </c>
      <c r="M262" s="24">
        <v>714.5</v>
      </c>
    </row>
    <row r="263" spans="1:13" s="126" customFormat="1" ht="18" customHeight="1" x14ac:dyDescent="0.35">
      <c r="A263" s="11"/>
      <c r="B263" s="518" t="s">
        <v>57</v>
      </c>
      <c r="C263" s="23" t="s">
        <v>302</v>
      </c>
      <c r="D263" s="10" t="s">
        <v>37</v>
      </c>
      <c r="E263" s="10" t="s">
        <v>81</v>
      </c>
      <c r="F263" s="25" t="s">
        <v>224</v>
      </c>
      <c r="G263" s="26" t="s">
        <v>45</v>
      </c>
      <c r="H263" s="697" t="s">
        <v>37</v>
      </c>
      <c r="I263" s="698" t="s">
        <v>48</v>
      </c>
      <c r="J263" s="10" t="s">
        <v>58</v>
      </c>
      <c r="K263" s="24">
        <v>4.5999999999999996</v>
      </c>
      <c r="L263" s="24">
        <f>M263-K263</f>
        <v>0</v>
      </c>
      <c r="M263" s="24">
        <v>4.5999999999999996</v>
      </c>
    </row>
    <row r="264" spans="1:13" s="126" customFormat="1" ht="54" customHeight="1" x14ac:dyDescent="0.35">
      <c r="A264" s="11"/>
      <c r="B264" s="601" t="s">
        <v>661</v>
      </c>
      <c r="C264" s="23" t="s">
        <v>302</v>
      </c>
      <c r="D264" s="10" t="s">
        <v>37</v>
      </c>
      <c r="E264" s="10" t="s">
        <v>81</v>
      </c>
      <c r="F264" s="25" t="s">
        <v>224</v>
      </c>
      <c r="G264" s="26" t="s">
        <v>45</v>
      </c>
      <c r="H264" s="697" t="s">
        <v>52</v>
      </c>
      <c r="I264" s="698" t="s">
        <v>44</v>
      </c>
      <c r="J264" s="10"/>
      <c r="K264" s="24">
        <f t="shared" ref="K264:M265" si="36">K265</f>
        <v>726.2</v>
      </c>
      <c r="L264" s="24">
        <f t="shared" si="36"/>
        <v>0</v>
      </c>
      <c r="M264" s="24">
        <f t="shared" si="36"/>
        <v>726.2</v>
      </c>
    </row>
    <row r="265" spans="1:13" s="126" customFormat="1" ht="36" customHeight="1" x14ac:dyDescent="0.35">
      <c r="A265" s="11"/>
      <c r="B265" s="601" t="s">
        <v>660</v>
      </c>
      <c r="C265" s="23" t="s">
        <v>302</v>
      </c>
      <c r="D265" s="10" t="s">
        <v>37</v>
      </c>
      <c r="E265" s="10" t="s">
        <v>81</v>
      </c>
      <c r="F265" s="25" t="s">
        <v>224</v>
      </c>
      <c r="G265" s="26" t="s">
        <v>45</v>
      </c>
      <c r="H265" s="697" t="s">
        <v>52</v>
      </c>
      <c r="I265" s="698" t="s">
        <v>662</v>
      </c>
      <c r="J265" s="10"/>
      <c r="K265" s="24">
        <f t="shared" si="36"/>
        <v>726.2</v>
      </c>
      <c r="L265" s="24">
        <f t="shared" si="36"/>
        <v>0</v>
      </c>
      <c r="M265" s="24">
        <f t="shared" si="36"/>
        <v>726.2</v>
      </c>
    </row>
    <row r="266" spans="1:13" s="126" customFormat="1" ht="108" customHeight="1" x14ac:dyDescent="0.35">
      <c r="A266" s="11"/>
      <c r="B266" s="601" t="s">
        <v>49</v>
      </c>
      <c r="C266" s="23" t="s">
        <v>302</v>
      </c>
      <c r="D266" s="10" t="s">
        <v>37</v>
      </c>
      <c r="E266" s="10" t="s">
        <v>81</v>
      </c>
      <c r="F266" s="25" t="s">
        <v>224</v>
      </c>
      <c r="G266" s="26" t="s">
        <v>45</v>
      </c>
      <c r="H266" s="697" t="s">
        <v>52</v>
      </c>
      <c r="I266" s="698" t="s">
        <v>662</v>
      </c>
      <c r="J266" s="10" t="s">
        <v>50</v>
      </c>
      <c r="K266" s="24">
        <f>280.5+445.7</f>
        <v>726.2</v>
      </c>
      <c r="L266" s="24">
        <f>M266-K266</f>
        <v>0</v>
      </c>
      <c r="M266" s="24">
        <f>280.5+445.7</f>
        <v>726.2</v>
      </c>
    </row>
    <row r="267" spans="1:13" s="121" customFormat="1" ht="18" customHeight="1" x14ac:dyDescent="0.35">
      <c r="A267" s="11"/>
      <c r="B267" s="518" t="s">
        <v>70</v>
      </c>
      <c r="C267" s="23" t="s">
        <v>302</v>
      </c>
      <c r="D267" s="10" t="s">
        <v>37</v>
      </c>
      <c r="E267" s="10" t="s">
        <v>71</v>
      </c>
      <c r="F267" s="25"/>
      <c r="G267" s="26"/>
      <c r="H267" s="697"/>
      <c r="I267" s="698"/>
      <c r="J267" s="10"/>
      <c r="K267" s="24">
        <f t="shared" ref="K267:M271" si="37">K268</f>
        <v>3445.1</v>
      </c>
      <c r="L267" s="24">
        <f t="shared" si="37"/>
        <v>0</v>
      </c>
      <c r="M267" s="24">
        <f t="shared" si="37"/>
        <v>3445.1</v>
      </c>
    </row>
    <row r="268" spans="1:13" s="121" customFormat="1" ht="54" customHeight="1" x14ac:dyDescent="0.35">
      <c r="A268" s="11"/>
      <c r="B268" s="518" t="s">
        <v>223</v>
      </c>
      <c r="C268" s="23" t="s">
        <v>302</v>
      </c>
      <c r="D268" s="10" t="s">
        <v>37</v>
      </c>
      <c r="E268" s="10" t="s">
        <v>71</v>
      </c>
      <c r="F268" s="25" t="s">
        <v>224</v>
      </c>
      <c r="G268" s="26" t="s">
        <v>42</v>
      </c>
      <c r="H268" s="697" t="s">
        <v>43</v>
      </c>
      <c r="I268" s="698" t="s">
        <v>44</v>
      </c>
      <c r="J268" s="10"/>
      <c r="K268" s="24">
        <f t="shared" si="37"/>
        <v>3445.1</v>
      </c>
      <c r="L268" s="24">
        <f t="shared" si="37"/>
        <v>0</v>
      </c>
      <c r="M268" s="24">
        <f t="shared" si="37"/>
        <v>3445.1</v>
      </c>
    </row>
    <row r="269" spans="1:13" s="7" customFormat="1" ht="36" customHeight="1" x14ac:dyDescent="0.35">
      <c r="A269" s="11"/>
      <c r="B269" s="518" t="s">
        <v>339</v>
      </c>
      <c r="C269" s="23" t="s">
        <v>302</v>
      </c>
      <c r="D269" s="10" t="s">
        <v>37</v>
      </c>
      <c r="E269" s="10" t="s">
        <v>71</v>
      </c>
      <c r="F269" s="25" t="s">
        <v>224</v>
      </c>
      <c r="G269" s="26" t="s">
        <v>45</v>
      </c>
      <c r="H269" s="697" t="s">
        <v>43</v>
      </c>
      <c r="I269" s="698" t="s">
        <v>44</v>
      </c>
      <c r="J269" s="10"/>
      <c r="K269" s="24">
        <f>K270+K273</f>
        <v>3445.1</v>
      </c>
      <c r="L269" s="24">
        <f>L270+L273</f>
        <v>0</v>
      </c>
      <c r="M269" s="24">
        <f>M270+M273</f>
        <v>3445.1</v>
      </c>
    </row>
    <row r="270" spans="1:13" s="121" customFormat="1" ht="36" customHeight="1" x14ac:dyDescent="0.35">
      <c r="A270" s="11"/>
      <c r="B270" s="518" t="s">
        <v>351</v>
      </c>
      <c r="C270" s="23" t="s">
        <v>302</v>
      </c>
      <c r="D270" s="10" t="s">
        <v>37</v>
      </c>
      <c r="E270" s="10" t="s">
        <v>71</v>
      </c>
      <c r="F270" s="25" t="s">
        <v>224</v>
      </c>
      <c r="G270" s="26" t="s">
        <v>45</v>
      </c>
      <c r="H270" s="697" t="s">
        <v>63</v>
      </c>
      <c r="I270" s="698" t="s">
        <v>44</v>
      </c>
      <c r="J270" s="10"/>
      <c r="K270" s="24">
        <f>K271</f>
        <v>3427.9</v>
      </c>
      <c r="L270" s="24">
        <f>L271</f>
        <v>0</v>
      </c>
      <c r="M270" s="24">
        <f>M271</f>
        <v>3427.9</v>
      </c>
    </row>
    <row r="271" spans="1:13" s="126" customFormat="1" ht="54" customHeight="1" x14ac:dyDescent="0.35">
      <c r="A271" s="11"/>
      <c r="B271" s="518" t="s">
        <v>352</v>
      </c>
      <c r="C271" s="23" t="s">
        <v>302</v>
      </c>
      <c r="D271" s="10" t="s">
        <v>37</v>
      </c>
      <c r="E271" s="10" t="s">
        <v>71</v>
      </c>
      <c r="F271" s="25" t="s">
        <v>224</v>
      </c>
      <c r="G271" s="26" t="s">
        <v>45</v>
      </c>
      <c r="H271" s="697" t="s">
        <v>63</v>
      </c>
      <c r="I271" s="698" t="s">
        <v>105</v>
      </c>
      <c r="J271" s="10"/>
      <c r="K271" s="24">
        <f t="shared" si="37"/>
        <v>3427.9</v>
      </c>
      <c r="L271" s="24">
        <f t="shared" si="37"/>
        <v>0</v>
      </c>
      <c r="M271" s="24">
        <f t="shared" si="37"/>
        <v>3427.9</v>
      </c>
    </row>
    <row r="272" spans="1:13" s="126" customFormat="1" ht="54" customHeight="1" x14ac:dyDescent="0.35">
      <c r="A272" s="11"/>
      <c r="B272" s="518" t="s">
        <v>55</v>
      </c>
      <c r="C272" s="23" t="s">
        <v>302</v>
      </c>
      <c r="D272" s="10" t="s">
        <v>37</v>
      </c>
      <c r="E272" s="10" t="s">
        <v>71</v>
      </c>
      <c r="F272" s="25" t="s">
        <v>224</v>
      </c>
      <c r="G272" s="26" t="s">
        <v>45</v>
      </c>
      <c r="H272" s="697" t="s">
        <v>63</v>
      </c>
      <c r="I272" s="698" t="s">
        <v>105</v>
      </c>
      <c r="J272" s="10" t="s">
        <v>56</v>
      </c>
      <c r="K272" s="24">
        <v>3427.9</v>
      </c>
      <c r="L272" s="24">
        <f>M272-K272</f>
        <v>0</v>
      </c>
      <c r="M272" s="24">
        <v>3427.9</v>
      </c>
    </row>
    <row r="273" spans="1:13" s="126" customFormat="1" ht="36" customHeight="1" x14ac:dyDescent="0.35">
      <c r="A273" s="11"/>
      <c r="B273" s="518" t="s">
        <v>470</v>
      </c>
      <c r="C273" s="23" t="s">
        <v>302</v>
      </c>
      <c r="D273" s="10" t="s">
        <v>37</v>
      </c>
      <c r="E273" s="10" t="s">
        <v>71</v>
      </c>
      <c r="F273" s="25" t="s">
        <v>224</v>
      </c>
      <c r="G273" s="26" t="s">
        <v>45</v>
      </c>
      <c r="H273" s="697" t="s">
        <v>65</v>
      </c>
      <c r="I273" s="698" t="s">
        <v>44</v>
      </c>
      <c r="J273" s="10"/>
      <c r="K273" s="24">
        <f t="shared" ref="K273:M274" si="38">K274</f>
        <v>17.2</v>
      </c>
      <c r="L273" s="24">
        <f t="shared" si="38"/>
        <v>0</v>
      </c>
      <c r="M273" s="24">
        <f t="shared" si="38"/>
        <v>17.2</v>
      </c>
    </row>
    <row r="274" spans="1:13" s="126" customFormat="1" ht="18" customHeight="1" x14ac:dyDescent="0.35">
      <c r="A274" s="11"/>
      <c r="B274" s="518" t="s">
        <v>468</v>
      </c>
      <c r="C274" s="23" t="s">
        <v>302</v>
      </c>
      <c r="D274" s="10" t="s">
        <v>37</v>
      </c>
      <c r="E274" s="10" t="s">
        <v>71</v>
      </c>
      <c r="F274" s="25" t="s">
        <v>224</v>
      </c>
      <c r="G274" s="26" t="s">
        <v>45</v>
      </c>
      <c r="H274" s="697" t="s">
        <v>65</v>
      </c>
      <c r="I274" s="698" t="s">
        <v>469</v>
      </c>
      <c r="J274" s="10"/>
      <c r="K274" s="24">
        <f t="shared" si="38"/>
        <v>17.2</v>
      </c>
      <c r="L274" s="24">
        <f t="shared" si="38"/>
        <v>0</v>
      </c>
      <c r="M274" s="24">
        <f t="shared" si="38"/>
        <v>17.2</v>
      </c>
    </row>
    <row r="275" spans="1:13" s="126" customFormat="1" ht="54" customHeight="1" x14ac:dyDescent="0.35">
      <c r="A275" s="11"/>
      <c r="B275" s="518" t="s">
        <v>55</v>
      </c>
      <c r="C275" s="23" t="s">
        <v>302</v>
      </c>
      <c r="D275" s="10" t="s">
        <v>37</v>
      </c>
      <c r="E275" s="10" t="s">
        <v>71</v>
      </c>
      <c r="F275" s="25" t="s">
        <v>224</v>
      </c>
      <c r="G275" s="26" t="s">
        <v>45</v>
      </c>
      <c r="H275" s="697" t="s">
        <v>65</v>
      </c>
      <c r="I275" s="698" t="s">
        <v>469</v>
      </c>
      <c r="J275" s="10" t="s">
        <v>56</v>
      </c>
      <c r="K275" s="24">
        <v>17.2</v>
      </c>
      <c r="L275" s="24">
        <f>M275-K275</f>
        <v>0</v>
      </c>
      <c r="M275" s="24">
        <v>17.2</v>
      </c>
    </row>
    <row r="276" spans="1:13" s="126" customFormat="1" ht="18" customHeight="1" x14ac:dyDescent="0.35">
      <c r="A276" s="11"/>
      <c r="B276" s="518" t="s">
        <v>179</v>
      </c>
      <c r="C276" s="23" t="s">
        <v>302</v>
      </c>
      <c r="D276" s="10" t="s">
        <v>224</v>
      </c>
      <c r="E276" s="10"/>
      <c r="F276" s="25"/>
      <c r="G276" s="26"/>
      <c r="H276" s="697"/>
      <c r="I276" s="698"/>
      <c r="J276" s="10"/>
      <c r="K276" s="24">
        <f t="shared" ref="K276:M281" si="39">K277</f>
        <v>115.6</v>
      </c>
      <c r="L276" s="24">
        <f t="shared" si="39"/>
        <v>0</v>
      </c>
      <c r="M276" s="24">
        <f t="shared" si="39"/>
        <v>115.6</v>
      </c>
    </row>
    <row r="277" spans="1:13" s="126" customFormat="1" ht="36" customHeight="1" x14ac:dyDescent="0.35">
      <c r="A277" s="11"/>
      <c r="B277" s="518" t="s">
        <v>532</v>
      </c>
      <c r="C277" s="23" t="s">
        <v>302</v>
      </c>
      <c r="D277" s="10" t="s">
        <v>224</v>
      </c>
      <c r="E277" s="10" t="s">
        <v>65</v>
      </c>
      <c r="F277" s="25"/>
      <c r="G277" s="26"/>
      <c r="H277" s="697"/>
      <c r="I277" s="698"/>
      <c r="J277" s="10"/>
      <c r="K277" s="24">
        <f t="shared" si="39"/>
        <v>115.6</v>
      </c>
      <c r="L277" s="24">
        <f t="shared" si="39"/>
        <v>0</v>
      </c>
      <c r="M277" s="24">
        <f t="shared" si="39"/>
        <v>115.6</v>
      </c>
    </row>
    <row r="278" spans="1:13" s="126" customFormat="1" ht="54" customHeight="1" x14ac:dyDescent="0.35">
      <c r="A278" s="11"/>
      <c r="B278" s="518" t="s">
        <v>223</v>
      </c>
      <c r="C278" s="23" t="s">
        <v>302</v>
      </c>
      <c r="D278" s="10" t="s">
        <v>224</v>
      </c>
      <c r="E278" s="10" t="s">
        <v>65</v>
      </c>
      <c r="F278" s="25" t="s">
        <v>224</v>
      </c>
      <c r="G278" s="26" t="s">
        <v>42</v>
      </c>
      <c r="H278" s="697" t="s">
        <v>43</v>
      </c>
      <c r="I278" s="698" t="s">
        <v>44</v>
      </c>
      <c r="J278" s="10"/>
      <c r="K278" s="24">
        <f t="shared" si="39"/>
        <v>115.6</v>
      </c>
      <c r="L278" s="24">
        <f t="shared" si="39"/>
        <v>0</v>
      </c>
      <c r="M278" s="24">
        <f t="shared" si="39"/>
        <v>115.6</v>
      </c>
    </row>
    <row r="279" spans="1:13" s="126" customFormat="1" ht="36" customHeight="1" x14ac:dyDescent="0.35">
      <c r="A279" s="11"/>
      <c r="B279" s="518" t="s">
        <v>339</v>
      </c>
      <c r="C279" s="23" t="s">
        <v>302</v>
      </c>
      <c r="D279" s="10" t="s">
        <v>224</v>
      </c>
      <c r="E279" s="10" t="s">
        <v>65</v>
      </c>
      <c r="F279" s="25" t="s">
        <v>224</v>
      </c>
      <c r="G279" s="26" t="s">
        <v>45</v>
      </c>
      <c r="H279" s="697" t="s">
        <v>43</v>
      </c>
      <c r="I279" s="698" t="s">
        <v>44</v>
      </c>
      <c r="J279" s="10"/>
      <c r="K279" s="24">
        <f t="shared" si="39"/>
        <v>115.6</v>
      </c>
      <c r="L279" s="24">
        <f t="shared" si="39"/>
        <v>0</v>
      </c>
      <c r="M279" s="24">
        <f t="shared" si="39"/>
        <v>115.6</v>
      </c>
    </row>
    <row r="280" spans="1:13" s="126" customFormat="1" ht="54" customHeight="1" x14ac:dyDescent="0.35">
      <c r="A280" s="11"/>
      <c r="B280" s="518" t="s">
        <v>303</v>
      </c>
      <c r="C280" s="23" t="s">
        <v>302</v>
      </c>
      <c r="D280" s="10" t="s">
        <v>224</v>
      </c>
      <c r="E280" s="10" t="s">
        <v>65</v>
      </c>
      <c r="F280" s="25" t="s">
        <v>224</v>
      </c>
      <c r="G280" s="26" t="s">
        <v>45</v>
      </c>
      <c r="H280" s="697" t="s">
        <v>37</v>
      </c>
      <c r="I280" s="698" t="s">
        <v>44</v>
      </c>
      <c r="J280" s="10"/>
      <c r="K280" s="24">
        <f t="shared" si="39"/>
        <v>115.6</v>
      </c>
      <c r="L280" s="24">
        <f t="shared" si="39"/>
        <v>0</v>
      </c>
      <c r="M280" s="24">
        <f t="shared" si="39"/>
        <v>115.6</v>
      </c>
    </row>
    <row r="281" spans="1:13" s="126" customFormat="1" ht="36" customHeight="1" x14ac:dyDescent="0.35">
      <c r="A281" s="11"/>
      <c r="B281" s="518" t="s">
        <v>534</v>
      </c>
      <c r="C281" s="23" t="s">
        <v>302</v>
      </c>
      <c r="D281" s="10" t="s">
        <v>224</v>
      </c>
      <c r="E281" s="10" t="s">
        <v>65</v>
      </c>
      <c r="F281" s="25" t="s">
        <v>224</v>
      </c>
      <c r="G281" s="26" t="s">
        <v>45</v>
      </c>
      <c r="H281" s="697" t="s">
        <v>37</v>
      </c>
      <c r="I281" s="698" t="s">
        <v>533</v>
      </c>
      <c r="J281" s="10"/>
      <c r="K281" s="24">
        <f t="shared" si="39"/>
        <v>115.6</v>
      </c>
      <c r="L281" s="24">
        <f t="shared" si="39"/>
        <v>0</v>
      </c>
      <c r="M281" s="24">
        <f t="shared" si="39"/>
        <v>115.6</v>
      </c>
    </row>
    <row r="282" spans="1:13" s="126" customFormat="1" ht="54" customHeight="1" x14ac:dyDescent="0.35">
      <c r="A282" s="11"/>
      <c r="B282" s="518" t="s">
        <v>55</v>
      </c>
      <c r="C282" s="23" t="s">
        <v>302</v>
      </c>
      <c r="D282" s="10" t="s">
        <v>224</v>
      </c>
      <c r="E282" s="10" t="s">
        <v>65</v>
      </c>
      <c r="F282" s="25" t="s">
        <v>224</v>
      </c>
      <c r="G282" s="26" t="s">
        <v>45</v>
      </c>
      <c r="H282" s="697" t="s">
        <v>37</v>
      </c>
      <c r="I282" s="698" t="s">
        <v>533</v>
      </c>
      <c r="J282" s="10" t="s">
        <v>56</v>
      </c>
      <c r="K282" s="24">
        <v>115.6</v>
      </c>
      <c r="L282" s="24">
        <f>M282-K282</f>
        <v>0</v>
      </c>
      <c r="M282" s="24">
        <v>115.6</v>
      </c>
    </row>
    <row r="283" spans="1:13" s="126" customFormat="1" ht="54" customHeight="1" x14ac:dyDescent="0.35">
      <c r="A283" s="11"/>
      <c r="B283" s="518" t="s">
        <v>200</v>
      </c>
      <c r="C283" s="23" t="s">
        <v>302</v>
      </c>
      <c r="D283" s="10" t="s">
        <v>88</v>
      </c>
      <c r="E283" s="10"/>
      <c r="F283" s="25"/>
      <c r="G283" s="26"/>
      <c r="H283" s="697"/>
      <c r="I283" s="698"/>
      <c r="J283" s="10"/>
      <c r="K283" s="24">
        <f>K284</f>
        <v>7500</v>
      </c>
      <c r="L283" s="24">
        <f>L284+L290</f>
        <v>7500</v>
      </c>
      <c r="M283" s="24">
        <f>M284+M290</f>
        <v>15000</v>
      </c>
    </row>
    <row r="284" spans="1:13" s="126" customFormat="1" ht="54" customHeight="1" x14ac:dyDescent="0.35">
      <c r="A284" s="11"/>
      <c r="B284" s="568" t="s">
        <v>201</v>
      </c>
      <c r="C284" s="23" t="s">
        <v>302</v>
      </c>
      <c r="D284" s="10" t="s">
        <v>88</v>
      </c>
      <c r="E284" s="10" t="s">
        <v>37</v>
      </c>
      <c r="F284" s="25"/>
      <c r="G284" s="26"/>
      <c r="H284" s="697"/>
      <c r="I284" s="698"/>
      <c r="J284" s="10"/>
      <c r="K284" s="24">
        <f t="shared" ref="K284:M286" si="40">K285</f>
        <v>7500</v>
      </c>
      <c r="L284" s="24">
        <f t="shared" si="40"/>
        <v>0</v>
      </c>
      <c r="M284" s="24">
        <f t="shared" si="40"/>
        <v>7500</v>
      </c>
    </row>
    <row r="285" spans="1:13" s="126" customFormat="1" ht="54" customHeight="1" x14ac:dyDescent="0.35">
      <c r="A285" s="11"/>
      <c r="B285" s="518" t="s">
        <v>223</v>
      </c>
      <c r="C285" s="23" t="s">
        <v>302</v>
      </c>
      <c r="D285" s="10" t="s">
        <v>88</v>
      </c>
      <c r="E285" s="10" t="s">
        <v>37</v>
      </c>
      <c r="F285" s="25" t="s">
        <v>224</v>
      </c>
      <c r="G285" s="26" t="s">
        <v>42</v>
      </c>
      <c r="H285" s="697" t="s">
        <v>43</v>
      </c>
      <c r="I285" s="698" t="s">
        <v>44</v>
      </c>
      <c r="J285" s="10"/>
      <c r="K285" s="24">
        <f t="shared" si="40"/>
        <v>7500</v>
      </c>
      <c r="L285" s="24">
        <f t="shared" si="40"/>
        <v>0</v>
      </c>
      <c r="M285" s="24">
        <f t="shared" si="40"/>
        <v>7500</v>
      </c>
    </row>
    <row r="286" spans="1:13" s="126" customFormat="1" ht="36" customHeight="1" x14ac:dyDescent="0.35">
      <c r="A286" s="11"/>
      <c r="B286" s="518" t="s">
        <v>339</v>
      </c>
      <c r="C286" s="23" t="s">
        <v>302</v>
      </c>
      <c r="D286" s="10" t="s">
        <v>88</v>
      </c>
      <c r="E286" s="10" t="s">
        <v>37</v>
      </c>
      <c r="F286" s="25" t="s">
        <v>224</v>
      </c>
      <c r="G286" s="26" t="s">
        <v>45</v>
      </c>
      <c r="H286" s="697" t="s">
        <v>43</v>
      </c>
      <c r="I286" s="698" t="s">
        <v>44</v>
      </c>
      <c r="J286" s="10"/>
      <c r="K286" s="24">
        <f t="shared" si="40"/>
        <v>7500</v>
      </c>
      <c r="L286" s="24">
        <f t="shared" si="40"/>
        <v>0</v>
      </c>
      <c r="M286" s="24">
        <f t="shared" si="40"/>
        <v>7500</v>
      </c>
    </row>
    <row r="287" spans="1:13" s="126" customFormat="1" ht="36" customHeight="1" x14ac:dyDescent="0.35">
      <c r="A287" s="11"/>
      <c r="B287" s="518" t="s">
        <v>304</v>
      </c>
      <c r="C287" s="23" t="s">
        <v>302</v>
      </c>
      <c r="D287" s="10" t="s">
        <v>88</v>
      </c>
      <c r="E287" s="10" t="s">
        <v>37</v>
      </c>
      <c r="F287" s="25" t="s">
        <v>224</v>
      </c>
      <c r="G287" s="26" t="s">
        <v>45</v>
      </c>
      <c r="H287" s="697" t="s">
        <v>39</v>
      </c>
      <c r="I287" s="698" t="s">
        <v>44</v>
      </c>
      <c r="J287" s="10"/>
      <c r="K287" s="24">
        <f t="shared" ref="K287:M288" si="41">K288</f>
        <v>7500</v>
      </c>
      <c r="L287" s="24">
        <f>L288</f>
        <v>0</v>
      </c>
      <c r="M287" s="24">
        <f>M288</f>
        <v>7500</v>
      </c>
    </row>
    <row r="288" spans="1:13" s="126" customFormat="1" ht="36" customHeight="1" x14ac:dyDescent="0.35">
      <c r="A288" s="11"/>
      <c r="B288" s="518" t="s">
        <v>258</v>
      </c>
      <c r="C288" s="23" t="s">
        <v>302</v>
      </c>
      <c r="D288" s="10" t="s">
        <v>88</v>
      </c>
      <c r="E288" s="10" t="s">
        <v>37</v>
      </c>
      <c r="F288" s="25" t="s">
        <v>224</v>
      </c>
      <c r="G288" s="26" t="s">
        <v>45</v>
      </c>
      <c r="H288" s="697" t="s">
        <v>39</v>
      </c>
      <c r="I288" s="698" t="s">
        <v>406</v>
      </c>
      <c r="J288" s="10"/>
      <c r="K288" s="24">
        <f t="shared" si="41"/>
        <v>7500</v>
      </c>
      <c r="L288" s="24">
        <f t="shared" si="41"/>
        <v>0</v>
      </c>
      <c r="M288" s="24">
        <f t="shared" si="41"/>
        <v>7500</v>
      </c>
    </row>
    <row r="289" spans="1:13" s="126" customFormat="1" ht="18" customHeight="1" x14ac:dyDescent="0.35">
      <c r="A289" s="11"/>
      <c r="B289" s="518" t="s">
        <v>123</v>
      </c>
      <c r="C289" s="23" t="s">
        <v>302</v>
      </c>
      <c r="D289" s="10" t="s">
        <v>88</v>
      </c>
      <c r="E289" s="10" t="s">
        <v>37</v>
      </c>
      <c r="F289" s="25" t="s">
        <v>224</v>
      </c>
      <c r="G289" s="26" t="s">
        <v>45</v>
      </c>
      <c r="H289" s="697" t="s">
        <v>39</v>
      </c>
      <c r="I289" s="698" t="s">
        <v>406</v>
      </c>
      <c r="J289" s="10" t="s">
        <v>124</v>
      </c>
      <c r="K289" s="24">
        <v>7500</v>
      </c>
      <c r="L289" s="24">
        <f>M289-K289</f>
        <v>0</v>
      </c>
      <c r="M289" s="24">
        <v>7500</v>
      </c>
    </row>
    <row r="290" spans="1:13" s="126" customFormat="1" ht="36" x14ac:dyDescent="0.35">
      <c r="A290" s="11"/>
      <c r="B290" s="601" t="s">
        <v>681</v>
      </c>
      <c r="C290" s="23" t="s">
        <v>302</v>
      </c>
      <c r="D290" s="10" t="s">
        <v>88</v>
      </c>
      <c r="E290" s="10" t="s">
        <v>63</v>
      </c>
      <c r="F290" s="25"/>
      <c r="G290" s="26"/>
      <c r="H290" s="697"/>
      <c r="I290" s="698"/>
      <c r="J290" s="10"/>
      <c r="K290" s="24"/>
      <c r="L290" s="24">
        <f t="shared" ref="L290:M294" si="42">L291</f>
        <v>7500</v>
      </c>
      <c r="M290" s="24">
        <f t="shared" si="42"/>
        <v>7500</v>
      </c>
    </row>
    <row r="291" spans="1:13" s="126" customFormat="1" ht="54" x14ac:dyDescent="0.35">
      <c r="A291" s="11"/>
      <c r="B291" s="601" t="s">
        <v>223</v>
      </c>
      <c r="C291" s="23" t="s">
        <v>302</v>
      </c>
      <c r="D291" s="10" t="s">
        <v>88</v>
      </c>
      <c r="E291" s="10" t="s">
        <v>63</v>
      </c>
      <c r="F291" s="25" t="s">
        <v>224</v>
      </c>
      <c r="G291" s="26" t="s">
        <v>42</v>
      </c>
      <c r="H291" s="697" t="s">
        <v>43</v>
      </c>
      <c r="I291" s="698" t="s">
        <v>44</v>
      </c>
      <c r="J291" s="10"/>
      <c r="K291" s="24"/>
      <c r="L291" s="24">
        <f t="shared" si="42"/>
        <v>7500</v>
      </c>
      <c r="M291" s="24">
        <f t="shared" si="42"/>
        <v>7500</v>
      </c>
    </row>
    <row r="292" spans="1:13" s="126" customFormat="1" ht="36" x14ac:dyDescent="0.35">
      <c r="A292" s="11"/>
      <c r="B292" s="601" t="s">
        <v>339</v>
      </c>
      <c r="C292" s="23" t="s">
        <v>302</v>
      </c>
      <c r="D292" s="10" t="s">
        <v>88</v>
      </c>
      <c r="E292" s="10" t="s">
        <v>63</v>
      </c>
      <c r="F292" s="25" t="s">
        <v>224</v>
      </c>
      <c r="G292" s="26" t="s">
        <v>45</v>
      </c>
      <c r="H292" s="697" t="s">
        <v>43</v>
      </c>
      <c r="I292" s="698" t="s">
        <v>44</v>
      </c>
      <c r="J292" s="10"/>
      <c r="K292" s="24"/>
      <c r="L292" s="24">
        <f t="shared" si="42"/>
        <v>7500</v>
      </c>
      <c r="M292" s="24">
        <f t="shared" si="42"/>
        <v>7500</v>
      </c>
    </row>
    <row r="293" spans="1:13" s="126" customFormat="1" ht="36" x14ac:dyDescent="0.35">
      <c r="A293" s="11"/>
      <c r="B293" s="601" t="s">
        <v>304</v>
      </c>
      <c r="C293" s="23" t="s">
        <v>302</v>
      </c>
      <c r="D293" s="10" t="s">
        <v>88</v>
      </c>
      <c r="E293" s="10" t="s">
        <v>63</v>
      </c>
      <c r="F293" s="25" t="s">
        <v>224</v>
      </c>
      <c r="G293" s="26" t="s">
        <v>45</v>
      </c>
      <c r="H293" s="697" t="s">
        <v>39</v>
      </c>
      <c r="I293" s="698" t="s">
        <v>44</v>
      </c>
      <c r="J293" s="10"/>
      <c r="K293" s="24"/>
      <c r="L293" s="24">
        <f t="shared" si="42"/>
        <v>7500</v>
      </c>
      <c r="M293" s="24">
        <f t="shared" si="42"/>
        <v>7500</v>
      </c>
    </row>
    <row r="294" spans="1:13" s="126" customFormat="1" ht="54" x14ac:dyDescent="0.35">
      <c r="A294" s="11"/>
      <c r="B294" s="601" t="s">
        <v>750</v>
      </c>
      <c r="C294" s="23" t="s">
        <v>302</v>
      </c>
      <c r="D294" s="10" t="s">
        <v>88</v>
      </c>
      <c r="E294" s="10" t="s">
        <v>63</v>
      </c>
      <c r="F294" s="25" t="s">
        <v>224</v>
      </c>
      <c r="G294" s="26" t="s">
        <v>45</v>
      </c>
      <c r="H294" s="697" t="s">
        <v>39</v>
      </c>
      <c r="I294" s="698" t="s">
        <v>751</v>
      </c>
      <c r="J294" s="10"/>
      <c r="K294" s="24"/>
      <c r="L294" s="24">
        <f t="shared" si="42"/>
        <v>7500</v>
      </c>
      <c r="M294" s="24">
        <f t="shared" si="42"/>
        <v>7500</v>
      </c>
    </row>
    <row r="295" spans="1:13" s="126" customFormat="1" ht="18" x14ac:dyDescent="0.35">
      <c r="A295" s="11"/>
      <c r="B295" s="601" t="s">
        <v>123</v>
      </c>
      <c r="C295" s="23" t="s">
        <v>302</v>
      </c>
      <c r="D295" s="10" t="s">
        <v>88</v>
      </c>
      <c r="E295" s="10" t="s">
        <v>63</v>
      </c>
      <c r="F295" s="25" t="s">
        <v>224</v>
      </c>
      <c r="G295" s="26" t="s">
        <v>45</v>
      </c>
      <c r="H295" s="697" t="s">
        <v>39</v>
      </c>
      <c r="I295" s="698" t="s">
        <v>751</v>
      </c>
      <c r="J295" s="10" t="s">
        <v>124</v>
      </c>
      <c r="K295" s="24"/>
      <c r="L295" s="24">
        <f>M295-K295</f>
        <v>7500</v>
      </c>
      <c r="M295" s="24">
        <v>7500</v>
      </c>
    </row>
    <row r="296" spans="1:13" s="126" customFormat="1" ht="18" customHeight="1" x14ac:dyDescent="0.35">
      <c r="A296" s="11"/>
      <c r="B296" s="518"/>
      <c r="C296" s="23"/>
      <c r="D296" s="10"/>
      <c r="E296" s="10"/>
      <c r="F296" s="25"/>
      <c r="G296" s="26"/>
      <c r="H296" s="697"/>
      <c r="I296" s="698"/>
      <c r="J296" s="10"/>
      <c r="K296" s="24"/>
      <c r="L296" s="24"/>
      <c r="M296" s="24"/>
    </row>
    <row r="297" spans="1:13" s="127" customFormat="1" ht="52.2" customHeight="1" x14ac:dyDescent="0.3">
      <c r="A297" s="120">
        <v>3</v>
      </c>
      <c r="B297" s="565" t="s">
        <v>35</v>
      </c>
      <c r="C297" s="18" t="s">
        <v>128</v>
      </c>
      <c r="D297" s="19"/>
      <c r="E297" s="19"/>
      <c r="F297" s="20"/>
      <c r="G297" s="21"/>
      <c r="H297" s="21"/>
      <c r="I297" s="22"/>
      <c r="J297" s="19"/>
      <c r="K297" s="32">
        <f>K298+K308</f>
        <v>6776.7</v>
      </c>
      <c r="L297" s="32">
        <f>L298+L308</f>
        <v>25.399999999999977</v>
      </c>
      <c r="M297" s="32">
        <f>M298+M308</f>
        <v>6802.0999999999995</v>
      </c>
    </row>
    <row r="298" spans="1:13" s="127" customFormat="1" ht="18" customHeight="1" x14ac:dyDescent="0.35">
      <c r="A298" s="11"/>
      <c r="B298" s="518" t="s">
        <v>36</v>
      </c>
      <c r="C298" s="23" t="s">
        <v>128</v>
      </c>
      <c r="D298" s="10" t="s">
        <v>37</v>
      </c>
      <c r="E298" s="10"/>
      <c r="F298" s="696"/>
      <c r="G298" s="697"/>
      <c r="H298" s="697"/>
      <c r="I298" s="698"/>
      <c r="J298" s="10"/>
      <c r="K298" s="24">
        <f t="shared" ref="K298:M300" si="43">K299</f>
        <v>6728.8</v>
      </c>
      <c r="L298" s="24">
        <f t="shared" si="43"/>
        <v>25.399999999999977</v>
      </c>
      <c r="M298" s="24">
        <f t="shared" si="43"/>
        <v>6754.2</v>
      </c>
    </row>
    <row r="299" spans="1:13" s="127" customFormat="1" ht="72" customHeight="1" x14ac:dyDescent="0.35">
      <c r="A299" s="11"/>
      <c r="B299" s="518" t="s">
        <v>129</v>
      </c>
      <c r="C299" s="23" t="s">
        <v>128</v>
      </c>
      <c r="D299" s="10" t="s">
        <v>37</v>
      </c>
      <c r="E299" s="10" t="s">
        <v>81</v>
      </c>
      <c r="F299" s="696"/>
      <c r="G299" s="697"/>
      <c r="H299" s="697"/>
      <c r="I299" s="698"/>
      <c r="J299" s="10"/>
      <c r="K299" s="24">
        <f t="shared" si="43"/>
        <v>6728.8</v>
      </c>
      <c r="L299" s="24">
        <f t="shared" si="43"/>
        <v>25.399999999999977</v>
      </c>
      <c r="M299" s="24">
        <f t="shared" si="43"/>
        <v>6754.2</v>
      </c>
    </row>
    <row r="300" spans="1:13" s="127" customFormat="1" ht="36" customHeight="1" x14ac:dyDescent="0.35">
      <c r="A300" s="11"/>
      <c r="B300" s="551" t="s">
        <v>130</v>
      </c>
      <c r="C300" s="23" t="s">
        <v>128</v>
      </c>
      <c r="D300" s="10" t="s">
        <v>37</v>
      </c>
      <c r="E300" s="10" t="s">
        <v>81</v>
      </c>
      <c r="F300" s="696" t="s">
        <v>131</v>
      </c>
      <c r="G300" s="697" t="s">
        <v>42</v>
      </c>
      <c r="H300" s="697" t="s">
        <v>43</v>
      </c>
      <c r="I300" s="698" t="s">
        <v>44</v>
      </c>
      <c r="J300" s="10"/>
      <c r="K300" s="24">
        <f t="shared" si="43"/>
        <v>6728.8</v>
      </c>
      <c r="L300" s="24">
        <f t="shared" si="43"/>
        <v>25.399999999999977</v>
      </c>
      <c r="M300" s="24">
        <f t="shared" si="43"/>
        <v>6754.2</v>
      </c>
    </row>
    <row r="301" spans="1:13" s="127" customFormat="1" ht="36" customHeight="1" x14ac:dyDescent="0.35">
      <c r="A301" s="11"/>
      <c r="B301" s="551" t="s">
        <v>132</v>
      </c>
      <c r="C301" s="23" t="s">
        <v>128</v>
      </c>
      <c r="D301" s="10" t="s">
        <v>37</v>
      </c>
      <c r="E301" s="10" t="s">
        <v>81</v>
      </c>
      <c r="F301" s="696" t="s">
        <v>131</v>
      </c>
      <c r="G301" s="697" t="s">
        <v>45</v>
      </c>
      <c r="H301" s="697" t="s">
        <v>43</v>
      </c>
      <c r="I301" s="698" t="s">
        <v>44</v>
      </c>
      <c r="J301" s="10"/>
      <c r="K301" s="24">
        <f>K302+K306</f>
        <v>6728.8</v>
      </c>
      <c r="L301" s="24">
        <f>L302+L306</f>
        <v>25.399999999999977</v>
      </c>
      <c r="M301" s="24">
        <f>M302+M306</f>
        <v>6754.2</v>
      </c>
    </row>
    <row r="302" spans="1:13" s="127" customFormat="1" ht="36" customHeight="1" x14ac:dyDescent="0.35">
      <c r="A302" s="11"/>
      <c r="B302" s="518" t="s">
        <v>47</v>
      </c>
      <c r="C302" s="23" t="s">
        <v>128</v>
      </c>
      <c r="D302" s="10" t="s">
        <v>37</v>
      </c>
      <c r="E302" s="10" t="s">
        <v>81</v>
      </c>
      <c r="F302" s="696" t="s">
        <v>131</v>
      </c>
      <c r="G302" s="697" t="s">
        <v>45</v>
      </c>
      <c r="H302" s="697" t="s">
        <v>43</v>
      </c>
      <c r="I302" s="698" t="s">
        <v>48</v>
      </c>
      <c r="J302" s="10"/>
      <c r="K302" s="24">
        <f>K303+K304+K305</f>
        <v>5606.6</v>
      </c>
      <c r="L302" s="24">
        <f>L303+L304+L305</f>
        <v>25.399999999999977</v>
      </c>
      <c r="M302" s="24">
        <f>M303+M304+M305</f>
        <v>5632</v>
      </c>
    </row>
    <row r="303" spans="1:13" s="127" customFormat="1" ht="108" customHeight="1" x14ac:dyDescent="0.35">
      <c r="A303" s="11"/>
      <c r="B303" s="551" t="s">
        <v>49</v>
      </c>
      <c r="C303" s="23" t="s">
        <v>128</v>
      </c>
      <c r="D303" s="10" t="s">
        <v>37</v>
      </c>
      <c r="E303" s="10" t="s">
        <v>81</v>
      </c>
      <c r="F303" s="696" t="s">
        <v>131</v>
      </c>
      <c r="G303" s="697" t="s">
        <v>45</v>
      </c>
      <c r="H303" s="697" t="s">
        <v>43</v>
      </c>
      <c r="I303" s="698" t="s">
        <v>48</v>
      </c>
      <c r="J303" s="10" t="s">
        <v>50</v>
      </c>
      <c r="K303" s="24">
        <f>5210.1+20.5+36.4</f>
        <v>5267</v>
      </c>
      <c r="L303" s="24">
        <f>M303-K303</f>
        <v>0</v>
      </c>
      <c r="M303" s="24">
        <f>5210.1+20.5+36.4</f>
        <v>5267</v>
      </c>
    </row>
    <row r="304" spans="1:13" s="127" customFormat="1" ht="54" customHeight="1" x14ac:dyDescent="0.35">
      <c r="A304" s="11"/>
      <c r="B304" s="518" t="s">
        <v>55</v>
      </c>
      <c r="C304" s="23" t="s">
        <v>128</v>
      </c>
      <c r="D304" s="10" t="s">
        <v>37</v>
      </c>
      <c r="E304" s="10" t="s">
        <v>81</v>
      </c>
      <c r="F304" s="696" t="s">
        <v>131</v>
      </c>
      <c r="G304" s="697" t="s">
        <v>45</v>
      </c>
      <c r="H304" s="697" t="s">
        <v>43</v>
      </c>
      <c r="I304" s="698" t="s">
        <v>48</v>
      </c>
      <c r="J304" s="10" t="s">
        <v>56</v>
      </c>
      <c r="K304" s="24">
        <f>379.9+6.6-29.5-36.4</f>
        <v>320.60000000000002</v>
      </c>
      <c r="L304" s="24">
        <f>M304-K304</f>
        <v>25.399999999999977</v>
      </c>
      <c r="M304" s="24">
        <f>379.9+6.6-29.5-36.4+25.4</f>
        <v>346</v>
      </c>
    </row>
    <row r="305" spans="1:13" s="127" customFormat="1" ht="18" customHeight="1" x14ac:dyDescent="0.35">
      <c r="A305" s="11"/>
      <c r="B305" s="518" t="s">
        <v>57</v>
      </c>
      <c r="C305" s="23" t="s">
        <v>128</v>
      </c>
      <c r="D305" s="10" t="s">
        <v>37</v>
      </c>
      <c r="E305" s="10" t="s">
        <v>81</v>
      </c>
      <c r="F305" s="696" t="s">
        <v>131</v>
      </c>
      <c r="G305" s="697" t="s">
        <v>45</v>
      </c>
      <c r="H305" s="697" t="s">
        <v>43</v>
      </c>
      <c r="I305" s="698" t="s">
        <v>48</v>
      </c>
      <c r="J305" s="10" t="s">
        <v>58</v>
      </c>
      <c r="K305" s="24">
        <f>10+9</f>
        <v>19</v>
      </c>
      <c r="L305" s="24">
        <f>M305-K305</f>
        <v>0</v>
      </c>
      <c r="M305" s="24">
        <f>10+9</f>
        <v>19</v>
      </c>
    </row>
    <row r="306" spans="1:13" s="127" customFormat="1" ht="36" customHeight="1" x14ac:dyDescent="0.35">
      <c r="A306" s="11"/>
      <c r="B306" s="518" t="s">
        <v>236</v>
      </c>
      <c r="C306" s="23" t="s">
        <v>128</v>
      </c>
      <c r="D306" s="10" t="s">
        <v>37</v>
      </c>
      <c r="E306" s="10" t="s">
        <v>81</v>
      </c>
      <c r="F306" s="696" t="s">
        <v>131</v>
      </c>
      <c r="G306" s="697" t="s">
        <v>45</v>
      </c>
      <c r="H306" s="697" t="s">
        <v>43</v>
      </c>
      <c r="I306" s="698" t="s">
        <v>133</v>
      </c>
      <c r="J306" s="10"/>
      <c r="K306" s="24">
        <f>K307</f>
        <v>1122.2</v>
      </c>
      <c r="L306" s="24">
        <f>L307</f>
        <v>0</v>
      </c>
      <c r="M306" s="24">
        <f>M307</f>
        <v>1122.2</v>
      </c>
    </row>
    <row r="307" spans="1:13" s="127" customFormat="1" ht="108" customHeight="1" x14ac:dyDescent="0.35">
      <c r="A307" s="11"/>
      <c r="B307" s="518" t="s">
        <v>49</v>
      </c>
      <c r="C307" s="23" t="s">
        <v>128</v>
      </c>
      <c r="D307" s="10" t="s">
        <v>37</v>
      </c>
      <c r="E307" s="10" t="s">
        <v>81</v>
      </c>
      <c r="F307" s="696" t="s">
        <v>131</v>
      </c>
      <c r="G307" s="697" t="s">
        <v>45</v>
      </c>
      <c r="H307" s="697" t="s">
        <v>43</v>
      </c>
      <c r="I307" s="698" t="s">
        <v>133</v>
      </c>
      <c r="J307" s="10" t="s">
        <v>50</v>
      </c>
      <c r="K307" s="24">
        <v>1122.2</v>
      </c>
      <c r="L307" s="24">
        <f>M307-K307</f>
        <v>0</v>
      </c>
      <c r="M307" s="24">
        <v>1122.2</v>
      </c>
    </row>
    <row r="308" spans="1:13" s="127" customFormat="1" ht="18" customHeight="1" x14ac:dyDescent="0.35">
      <c r="A308" s="11"/>
      <c r="B308" s="518" t="s">
        <v>179</v>
      </c>
      <c r="C308" s="23" t="s">
        <v>128</v>
      </c>
      <c r="D308" s="10" t="s">
        <v>224</v>
      </c>
      <c r="E308" s="10"/>
      <c r="F308" s="696"/>
      <c r="G308" s="697"/>
      <c r="H308" s="697"/>
      <c r="I308" s="698"/>
      <c r="J308" s="10"/>
      <c r="K308" s="24">
        <f t="shared" ref="K308:M312" si="44">K309</f>
        <v>47.9</v>
      </c>
      <c r="L308" s="24">
        <f t="shared" si="44"/>
        <v>0</v>
      </c>
      <c r="M308" s="24">
        <f t="shared" si="44"/>
        <v>47.9</v>
      </c>
    </row>
    <row r="309" spans="1:13" s="127" customFormat="1" ht="36" customHeight="1" x14ac:dyDescent="0.35">
      <c r="A309" s="11"/>
      <c r="B309" s="515" t="s">
        <v>532</v>
      </c>
      <c r="C309" s="23" t="s">
        <v>128</v>
      </c>
      <c r="D309" s="10" t="s">
        <v>224</v>
      </c>
      <c r="E309" s="10" t="s">
        <v>65</v>
      </c>
      <c r="F309" s="696"/>
      <c r="G309" s="697"/>
      <c r="H309" s="697"/>
      <c r="I309" s="698"/>
      <c r="J309" s="10"/>
      <c r="K309" s="24">
        <f t="shared" si="44"/>
        <v>47.9</v>
      </c>
      <c r="L309" s="24">
        <f t="shared" si="44"/>
        <v>0</v>
      </c>
      <c r="M309" s="24">
        <f t="shared" si="44"/>
        <v>47.9</v>
      </c>
    </row>
    <row r="310" spans="1:13" s="127" customFormat="1" ht="36" customHeight="1" x14ac:dyDescent="0.35">
      <c r="A310" s="11"/>
      <c r="B310" s="551" t="s">
        <v>130</v>
      </c>
      <c r="C310" s="23" t="s">
        <v>128</v>
      </c>
      <c r="D310" s="10" t="s">
        <v>224</v>
      </c>
      <c r="E310" s="10" t="s">
        <v>65</v>
      </c>
      <c r="F310" s="696" t="s">
        <v>131</v>
      </c>
      <c r="G310" s="697" t="s">
        <v>42</v>
      </c>
      <c r="H310" s="697" t="s">
        <v>43</v>
      </c>
      <c r="I310" s="93" t="s">
        <v>44</v>
      </c>
      <c r="J310" s="10"/>
      <c r="K310" s="24">
        <f t="shared" si="44"/>
        <v>47.9</v>
      </c>
      <c r="L310" s="24">
        <f t="shared" si="44"/>
        <v>0</v>
      </c>
      <c r="M310" s="24">
        <f t="shared" si="44"/>
        <v>47.9</v>
      </c>
    </row>
    <row r="311" spans="1:13" s="127" customFormat="1" ht="36" customHeight="1" x14ac:dyDescent="0.35">
      <c r="A311" s="11"/>
      <c r="B311" s="551" t="s">
        <v>132</v>
      </c>
      <c r="C311" s="23" t="s">
        <v>128</v>
      </c>
      <c r="D311" s="10" t="s">
        <v>224</v>
      </c>
      <c r="E311" s="10" t="s">
        <v>65</v>
      </c>
      <c r="F311" s="696" t="s">
        <v>131</v>
      </c>
      <c r="G311" s="697" t="s">
        <v>45</v>
      </c>
      <c r="H311" s="697" t="s">
        <v>43</v>
      </c>
      <c r="I311" s="93" t="s">
        <v>44</v>
      </c>
      <c r="J311" s="10"/>
      <c r="K311" s="24">
        <f t="shared" si="44"/>
        <v>47.9</v>
      </c>
      <c r="L311" s="24">
        <f t="shared" si="44"/>
        <v>0</v>
      </c>
      <c r="M311" s="24">
        <f t="shared" si="44"/>
        <v>47.9</v>
      </c>
    </row>
    <row r="312" spans="1:13" s="127" customFormat="1" ht="36" customHeight="1" x14ac:dyDescent="0.35">
      <c r="A312" s="11"/>
      <c r="B312" s="515" t="s">
        <v>534</v>
      </c>
      <c r="C312" s="23" t="s">
        <v>128</v>
      </c>
      <c r="D312" s="10" t="s">
        <v>224</v>
      </c>
      <c r="E312" s="10" t="s">
        <v>65</v>
      </c>
      <c r="F312" s="696" t="s">
        <v>131</v>
      </c>
      <c r="G312" s="697" t="s">
        <v>45</v>
      </c>
      <c r="H312" s="697" t="s">
        <v>43</v>
      </c>
      <c r="I312" s="697" t="s">
        <v>533</v>
      </c>
      <c r="J312" s="10"/>
      <c r="K312" s="24">
        <f t="shared" si="44"/>
        <v>47.9</v>
      </c>
      <c r="L312" s="24">
        <f t="shared" si="44"/>
        <v>0</v>
      </c>
      <c r="M312" s="24">
        <f t="shared" si="44"/>
        <v>47.9</v>
      </c>
    </row>
    <row r="313" spans="1:13" s="127" customFormat="1" ht="54" customHeight="1" x14ac:dyDescent="0.35">
      <c r="A313" s="11"/>
      <c r="B313" s="515" t="s">
        <v>55</v>
      </c>
      <c r="C313" s="23" t="s">
        <v>128</v>
      </c>
      <c r="D313" s="10" t="s">
        <v>224</v>
      </c>
      <c r="E313" s="10" t="s">
        <v>65</v>
      </c>
      <c r="F313" s="696" t="s">
        <v>131</v>
      </c>
      <c r="G313" s="697" t="s">
        <v>45</v>
      </c>
      <c r="H313" s="697" t="s">
        <v>43</v>
      </c>
      <c r="I313" s="697" t="s">
        <v>533</v>
      </c>
      <c r="J313" s="504" t="s">
        <v>56</v>
      </c>
      <c r="K313" s="24">
        <v>47.9</v>
      </c>
      <c r="L313" s="24">
        <f>M313-K313</f>
        <v>0</v>
      </c>
      <c r="M313" s="24">
        <v>47.9</v>
      </c>
    </row>
    <row r="314" spans="1:13" s="141" customFormat="1" ht="18" customHeight="1" x14ac:dyDescent="0.35">
      <c r="A314" s="223"/>
      <c r="B314" s="571"/>
      <c r="C314" s="500"/>
      <c r="D314" s="222"/>
      <c r="E314" s="222"/>
      <c r="F314" s="284"/>
      <c r="G314" s="284"/>
      <c r="H314" s="284"/>
      <c r="I314" s="284"/>
      <c r="J314" s="503"/>
      <c r="K314" s="268"/>
      <c r="L314" s="268"/>
      <c r="M314" s="268"/>
    </row>
    <row r="315" spans="1:13" s="135" customFormat="1" ht="52.2" customHeight="1" x14ac:dyDescent="0.3">
      <c r="A315" s="498">
        <v>4</v>
      </c>
      <c r="B315" s="572" t="s">
        <v>6</v>
      </c>
      <c r="C315" s="499" t="s">
        <v>414</v>
      </c>
      <c r="D315" s="501"/>
      <c r="E315" s="501"/>
      <c r="F315" s="131"/>
      <c r="G315" s="132"/>
      <c r="H315" s="132"/>
      <c r="I315" s="133"/>
      <c r="J315" s="501"/>
      <c r="K315" s="502">
        <f>K316+K379+K386+K368+K409+K416</f>
        <v>442262.87600000005</v>
      </c>
      <c r="L315" s="502">
        <f>L316+L379+L386+L368+L409+L416</f>
        <v>-562.50000000000023</v>
      </c>
      <c r="M315" s="502">
        <f>M316+M379+M386+M368+M409+M416</f>
        <v>441700.37600000005</v>
      </c>
    </row>
    <row r="316" spans="1:13" s="141" customFormat="1" ht="18" customHeight="1" x14ac:dyDescent="0.35">
      <c r="A316" s="136"/>
      <c r="B316" s="562" t="s">
        <v>36</v>
      </c>
      <c r="C316" s="137" t="s">
        <v>414</v>
      </c>
      <c r="D316" s="138" t="s">
        <v>37</v>
      </c>
      <c r="E316" s="94"/>
      <c r="F316" s="139"/>
      <c r="G316" s="92"/>
      <c r="H316" s="92"/>
      <c r="I316" s="93"/>
      <c r="J316" s="94"/>
      <c r="K316" s="140">
        <f>K317</f>
        <v>62953.995999999999</v>
      </c>
      <c r="L316" s="140">
        <f>L317</f>
        <v>-556.47596999999973</v>
      </c>
      <c r="M316" s="140">
        <f>M317</f>
        <v>62397.520030000007</v>
      </c>
    </row>
    <row r="317" spans="1:13" s="135" customFormat="1" ht="18" customHeight="1" x14ac:dyDescent="0.35">
      <c r="A317" s="136"/>
      <c r="B317" s="562" t="s">
        <v>70</v>
      </c>
      <c r="C317" s="137" t="s">
        <v>414</v>
      </c>
      <c r="D317" s="138" t="s">
        <v>37</v>
      </c>
      <c r="E317" s="138" t="s">
        <v>71</v>
      </c>
      <c r="F317" s="139"/>
      <c r="G317" s="92"/>
      <c r="H317" s="92"/>
      <c r="I317" s="93"/>
      <c r="J317" s="94"/>
      <c r="K317" s="140">
        <f>K318+K357+K352+K363</f>
        <v>62953.995999999999</v>
      </c>
      <c r="L317" s="140">
        <f>L318+L357+L352+L363</f>
        <v>-556.47596999999973</v>
      </c>
      <c r="M317" s="140">
        <f>M318+M357+M352+M363</f>
        <v>62397.520030000007</v>
      </c>
    </row>
    <row r="318" spans="1:13" s="141" customFormat="1" ht="54" customHeight="1" x14ac:dyDescent="0.35">
      <c r="A318" s="136"/>
      <c r="B318" s="562" t="s">
        <v>225</v>
      </c>
      <c r="C318" s="137" t="s">
        <v>414</v>
      </c>
      <c r="D318" s="138" t="s">
        <v>37</v>
      </c>
      <c r="E318" s="138" t="s">
        <v>71</v>
      </c>
      <c r="F318" s="102" t="s">
        <v>226</v>
      </c>
      <c r="G318" s="92" t="s">
        <v>42</v>
      </c>
      <c r="H318" s="92" t="s">
        <v>43</v>
      </c>
      <c r="I318" s="93" t="s">
        <v>44</v>
      </c>
      <c r="J318" s="94"/>
      <c r="K318" s="140">
        <f>K319+K326+K346</f>
        <v>56037.023999999998</v>
      </c>
      <c r="L318" s="140">
        <f>L319+L326+L346</f>
        <v>-562.49999999999977</v>
      </c>
      <c r="M318" s="140">
        <f>M319+M326+M346</f>
        <v>55474.524000000005</v>
      </c>
    </row>
    <row r="319" spans="1:13" s="141" customFormat="1" ht="36" customHeight="1" x14ac:dyDescent="0.35">
      <c r="A319" s="136"/>
      <c r="B319" s="562" t="s">
        <v>227</v>
      </c>
      <c r="C319" s="137" t="s">
        <v>414</v>
      </c>
      <c r="D319" s="138" t="s">
        <v>37</v>
      </c>
      <c r="E319" s="138" t="s">
        <v>71</v>
      </c>
      <c r="F319" s="142" t="s">
        <v>226</v>
      </c>
      <c r="G319" s="143" t="s">
        <v>45</v>
      </c>
      <c r="H319" s="143" t="s">
        <v>43</v>
      </c>
      <c r="I319" s="144" t="s">
        <v>44</v>
      </c>
      <c r="J319" s="94"/>
      <c r="K319" s="140">
        <f>K320+K323</f>
        <v>3281.6979999999999</v>
      </c>
      <c r="L319" s="140">
        <f>L320+L323</f>
        <v>327.90000000000009</v>
      </c>
      <c r="M319" s="140">
        <f>M320+M323</f>
        <v>3609.598</v>
      </c>
    </row>
    <row r="320" spans="1:13" s="141" customFormat="1" ht="90" customHeight="1" x14ac:dyDescent="0.35">
      <c r="A320" s="136"/>
      <c r="B320" s="562" t="s">
        <v>297</v>
      </c>
      <c r="C320" s="137" t="s">
        <v>414</v>
      </c>
      <c r="D320" s="138" t="s">
        <v>37</v>
      </c>
      <c r="E320" s="138" t="s">
        <v>71</v>
      </c>
      <c r="F320" s="91" t="s">
        <v>226</v>
      </c>
      <c r="G320" s="92" t="s">
        <v>45</v>
      </c>
      <c r="H320" s="92" t="s">
        <v>37</v>
      </c>
      <c r="I320" s="93" t="s">
        <v>44</v>
      </c>
      <c r="J320" s="94"/>
      <c r="K320" s="140">
        <f t="shared" ref="K320:M321" si="45">K321</f>
        <v>798</v>
      </c>
      <c r="L320" s="140">
        <f t="shared" si="45"/>
        <v>0</v>
      </c>
      <c r="M320" s="140">
        <f t="shared" si="45"/>
        <v>798</v>
      </c>
    </row>
    <row r="321" spans="1:14" s="141" customFormat="1" ht="54" customHeight="1" x14ac:dyDescent="0.35">
      <c r="A321" s="136"/>
      <c r="B321" s="562" t="s">
        <v>228</v>
      </c>
      <c r="C321" s="137" t="s">
        <v>414</v>
      </c>
      <c r="D321" s="138" t="s">
        <v>37</v>
      </c>
      <c r="E321" s="138" t="s">
        <v>71</v>
      </c>
      <c r="F321" s="91" t="s">
        <v>226</v>
      </c>
      <c r="G321" s="92" t="s">
        <v>45</v>
      </c>
      <c r="H321" s="92" t="s">
        <v>37</v>
      </c>
      <c r="I321" s="93" t="s">
        <v>298</v>
      </c>
      <c r="J321" s="94"/>
      <c r="K321" s="140">
        <f t="shared" si="45"/>
        <v>798</v>
      </c>
      <c r="L321" s="140">
        <f t="shared" si="45"/>
        <v>0</v>
      </c>
      <c r="M321" s="140">
        <f t="shared" si="45"/>
        <v>798</v>
      </c>
    </row>
    <row r="322" spans="1:14" s="135" customFormat="1" ht="54" customHeight="1" x14ac:dyDescent="0.35">
      <c r="A322" s="136"/>
      <c r="B322" s="573" t="s">
        <v>55</v>
      </c>
      <c r="C322" s="137" t="s">
        <v>414</v>
      </c>
      <c r="D322" s="138" t="s">
        <v>37</v>
      </c>
      <c r="E322" s="138" t="s">
        <v>71</v>
      </c>
      <c r="F322" s="91" t="s">
        <v>226</v>
      </c>
      <c r="G322" s="92" t="s">
        <v>45</v>
      </c>
      <c r="H322" s="92" t="s">
        <v>37</v>
      </c>
      <c r="I322" s="93" t="s">
        <v>298</v>
      </c>
      <c r="J322" s="94" t="s">
        <v>56</v>
      </c>
      <c r="K322" s="140">
        <f>798-33+33</f>
        <v>798</v>
      </c>
      <c r="L322" s="24">
        <f>M322-K322</f>
        <v>0</v>
      </c>
      <c r="M322" s="140">
        <f>798-33+33</f>
        <v>798</v>
      </c>
    </row>
    <row r="323" spans="1:14" s="135" customFormat="1" ht="36" customHeight="1" x14ac:dyDescent="0.35">
      <c r="A323" s="136"/>
      <c r="B323" s="573" t="s">
        <v>338</v>
      </c>
      <c r="C323" s="137" t="s">
        <v>414</v>
      </c>
      <c r="D323" s="138" t="s">
        <v>37</v>
      </c>
      <c r="E323" s="138" t="s">
        <v>71</v>
      </c>
      <c r="F323" s="91" t="s">
        <v>226</v>
      </c>
      <c r="G323" s="92" t="s">
        <v>45</v>
      </c>
      <c r="H323" s="92" t="s">
        <v>39</v>
      </c>
      <c r="I323" s="93" t="s">
        <v>44</v>
      </c>
      <c r="J323" s="94"/>
      <c r="K323" s="140">
        <f>K324</f>
        <v>2483.6979999999999</v>
      </c>
      <c r="L323" s="140">
        <f>L324</f>
        <v>327.90000000000009</v>
      </c>
      <c r="M323" s="140">
        <f>M324</f>
        <v>2811.598</v>
      </c>
    </row>
    <row r="324" spans="1:14" s="135" customFormat="1" ht="36" customHeight="1" x14ac:dyDescent="0.35">
      <c r="A324" s="136"/>
      <c r="B324" s="573" t="s">
        <v>337</v>
      </c>
      <c r="C324" s="137" t="s">
        <v>414</v>
      </c>
      <c r="D324" s="138" t="s">
        <v>37</v>
      </c>
      <c r="E324" s="138" t="s">
        <v>71</v>
      </c>
      <c r="F324" s="91" t="s">
        <v>226</v>
      </c>
      <c r="G324" s="92" t="s">
        <v>45</v>
      </c>
      <c r="H324" s="92" t="s">
        <v>39</v>
      </c>
      <c r="I324" s="93" t="s">
        <v>336</v>
      </c>
      <c r="J324" s="94"/>
      <c r="K324" s="140">
        <f>SUM(K325:K325)</f>
        <v>2483.6979999999999</v>
      </c>
      <c r="L324" s="140">
        <f>SUM(L325:L325)</f>
        <v>327.90000000000009</v>
      </c>
      <c r="M324" s="140">
        <f>SUM(M325:M325)</f>
        <v>2811.598</v>
      </c>
    </row>
    <row r="325" spans="1:14" s="135" customFormat="1" ht="54" customHeight="1" x14ac:dyDescent="0.35">
      <c r="A325" s="136"/>
      <c r="B325" s="573" t="s">
        <v>55</v>
      </c>
      <c r="C325" s="137" t="s">
        <v>414</v>
      </c>
      <c r="D325" s="138" t="s">
        <v>37</v>
      </c>
      <c r="E325" s="138" t="s">
        <v>71</v>
      </c>
      <c r="F325" s="91" t="s">
        <v>226</v>
      </c>
      <c r="G325" s="92" t="s">
        <v>45</v>
      </c>
      <c r="H325" s="92" t="s">
        <v>39</v>
      </c>
      <c r="I325" s="93" t="s">
        <v>336</v>
      </c>
      <c r="J325" s="94" t="s">
        <v>56</v>
      </c>
      <c r="K325" s="140">
        <f>815.1+58.6+1070.2+7.815+49.7+53.1+0.91+4.47+13.21+410.593</f>
        <v>2483.6979999999999</v>
      </c>
      <c r="L325" s="24">
        <f>M325-K325</f>
        <v>327.90000000000009</v>
      </c>
      <c r="M325" s="140">
        <f>815.1+58.6+1070.2+7.815+49.7+53.1+0.91+4.47+13.21+410.593+327.9</f>
        <v>2811.598</v>
      </c>
    </row>
    <row r="326" spans="1:14" s="135" customFormat="1" ht="36" customHeight="1" x14ac:dyDescent="0.35">
      <c r="A326" s="136"/>
      <c r="B326" s="562" t="s">
        <v>229</v>
      </c>
      <c r="C326" s="137" t="s">
        <v>414</v>
      </c>
      <c r="D326" s="138" t="s">
        <v>37</v>
      </c>
      <c r="E326" s="138" t="s">
        <v>71</v>
      </c>
      <c r="F326" s="102" t="s">
        <v>226</v>
      </c>
      <c r="G326" s="92" t="s">
        <v>89</v>
      </c>
      <c r="H326" s="92" t="s">
        <v>43</v>
      </c>
      <c r="I326" s="93" t="s">
        <v>44</v>
      </c>
      <c r="J326" s="94"/>
      <c r="K326" s="140">
        <f>K327+K340+K343</f>
        <v>27883.602999999999</v>
      </c>
      <c r="L326" s="140">
        <f>L327+L340+L343</f>
        <v>9.5999999999999943</v>
      </c>
      <c r="M326" s="140">
        <f>M327+M340+M343</f>
        <v>27893.203000000001</v>
      </c>
    </row>
    <row r="327" spans="1:14" s="141" customFormat="1" ht="78.75" customHeight="1" x14ac:dyDescent="0.35">
      <c r="A327" s="136"/>
      <c r="B327" s="562" t="s">
        <v>301</v>
      </c>
      <c r="C327" s="137" t="s">
        <v>414</v>
      </c>
      <c r="D327" s="138" t="s">
        <v>37</v>
      </c>
      <c r="E327" s="138" t="s">
        <v>71</v>
      </c>
      <c r="F327" s="102" t="s">
        <v>226</v>
      </c>
      <c r="G327" s="92" t="s">
        <v>89</v>
      </c>
      <c r="H327" s="92" t="s">
        <v>37</v>
      </c>
      <c r="I327" s="93" t="s">
        <v>44</v>
      </c>
      <c r="J327" s="94"/>
      <c r="K327" s="140">
        <f>K328+K332+K336+K338</f>
        <v>27000.400000000001</v>
      </c>
      <c r="L327" s="140">
        <f>L328+L332+L336+L338</f>
        <v>0</v>
      </c>
      <c r="M327" s="140">
        <f>M328+M332+M336+M338</f>
        <v>27000.400000000001</v>
      </c>
    </row>
    <row r="328" spans="1:14" s="135" customFormat="1" ht="36" customHeight="1" x14ac:dyDescent="0.35">
      <c r="A328" s="136"/>
      <c r="B328" s="562" t="s">
        <v>47</v>
      </c>
      <c r="C328" s="137" t="s">
        <v>414</v>
      </c>
      <c r="D328" s="138" t="s">
        <v>37</v>
      </c>
      <c r="E328" s="138" t="s">
        <v>71</v>
      </c>
      <c r="F328" s="145" t="s">
        <v>226</v>
      </c>
      <c r="G328" s="143" t="s">
        <v>89</v>
      </c>
      <c r="H328" s="143" t="s">
        <v>37</v>
      </c>
      <c r="I328" s="144" t="s">
        <v>48</v>
      </c>
      <c r="J328" s="94"/>
      <c r="K328" s="140">
        <f>K329+K330+K331</f>
        <v>15663.300000000001</v>
      </c>
      <c r="L328" s="140">
        <f>L329+L330+L331</f>
        <v>0</v>
      </c>
      <c r="M328" s="140">
        <f>M329+M330+M331</f>
        <v>15663.300000000001</v>
      </c>
    </row>
    <row r="329" spans="1:14" s="141" customFormat="1" ht="108" customHeight="1" x14ac:dyDescent="0.35">
      <c r="A329" s="136"/>
      <c r="B329" s="562" t="s">
        <v>49</v>
      </c>
      <c r="C329" s="137" t="s">
        <v>414</v>
      </c>
      <c r="D329" s="138" t="s">
        <v>37</v>
      </c>
      <c r="E329" s="138" t="s">
        <v>71</v>
      </c>
      <c r="F329" s="102" t="s">
        <v>226</v>
      </c>
      <c r="G329" s="92" t="s">
        <v>89</v>
      </c>
      <c r="H329" s="92" t="s">
        <v>37</v>
      </c>
      <c r="I329" s="93" t="s">
        <v>48</v>
      </c>
      <c r="J329" s="94" t="s">
        <v>50</v>
      </c>
      <c r="K329" s="140">
        <v>15310.1</v>
      </c>
      <c r="L329" s="24">
        <f>M329-K329</f>
        <v>0</v>
      </c>
      <c r="M329" s="140">
        <v>15310.1</v>
      </c>
    </row>
    <row r="330" spans="1:14" s="141" customFormat="1" ht="54" customHeight="1" x14ac:dyDescent="0.35">
      <c r="A330" s="136"/>
      <c r="B330" s="573" t="s">
        <v>55</v>
      </c>
      <c r="C330" s="137" t="s">
        <v>414</v>
      </c>
      <c r="D330" s="138" t="s">
        <v>37</v>
      </c>
      <c r="E330" s="138" t="s">
        <v>71</v>
      </c>
      <c r="F330" s="102" t="s">
        <v>226</v>
      </c>
      <c r="G330" s="92" t="s">
        <v>89</v>
      </c>
      <c r="H330" s="92" t="s">
        <v>37</v>
      </c>
      <c r="I330" s="93" t="s">
        <v>48</v>
      </c>
      <c r="J330" s="94" t="s">
        <v>56</v>
      </c>
      <c r="K330" s="140">
        <v>352</v>
      </c>
      <c r="L330" s="24">
        <f>M330-K330</f>
        <v>0</v>
      </c>
      <c r="M330" s="140">
        <v>352</v>
      </c>
      <c r="N330" s="169"/>
    </row>
    <row r="331" spans="1:14" s="141" customFormat="1" ht="18" customHeight="1" x14ac:dyDescent="0.35">
      <c r="A331" s="136"/>
      <c r="B331" s="562" t="s">
        <v>57</v>
      </c>
      <c r="C331" s="137" t="s">
        <v>414</v>
      </c>
      <c r="D331" s="138" t="s">
        <v>37</v>
      </c>
      <c r="E331" s="138" t="s">
        <v>71</v>
      </c>
      <c r="F331" s="102" t="s">
        <v>226</v>
      </c>
      <c r="G331" s="92" t="s">
        <v>89</v>
      </c>
      <c r="H331" s="92" t="s">
        <v>37</v>
      </c>
      <c r="I331" s="93" t="s">
        <v>48</v>
      </c>
      <c r="J331" s="94" t="s">
        <v>58</v>
      </c>
      <c r="K331" s="140">
        <v>1.2</v>
      </c>
      <c r="L331" s="24">
        <f>M331-K331</f>
        <v>0</v>
      </c>
      <c r="M331" s="140">
        <v>1.2</v>
      </c>
    </row>
    <row r="332" spans="1:14" s="141" customFormat="1" ht="36" customHeight="1" x14ac:dyDescent="0.35">
      <c r="A332" s="136"/>
      <c r="B332" s="551" t="s">
        <v>466</v>
      </c>
      <c r="C332" s="137" t="s">
        <v>414</v>
      </c>
      <c r="D332" s="138" t="s">
        <v>37</v>
      </c>
      <c r="E332" s="138" t="s">
        <v>71</v>
      </c>
      <c r="F332" s="102" t="s">
        <v>226</v>
      </c>
      <c r="G332" s="92" t="s">
        <v>89</v>
      </c>
      <c r="H332" s="92" t="s">
        <v>37</v>
      </c>
      <c r="I332" s="93" t="s">
        <v>91</v>
      </c>
      <c r="J332" s="94"/>
      <c r="K332" s="140">
        <f>K333+K334+K335</f>
        <v>10033.300000000001</v>
      </c>
      <c r="L332" s="140">
        <f>L333+L334+L335</f>
        <v>0</v>
      </c>
      <c r="M332" s="140">
        <f>M333+M334+M335</f>
        <v>10033.300000000001</v>
      </c>
      <c r="N332" s="169"/>
    </row>
    <row r="333" spans="1:14" s="141" customFormat="1" ht="108" customHeight="1" x14ac:dyDescent="0.35">
      <c r="A333" s="136"/>
      <c r="B333" s="562" t="s">
        <v>49</v>
      </c>
      <c r="C333" s="137" t="s">
        <v>414</v>
      </c>
      <c r="D333" s="138" t="s">
        <v>37</v>
      </c>
      <c r="E333" s="138" t="s">
        <v>71</v>
      </c>
      <c r="F333" s="102" t="s">
        <v>226</v>
      </c>
      <c r="G333" s="92" t="s">
        <v>89</v>
      </c>
      <c r="H333" s="92" t="s">
        <v>37</v>
      </c>
      <c r="I333" s="93" t="s">
        <v>91</v>
      </c>
      <c r="J333" s="94" t="s">
        <v>50</v>
      </c>
      <c r="K333" s="140">
        <v>9350.4</v>
      </c>
      <c r="L333" s="24">
        <f>M333-K333</f>
        <v>0</v>
      </c>
      <c r="M333" s="140">
        <v>9350.4</v>
      </c>
      <c r="N333" s="169"/>
    </row>
    <row r="334" spans="1:14" s="141" customFormat="1" ht="54" customHeight="1" x14ac:dyDescent="0.35">
      <c r="A334" s="136"/>
      <c r="B334" s="573" t="s">
        <v>55</v>
      </c>
      <c r="C334" s="137" t="s">
        <v>414</v>
      </c>
      <c r="D334" s="138" t="s">
        <v>37</v>
      </c>
      <c r="E334" s="138" t="s">
        <v>71</v>
      </c>
      <c r="F334" s="145" t="s">
        <v>226</v>
      </c>
      <c r="G334" s="143" t="s">
        <v>89</v>
      </c>
      <c r="H334" s="143" t="s">
        <v>37</v>
      </c>
      <c r="I334" s="144" t="s">
        <v>91</v>
      </c>
      <c r="J334" s="94" t="s">
        <v>56</v>
      </c>
      <c r="K334" s="140">
        <f>623.4+33+3.8</f>
        <v>660.19999999999993</v>
      </c>
      <c r="L334" s="24">
        <f>M334-K334</f>
        <v>0</v>
      </c>
      <c r="M334" s="140">
        <f>623.4+33+3.8</f>
        <v>660.19999999999993</v>
      </c>
    </row>
    <row r="335" spans="1:14" s="141" customFormat="1" ht="18" customHeight="1" x14ac:dyDescent="0.35">
      <c r="A335" s="136"/>
      <c r="B335" s="562" t="s">
        <v>57</v>
      </c>
      <c r="C335" s="137" t="s">
        <v>414</v>
      </c>
      <c r="D335" s="138" t="s">
        <v>37</v>
      </c>
      <c r="E335" s="138" t="s">
        <v>71</v>
      </c>
      <c r="F335" s="102" t="s">
        <v>226</v>
      </c>
      <c r="G335" s="92" t="s">
        <v>89</v>
      </c>
      <c r="H335" s="92" t="s">
        <v>37</v>
      </c>
      <c r="I335" s="93" t="s">
        <v>91</v>
      </c>
      <c r="J335" s="94" t="s">
        <v>58</v>
      </c>
      <c r="K335" s="140">
        <v>22.7</v>
      </c>
      <c r="L335" s="24">
        <f>M335-K335</f>
        <v>0</v>
      </c>
      <c r="M335" s="140">
        <v>22.7</v>
      </c>
      <c r="N335" s="169"/>
    </row>
    <row r="336" spans="1:14" s="141" customFormat="1" ht="54" customHeight="1" x14ac:dyDescent="0.35">
      <c r="A336" s="136"/>
      <c r="B336" s="573" t="s">
        <v>354</v>
      </c>
      <c r="C336" s="182" t="s">
        <v>414</v>
      </c>
      <c r="D336" s="283" t="s">
        <v>37</v>
      </c>
      <c r="E336" s="283" t="s">
        <v>71</v>
      </c>
      <c r="F336" s="102" t="s">
        <v>226</v>
      </c>
      <c r="G336" s="92" t="s">
        <v>89</v>
      </c>
      <c r="H336" s="92" t="s">
        <v>37</v>
      </c>
      <c r="I336" s="93" t="s">
        <v>353</v>
      </c>
      <c r="J336" s="94"/>
      <c r="K336" s="140">
        <f>K337</f>
        <v>983.8</v>
      </c>
      <c r="L336" s="140">
        <f>L337</f>
        <v>0</v>
      </c>
      <c r="M336" s="140">
        <f>M337</f>
        <v>983.8</v>
      </c>
      <c r="N336" s="169"/>
    </row>
    <row r="337" spans="1:14" s="141" customFormat="1" ht="54" customHeight="1" x14ac:dyDescent="0.35">
      <c r="A337" s="136"/>
      <c r="B337" s="574" t="s">
        <v>55</v>
      </c>
      <c r="C337" s="334" t="s">
        <v>414</v>
      </c>
      <c r="D337" s="335" t="s">
        <v>37</v>
      </c>
      <c r="E337" s="335" t="s">
        <v>71</v>
      </c>
      <c r="F337" s="146" t="s">
        <v>226</v>
      </c>
      <c r="G337" s="92" t="s">
        <v>89</v>
      </c>
      <c r="H337" s="92" t="s">
        <v>37</v>
      </c>
      <c r="I337" s="282" t="s">
        <v>353</v>
      </c>
      <c r="J337" s="94" t="s">
        <v>56</v>
      </c>
      <c r="K337" s="140">
        <f>401.3+582.5</f>
        <v>983.8</v>
      </c>
      <c r="L337" s="24">
        <f>M337-K337</f>
        <v>0</v>
      </c>
      <c r="M337" s="140">
        <f>401.3+582.5</f>
        <v>983.8</v>
      </c>
      <c r="N337" s="169"/>
    </row>
    <row r="338" spans="1:14" s="141" customFormat="1" ht="54" customHeight="1" x14ac:dyDescent="0.35">
      <c r="A338" s="640"/>
      <c r="B338" s="641" t="s">
        <v>380</v>
      </c>
      <c r="C338" s="334" t="s">
        <v>414</v>
      </c>
      <c r="D338" s="335" t="s">
        <v>37</v>
      </c>
      <c r="E338" s="335" t="s">
        <v>71</v>
      </c>
      <c r="F338" s="146" t="s">
        <v>226</v>
      </c>
      <c r="G338" s="92" t="s">
        <v>89</v>
      </c>
      <c r="H338" s="92" t="s">
        <v>37</v>
      </c>
      <c r="I338" s="144" t="s">
        <v>379</v>
      </c>
      <c r="J338" s="600"/>
      <c r="K338" s="451">
        <f>K339</f>
        <v>320</v>
      </c>
      <c r="L338" s="24">
        <f>L339</f>
        <v>0</v>
      </c>
      <c r="M338" s="451">
        <f>M339</f>
        <v>320</v>
      </c>
      <c r="N338" s="169"/>
    </row>
    <row r="339" spans="1:14" s="141" customFormat="1" ht="54" customHeight="1" x14ac:dyDescent="0.35">
      <c r="A339" s="640"/>
      <c r="B339" s="574" t="s">
        <v>55</v>
      </c>
      <c r="C339" s="334" t="s">
        <v>414</v>
      </c>
      <c r="D339" s="335" t="s">
        <v>37</v>
      </c>
      <c r="E339" s="335" t="s">
        <v>71</v>
      </c>
      <c r="F339" s="146" t="s">
        <v>226</v>
      </c>
      <c r="G339" s="92" t="s">
        <v>89</v>
      </c>
      <c r="H339" s="92" t="s">
        <v>37</v>
      </c>
      <c r="I339" s="144" t="s">
        <v>379</v>
      </c>
      <c r="J339" s="94" t="s">
        <v>56</v>
      </c>
      <c r="K339" s="451">
        <f>33+17.4+269.6</f>
        <v>320</v>
      </c>
      <c r="L339" s="24">
        <f>M339-K339</f>
        <v>0</v>
      </c>
      <c r="M339" s="451">
        <f>33+17.4+269.6</f>
        <v>320</v>
      </c>
      <c r="N339" s="169"/>
    </row>
    <row r="340" spans="1:14" s="176" customFormat="1" ht="36" customHeight="1" x14ac:dyDescent="0.35">
      <c r="A340" s="171"/>
      <c r="B340" s="575" t="s">
        <v>351</v>
      </c>
      <c r="C340" s="172" t="s">
        <v>414</v>
      </c>
      <c r="D340" s="173" t="s">
        <v>37</v>
      </c>
      <c r="E340" s="173" t="s">
        <v>71</v>
      </c>
      <c r="F340" s="102" t="s">
        <v>226</v>
      </c>
      <c r="G340" s="103" t="s">
        <v>89</v>
      </c>
      <c r="H340" s="103" t="s">
        <v>39</v>
      </c>
      <c r="I340" s="104" t="s">
        <v>44</v>
      </c>
      <c r="J340" s="105"/>
      <c r="K340" s="174">
        <f t="shared" ref="K340:M341" si="46">K341</f>
        <v>814.3</v>
      </c>
      <c r="L340" s="174">
        <f t="shared" si="46"/>
        <v>0</v>
      </c>
      <c r="M340" s="174">
        <f t="shared" si="46"/>
        <v>814.3</v>
      </c>
      <c r="N340" s="175"/>
    </row>
    <row r="341" spans="1:14" s="176" customFormat="1" ht="54" customHeight="1" x14ac:dyDescent="0.35">
      <c r="A341" s="177"/>
      <c r="B341" s="576" t="s">
        <v>352</v>
      </c>
      <c r="C341" s="137" t="s">
        <v>414</v>
      </c>
      <c r="D341" s="138" t="s">
        <v>37</v>
      </c>
      <c r="E341" s="138" t="s">
        <v>71</v>
      </c>
      <c r="F341" s="146" t="s">
        <v>226</v>
      </c>
      <c r="G341" s="103" t="s">
        <v>89</v>
      </c>
      <c r="H341" s="103" t="s">
        <v>39</v>
      </c>
      <c r="I341" s="104" t="s">
        <v>105</v>
      </c>
      <c r="J341" s="106"/>
      <c r="K341" s="178">
        <f t="shared" si="46"/>
        <v>814.3</v>
      </c>
      <c r="L341" s="178">
        <f t="shared" si="46"/>
        <v>0</v>
      </c>
      <c r="M341" s="178">
        <f t="shared" si="46"/>
        <v>814.3</v>
      </c>
      <c r="N341" s="175"/>
    </row>
    <row r="342" spans="1:14" s="176" customFormat="1" ht="54" customHeight="1" x14ac:dyDescent="0.35">
      <c r="A342" s="177"/>
      <c r="B342" s="577" t="s">
        <v>55</v>
      </c>
      <c r="C342" s="137" t="s">
        <v>414</v>
      </c>
      <c r="D342" s="138" t="s">
        <v>37</v>
      </c>
      <c r="E342" s="138" t="s">
        <v>71</v>
      </c>
      <c r="F342" s="146" t="s">
        <v>226</v>
      </c>
      <c r="G342" s="108" t="s">
        <v>89</v>
      </c>
      <c r="H342" s="108" t="s">
        <v>39</v>
      </c>
      <c r="I342" s="179" t="s">
        <v>105</v>
      </c>
      <c r="J342" s="180" t="s">
        <v>56</v>
      </c>
      <c r="K342" s="267">
        <f>791.9+22.4</f>
        <v>814.3</v>
      </c>
      <c r="L342" s="24">
        <f>M342-K342</f>
        <v>0</v>
      </c>
      <c r="M342" s="267">
        <f>791.9+22.4</f>
        <v>814.3</v>
      </c>
      <c r="N342" s="175"/>
    </row>
    <row r="343" spans="1:14" s="176" customFormat="1" ht="36" customHeight="1" x14ac:dyDescent="0.35">
      <c r="A343" s="177"/>
      <c r="B343" s="578" t="s">
        <v>374</v>
      </c>
      <c r="C343" s="137" t="s">
        <v>414</v>
      </c>
      <c r="D343" s="138" t="s">
        <v>37</v>
      </c>
      <c r="E343" s="138" t="s">
        <v>71</v>
      </c>
      <c r="F343" s="146" t="s">
        <v>226</v>
      </c>
      <c r="G343" s="103" t="s">
        <v>89</v>
      </c>
      <c r="H343" s="103" t="s">
        <v>63</v>
      </c>
      <c r="I343" s="104" t="s">
        <v>44</v>
      </c>
      <c r="J343" s="106"/>
      <c r="K343" s="178">
        <f t="shared" ref="K343:M344" si="47">K344</f>
        <v>68.902999999999992</v>
      </c>
      <c r="L343" s="178">
        <f t="shared" si="47"/>
        <v>9.5999999999999943</v>
      </c>
      <c r="M343" s="178">
        <f t="shared" si="47"/>
        <v>78.502999999999986</v>
      </c>
      <c r="N343" s="175"/>
    </row>
    <row r="344" spans="1:14" s="176" customFormat="1" ht="36" customHeight="1" x14ac:dyDescent="0.35">
      <c r="A344" s="177"/>
      <c r="B344" s="578" t="s">
        <v>337</v>
      </c>
      <c r="C344" s="137" t="s">
        <v>414</v>
      </c>
      <c r="D344" s="138" t="s">
        <v>37</v>
      </c>
      <c r="E344" s="138" t="s">
        <v>71</v>
      </c>
      <c r="F344" s="107" t="s">
        <v>226</v>
      </c>
      <c r="G344" s="108" t="s">
        <v>89</v>
      </c>
      <c r="H344" s="108" t="s">
        <v>63</v>
      </c>
      <c r="I344" s="179" t="s">
        <v>336</v>
      </c>
      <c r="J344" s="106"/>
      <c r="K344" s="178">
        <f t="shared" si="47"/>
        <v>68.902999999999992</v>
      </c>
      <c r="L344" s="178">
        <f t="shared" si="47"/>
        <v>9.5999999999999943</v>
      </c>
      <c r="M344" s="178">
        <f t="shared" si="47"/>
        <v>78.502999999999986</v>
      </c>
      <c r="N344" s="175"/>
    </row>
    <row r="345" spans="1:14" s="176" customFormat="1" ht="18" customHeight="1" x14ac:dyDescent="0.35">
      <c r="A345" s="181"/>
      <c r="B345" s="562" t="s">
        <v>57</v>
      </c>
      <c r="C345" s="182" t="s">
        <v>414</v>
      </c>
      <c r="D345" s="138" t="s">
        <v>37</v>
      </c>
      <c r="E345" s="138" t="s">
        <v>71</v>
      </c>
      <c r="F345" s="102" t="s">
        <v>226</v>
      </c>
      <c r="G345" s="103" t="s">
        <v>89</v>
      </c>
      <c r="H345" s="103" t="s">
        <v>63</v>
      </c>
      <c r="I345" s="104" t="s">
        <v>336</v>
      </c>
      <c r="J345" s="106" t="s">
        <v>58</v>
      </c>
      <c r="K345" s="267">
        <f>12.5+56.403</f>
        <v>68.902999999999992</v>
      </c>
      <c r="L345" s="24">
        <f>M345-K345</f>
        <v>9.5999999999999943</v>
      </c>
      <c r="M345" s="267">
        <f>12.5+56.403+9.6</f>
        <v>78.502999999999986</v>
      </c>
      <c r="N345" s="175"/>
    </row>
    <row r="346" spans="1:14" s="176" customFormat="1" ht="36" customHeight="1" x14ac:dyDescent="0.35">
      <c r="A346" s="181"/>
      <c r="B346" s="579" t="s">
        <v>339</v>
      </c>
      <c r="C346" s="182" t="s">
        <v>414</v>
      </c>
      <c r="D346" s="138" t="s">
        <v>37</v>
      </c>
      <c r="E346" s="138" t="s">
        <v>71</v>
      </c>
      <c r="F346" s="102" t="s">
        <v>226</v>
      </c>
      <c r="G346" s="103" t="s">
        <v>30</v>
      </c>
      <c r="H346" s="103" t="s">
        <v>43</v>
      </c>
      <c r="I346" s="104" t="s">
        <v>44</v>
      </c>
      <c r="J346" s="106"/>
      <c r="K346" s="438">
        <f t="shared" ref="K346:M347" si="48">K347</f>
        <v>24871.722999999998</v>
      </c>
      <c r="L346" s="438">
        <f t="shared" si="48"/>
        <v>-899.99999999999989</v>
      </c>
      <c r="M346" s="438">
        <f t="shared" si="48"/>
        <v>23971.723000000002</v>
      </c>
      <c r="N346" s="175"/>
    </row>
    <row r="347" spans="1:14" s="176" customFormat="1" ht="36" customHeight="1" x14ac:dyDescent="0.35">
      <c r="A347" s="469"/>
      <c r="B347" s="580" t="s">
        <v>374</v>
      </c>
      <c r="C347" s="461" t="s">
        <v>414</v>
      </c>
      <c r="D347" s="470" t="s">
        <v>37</v>
      </c>
      <c r="E347" s="470" t="s">
        <v>71</v>
      </c>
      <c r="F347" s="471" t="s">
        <v>226</v>
      </c>
      <c r="G347" s="472" t="s">
        <v>30</v>
      </c>
      <c r="H347" s="472" t="s">
        <v>226</v>
      </c>
      <c r="I347" s="473" t="s">
        <v>44</v>
      </c>
      <c r="J347" s="474"/>
      <c r="K347" s="438">
        <f t="shared" si="48"/>
        <v>24871.722999999998</v>
      </c>
      <c r="L347" s="438">
        <f t="shared" si="48"/>
        <v>-899.99999999999989</v>
      </c>
      <c r="M347" s="438">
        <f t="shared" si="48"/>
        <v>23971.723000000002</v>
      </c>
      <c r="N347" s="175"/>
    </row>
    <row r="348" spans="1:14" s="176" customFormat="1" ht="36" customHeight="1" x14ac:dyDescent="0.35">
      <c r="A348" s="645"/>
      <c r="B348" s="646" t="s">
        <v>337</v>
      </c>
      <c r="C348" s="172" t="s">
        <v>414</v>
      </c>
      <c r="D348" s="463" t="s">
        <v>37</v>
      </c>
      <c r="E348" s="463" t="s">
        <v>71</v>
      </c>
      <c r="F348" s="464" t="s">
        <v>226</v>
      </c>
      <c r="G348" s="465" t="s">
        <v>30</v>
      </c>
      <c r="H348" s="465" t="s">
        <v>226</v>
      </c>
      <c r="I348" s="466" t="s">
        <v>336</v>
      </c>
      <c r="J348" s="467"/>
      <c r="K348" s="468">
        <f>K349+K350+K351</f>
        <v>24871.722999999998</v>
      </c>
      <c r="L348" s="468">
        <f>L349+L350+L351</f>
        <v>-899.99999999999989</v>
      </c>
      <c r="M348" s="468">
        <f>M349+M350+M351</f>
        <v>23971.723000000002</v>
      </c>
      <c r="N348" s="175"/>
    </row>
    <row r="349" spans="1:14" s="176" customFormat="1" ht="54" customHeight="1" x14ac:dyDescent="0.35">
      <c r="A349" s="606"/>
      <c r="B349" s="642" t="s">
        <v>55</v>
      </c>
      <c r="C349" s="334" t="s">
        <v>414</v>
      </c>
      <c r="D349" s="643" t="s">
        <v>37</v>
      </c>
      <c r="E349" s="463" t="s">
        <v>71</v>
      </c>
      <c r="F349" s="464" t="s">
        <v>226</v>
      </c>
      <c r="G349" s="465" t="s">
        <v>30</v>
      </c>
      <c r="H349" s="465" t="s">
        <v>226</v>
      </c>
      <c r="I349" s="466" t="s">
        <v>336</v>
      </c>
      <c r="J349" s="467" t="s">
        <v>56</v>
      </c>
      <c r="K349" s="468">
        <f>96+580+1270.7+98.913+1618.41+98.1</f>
        <v>3762.123</v>
      </c>
      <c r="L349" s="24">
        <f>M349-K349</f>
        <v>-98.099999999999909</v>
      </c>
      <c r="M349" s="468">
        <f>96+580+1270.7+98.913+1618.41+98.1-98.1</f>
        <v>3664.0230000000001</v>
      </c>
      <c r="N349" s="175"/>
    </row>
    <row r="350" spans="1:14" s="176" customFormat="1" ht="54" customHeight="1" x14ac:dyDescent="0.35">
      <c r="A350" s="606"/>
      <c r="B350" s="647" t="s">
        <v>203</v>
      </c>
      <c r="C350" s="648" t="s">
        <v>414</v>
      </c>
      <c r="D350" s="644" t="s">
        <v>37</v>
      </c>
      <c r="E350" s="496" t="s">
        <v>71</v>
      </c>
      <c r="F350" s="383" t="s">
        <v>226</v>
      </c>
      <c r="G350" s="385" t="s">
        <v>30</v>
      </c>
      <c r="H350" s="385" t="s">
        <v>226</v>
      </c>
      <c r="I350" s="386" t="s">
        <v>336</v>
      </c>
      <c r="J350" s="506" t="s">
        <v>204</v>
      </c>
      <c r="K350" s="468">
        <v>21000</v>
      </c>
      <c r="L350" s="24">
        <f>M350-K350</f>
        <v>-900</v>
      </c>
      <c r="M350" s="468">
        <f>21000-900</f>
        <v>20100</v>
      </c>
      <c r="N350" s="175"/>
    </row>
    <row r="351" spans="1:14" s="176" customFormat="1" ht="18" customHeight="1" x14ac:dyDescent="0.35">
      <c r="A351" s="606"/>
      <c r="B351" s="571" t="s">
        <v>57</v>
      </c>
      <c r="C351" s="334" t="s">
        <v>414</v>
      </c>
      <c r="D351" s="649" t="s">
        <v>37</v>
      </c>
      <c r="E351" s="138" t="s">
        <v>71</v>
      </c>
      <c r="F351" s="102" t="s">
        <v>226</v>
      </c>
      <c r="G351" s="103" t="s">
        <v>30</v>
      </c>
      <c r="H351" s="103" t="s">
        <v>226</v>
      </c>
      <c r="I351" s="104" t="s">
        <v>336</v>
      </c>
      <c r="J351" s="448" t="s">
        <v>58</v>
      </c>
      <c r="K351" s="438">
        <f>91.8+17.8</f>
        <v>109.6</v>
      </c>
      <c r="L351" s="24">
        <f>M351-K351</f>
        <v>98.1</v>
      </c>
      <c r="M351" s="438">
        <f>91.8+17.8+98.1</f>
        <v>207.7</v>
      </c>
      <c r="N351" s="175"/>
    </row>
    <row r="352" spans="1:14" s="176" customFormat="1" ht="54" customHeight="1" x14ac:dyDescent="0.35">
      <c r="A352" s="462"/>
      <c r="B352" s="650" t="s">
        <v>230</v>
      </c>
      <c r="C352" s="651" t="s">
        <v>414</v>
      </c>
      <c r="D352" s="138" t="s">
        <v>37</v>
      </c>
      <c r="E352" s="138" t="s">
        <v>71</v>
      </c>
      <c r="F352" s="109" t="s">
        <v>79</v>
      </c>
      <c r="G352" s="110" t="s">
        <v>42</v>
      </c>
      <c r="H352" s="110" t="s">
        <v>43</v>
      </c>
      <c r="I352" s="111" t="s">
        <v>44</v>
      </c>
      <c r="J352" s="112"/>
      <c r="K352" s="438">
        <f t="shared" ref="K352:M355" si="49">K353</f>
        <v>75.3</v>
      </c>
      <c r="L352" s="438">
        <f t="shared" si="49"/>
        <v>6.0240299999999962</v>
      </c>
      <c r="M352" s="438">
        <f t="shared" si="49"/>
        <v>81.324029999999993</v>
      </c>
      <c r="N352" s="175"/>
    </row>
    <row r="353" spans="1:14" s="176" customFormat="1" ht="36" customHeight="1" x14ac:dyDescent="0.35">
      <c r="A353" s="181"/>
      <c r="B353" s="573" t="s">
        <v>339</v>
      </c>
      <c r="C353" s="148" t="s">
        <v>414</v>
      </c>
      <c r="D353" s="138" t="s">
        <v>37</v>
      </c>
      <c r="E353" s="138" t="s">
        <v>71</v>
      </c>
      <c r="F353" s="109" t="s">
        <v>79</v>
      </c>
      <c r="G353" s="110" t="s">
        <v>45</v>
      </c>
      <c r="H353" s="110" t="s">
        <v>43</v>
      </c>
      <c r="I353" s="111" t="s">
        <v>44</v>
      </c>
      <c r="J353" s="112"/>
      <c r="K353" s="438">
        <f t="shared" si="49"/>
        <v>75.3</v>
      </c>
      <c r="L353" s="438">
        <f t="shared" si="49"/>
        <v>6.0240299999999962</v>
      </c>
      <c r="M353" s="438">
        <f t="shared" si="49"/>
        <v>81.324029999999993</v>
      </c>
      <c r="N353" s="175"/>
    </row>
    <row r="354" spans="1:14" s="176" customFormat="1" ht="90" customHeight="1" x14ac:dyDescent="0.35">
      <c r="A354" s="181"/>
      <c r="B354" s="573" t="s">
        <v>300</v>
      </c>
      <c r="C354" s="148" t="s">
        <v>414</v>
      </c>
      <c r="D354" s="138" t="s">
        <v>37</v>
      </c>
      <c r="E354" s="138" t="s">
        <v>71</v>
      </c>
      <c r="F354" s="109" t="s">
        <v>79</v>
      </c>
      <c r="G354" s="110" t="s">
        <v>45</v>
      </c>
      <c r="H354" s="110" t="s">
        <v>39</v>
      </c>
      <c r="I354" s="111" t="s">
        <v>44</v>
      </c>
      <c r="J354" s="112"/>
      <c r="K354" s="438">
        <f t="shared" si="49"/>
        <v>75.3</v>
      </c>
      <c r="L354" s="438">
        <f t="shared" si="49"/>
        <v>6.0240299999999962</v>
      </c>
      <c r="M354" s="438">
        <f t="shared" si="49"/>
        <v>81.324029999999993</v>
      </c>
      <c r="N354" s="175"/>
    </row>
    <row r="355" spans="1:14" s="176" customFormat="1" ht="108" customHeight="1" x14ac:dyDescent="0.35">
      <c r="A355" s="181"/>
      <c r="B355" s="562" t="s">
        <v>416</v>
      </c>
      <c r="C355" s="137" t="s">
        <v>414</v>
      </c>
      <c r="D355" s="138" t="s">
        <v>37</v>
      </c>
      <c r="E355" s="138" t="s">
        <v>71</v>
      </c>
      <c r="F355" s="91" t="s">
        <v>79</v>
      </c>
      <c r="G355" s="92" t="s">
        <v>45</v>
      </c>
      <c r="H355" s="92" t="s">
        <v>39</v>
      </c>
      <c r="I355" s="113" t="s">
        <v>417</v>
      </c>
      <c r="J355" s="94"/>
      <c r="K355" s="438">
        <f t="shared" si="49"/>
        <v>75.3</v>
      </c>
      <c r="L355" s="438">
        <f t="shared" si="49"/>
        <v>6.0240299999999962</v>
      </c>
      <c r="M355" s="438">
        <f t="shared" si="49"/>
        <v>81.324029999999993</v>
      </c>
      <c r="N355" s="175"/>
    </row>
    <row r="356" spans="1:14" s="176" customFormat="1" ht="54" customHeight="1" x14ac:dyDescent="0.35">
      <c r="A356" s="181"/>
      <c r="B356" s="573" t="s">
        <v>55</v>
      </c>
      <c r="C356" s="137" t="s">
        <v>414</v>
      </c>
      <c r="D356" s="138" t="s">
        <v>37</v>
      </c>
      <c r="E356" s="138" t="s">
        <v>71</v>
      </c>
      <c r="F356" s="91" t="s">
        <v>79</v>
      </c>
      <c r="G356" s="92" t="s">
        <v>45</v>
      </c>
      <c r="H356" s="92" t="s">
        <v>39</v>
      </c>
      <c r="I356" s="113" t="s">
        <v>417</v>
      </c>
      <c r="J356" s="448" t="s">
        <v>56</v>
      </c>
      <c r="K356" s="438">
        <v>75.3</v>
      </c>
      <c r="L356" s="24">
        <f>M356-K356</f>
        <v>6.0240299999999962</v>
      </c>
      <c r="M356" s="438">
        <f>75.3+6.02403</f>
        <v>81.324029999999993</v>
      </c>
      <c r="N356" s="175"/>
    </row>
    <row r="357" spans="1:14" s="141" customFormat="1" ht="54" customHeight="1" x14ac:dyDescent="0.35">
      <c r="A357" s="136"/>
      <c r="B357" s="579" t="s">
        <v>40</v>
      </c>
      <c r="C357" s="137" t="s">
        <v>414</v>
      </c>
      <c r="D357" s="138" t="s">
        <v>37</v>
      </c>
      <c r="E357" s="138" t="s">
        <v>71</v>
      </c>
      <c r="F357" s="146" t="s">
        <v>41</v>
      </c>
      <c r="G357" s="92" t="s">
        <v>42</v>
      </c>
      <c r="H357" s="92" t="s">
        <v>43</v>
      </c>
      <c r="I357" s="93" t="s">
        <v>44</v>
      </c>
      <c r="J357" s="94"/>
      <c r="K357" s="274">
        <f t="shared" ref="K357:M359" si="50">K358</f>
        <v>6227.4000000000005</v>
      </c>
      <c r="L357" s="274">
        <f t="shared" si="50"/>
        <v>0</v>
      </c>
      <c r="M357" s="274">
        <f t="shared" si="50"/>
        <v>6227.4000000000005</v>
      </c>
      <c r="N357" s="169"/>
    </row>
    <row r="358" spans="1:14" s="141" customFormat="1" ht="36" customHeight="1" x14ac:dyDescent="0.35">
      <c r="A358" s="136"/>
      <c r="B358" s="573" t="s">
        <v>339</v>
      </c>
      <c r="C358" s="137" t="s">
        <v>414</v>
      </c>
      <c r="D358" s="138" t="s">
        <v>37</v>
      </c>
      <c r="E358" s="138" t="s">
        <v>71</v>
      </c>
      <c r="F358" s="102" t="s">
        <v>41</v>
      </c>
      <c r="G358" s="92" t="s">
        <v>45</v>
      </c>
      <c r="H358" s="92" t="s">
        <v>43</v>
      </c>
      <c r="I358" s="93" t="s">
        <v>44</v>
      </c>
      <c r="J358" s="94"/>
      <c r="K358" s="140">
        <f t="shared" si="50"/>
        <v>6227.4000000000005</v>
      </c>
      <c r="L358" s="140">
        <f t="shared" si="50"/>
        <v>0</v>
      </c>
      <c r="M358" s="140">
        <f t="shared" si="50"/>
        <v>6227.4000000000005</v>
      </c>
      <c r="N358" s="169"/>
    </row>
    <row r="359" spans="1:14" s="141" customFormat="1" ht="72" customHeight="1" x14ac:dyDescent="0.35">
      <c r="A359" s="136"/>
      <c r="B359" s="562" t="s">
        <v>299</v>
      </c>
      <c r="C359" s="137" t="s">
        <v>414</v>
      </c>
      <c r="D359" s="138" t="s">
        <v>37</v>
      </c>
      <c r="E359" s="138" t="s">
        <v>71</v>
      </c>
      <c r="F359" s="102" t="s">
        <v>41</v>
      </c>
      <c r="G359" s="92" t="s">
        <v>45</v>
      </c>
      <c r="H359" s="92" t="s">
        <v>81</v>
      </c>
      <c r="I359" s="93" t="s">
        <v>44</v>
      </c>
      <c r="J359" s="94"/>
      <c r="K359" s="140">
        <f t="shared" si="50"/>
        <v>6227.4000000000005</v>
      </c>
      <c r="L359" s="140">
        <f t="shared" si="50"/>
        <v>0</v>
      </c>
      <c r="M359" s="140">
        <f t="shared" si="50"/>
        <v>6227.4000000000005</v>
      </c>
      <c r="N359" s="169"/>
    </row>
    <row r="360" spans="1:14" s="141" customFormat="1" ht="36" customHeight="1" x14ac:dyDescent="0.35">
      <c r="A360" s="136"/>
      <c r="B360" s="551" t="s">
        <v>466</v>
      </c>
      <c r="C360" s="137" t="s">
        <v>414</v>
      </c>
      <c r="D360" s="138" t="s">
        <v>37</v>
      </c>
      <c r="E360" s="138" t="s">
        <v>71</v>
      </c>
      <c r="F360" s="102" t="s">
        <v>41</v>
      </c>
      <c r="G360" s="92" t="s">
        <v>45</v>
      </c>
      <c r="H360" s="92" t="s">
        <v>81</v>
      </c>
      <c r="I360" s="93" t="s">
        <v>91</v>
      </c>
      <c r="J360" s="94"/>
      <c r="K360" s="285">
        <f>K361+K362</f>
        <v>6227.4000000000005</v>
      </c>
      <c r="L360" s="285">
        <f>L361+L362</f>
        <v>0</v>
      </c>
      <c r="M360" s="285">
        <f>M361+M362</f>
        <v>6227.4000000000005</v>
      </c>
      <c r="N360" s="169"/>
    </row>
    <row r="361" spans="1:14" s="141" customFormat="1" ht="108" customHeight="1" x14ac:dyDescent="0.35">
      <c r="A361" s="136"/>
      <c r="B361" s="562" t="s">
        <v>49</v>
      </c>
      <c r="C361" s="137" t="s">
        <v>414</v>
      </c>
      <c r="D361" s="138" t="s">
        <v>37</v>
      </c>
      <c r="E361" s="138" t="s">
        <v>71</v>
      </c>
      <c r="F361" s="102" t="s">
        <v>41</v>
      </c>
      <c r="G361" s="92" t="s">
        <v>45</v>
      </c>
      <c r="H361" s="92" t="s">
        <v>81</v>
      </c>
      <c r="I361" s="93" t="s">
        <v>91</v>
      </c>
      <c r="J361" s="94" t="s">
        <v>50</v>
      </c>
      <c r="K361" s="268">
        <v>5728.3</v>
      </c>
      <c r="L361" s="24">
        <f>M361-K361</f>
        <v>0</v>
      </c>
      <c r="M361" s="268">
        <v>5728.3</v>
      </c>
      <c r="N361" s="169"/>
    </row>
    <row r="362" spans="1:14" s="141" customFormat="1" ht="54" customHeight="1" x14ac:dyDescent="0.35">
      <c r="A362" s="136"/>
      <c r="B362" s="573" t="s">
        <v>55</v>
      </c>
      <c r="C362" s="137" t="s">
        <v>414</v>
      </c>
      <c r="D362" s="138" t="s">
        <v>37</v>
      </c>
      <c r="E362" s="138" t="s">
        <v>71</v>
      </c>
      <c r="F362" s="102" t="s">
        <v>41</v>
      </c>
      <c r="G362" s="92" t="s">
        <v>45</v>
      </c>
      <c r="H362" s="92" t="s">
        <v>81</v>
      </c>
      <c r="I362" s="93" t="s">
        <v>91</v>
      </c>
      <c r="J362" s="94" t="s">
        <v>56</v>
      </c>
      <c r="K362" s="268">
        <f>458.7+40.4</f>
        <v>499.09999999999997</v>
      </c>
      <c r="L362" s="24">
        <f>M362-K362</f>
        <v>0</v>
      </c>
      <c r="M362" s="268">
        <f>458.7+40.4</f>
        <v>499.09999999999997</v>
      </c>
      <c r="N362" s="169"/>
    </row>
    <row r="363" spans="1:14" s="141" customFormat="1" ht="108" x14ac:dyDescent="0.35">
      <c r="A363" s="136"/>
      <c r="B363" s="573" t="s">
        <v>682</v>
      </c>
      <c r="C363" s="137" t="s">
        <v>414</v>
      </c>
      <c r="D363" s="138" t="s">
        <v>37</v>
      </c>
      <c r="E363" s="138" t="s">
        <v>71</v>
      </c>
      <c r="F363" s="102" t="s">
        <v>683</v>
      </c>
      <c r="G363" s="110" t="s">
        <v>42</v>
      </c>
      <c r="H363" s="110" t="s">
        <v>43</v>
      </c>
      <c r="I363" s="111" t="s">
        <v>44</v>
      </c>
      <c r="J363" s="94"/>
      <c r="K363" s="268">
        <f t="shared" ref="K363:M366" si="51">K364</f>
        <v>614.27200000000005</v>
      </c>
      <c r="L363" s="24">
        <f t="shared" si="51"/>
        <v>0</v>
      </c>
      <c r="M363" s="268">
        <f t="shared" si="51"/>
        <v>614.27200000000005</v>
      </c>
      <c r="N363" s="169"/>
    </row>
    <row r="364" spans="1:14" s="141" customFormat="1" ht="108" x14ac:dyDescent="0.35">
      <c r="A364" s="136"/>
      <c r="B364" s="573" t="s">
        <v>684</v>
      </c>
      <c r="C364" s="137" t="s">
        <v>414</v>
      </c>
      <c r="D364" s="138" t="s">
        <v>37</v>
      </c>
      <c r="E364" s="138" t="s">
        <v>71</v>
      </c>
      <c r="F364" s="102" t="s">
        <v>683</v>
      </c>
      <c r="G364" s="92" t="s">
        <v>89</v>
      </c>
      <c r="H364" s="92" t="s">
        <v>43</v>
      </c>
      <c r="I364" s="93" t="s">
        <v>44</v>
      </c>
      <c r="J364" s="94"/>
      <c r="K364" s="268">
        <f t="shared" si="51"/>
        <v>614.27200000000005</v>
      </c>
      <c r="L364" s="24">
        <f t="shared" si="51"/>
        <v>0</v>
      </c>
      <c r="M364" s="268">
        <f t="shared" si="51"/>
        <v>614.27200000000005</v>
      </c>
      <c r="N364" s="169"/>
    </row>
    <row r="365" spans="1:14" s="141" customFormat="1" ht="90" x14ac:dyDescent="0.35">
      <c r="A365" s="136"/>
      <c r="B365" s="573" t="s">
        <v>736</v>
      </c>
      <c r="C365" s="137" t="s">
        <v>414</v>
      </c>
      <c r="D365" s="138" t="s">
        <v>37</v>
      </c>
      <c r="E365" s="138" t="s">
        <v>71</v>
      </c>
      <c r="F365" s="102" t="s">
        <v>683</v>
      </c>
      <c r="G365" s="92" t="s">
        <v>89</v>
      </c>
      <c r="H365" s="92" t="s">
        <v>81</v>
      </c>
      <c r="I365" s="93" t="s">
        <v>44</v>
      </c>
      <c r="J365" s="94"/>
      <c r="K365" s="268">
        <f t="shared" si="51"/>
        <v>614.27200000000005</v>
      </c>
      <c r="L365" s="24">
        <f t="shared" si="51"/>
        <v>0</v>
      </c>
      <c r="M365" s="268">
        <f t="shared" si="51"/>
        <v>614.27200000000005</v>
      </c>
      <c r="N365" s="169"/>
    </row>
    <row r="366" spans="1:14" s="141" customFormat="1" ht="36" x14ac:dyDescent="0.35">
      <c r="A366" s="136"/>
      <c r="B366" s="573" t="s">
        <v>446</v>
      </c>
      <c r="C366" s="137" t="s">
        <v>414</v>
      </c>
      <c r="D366" s="138" t="s">
        <v>37</v>
      </c>
      <c r="E366" s="138" t="s">
        <v>71</v>
      </c>
      <c r="F366" s="102" t="s">
        <v>683</v>
      </c>
      <c r="G366" s="92" t="s">
        <v>89</v>
      </c>
      <c r="H366" s="92" t="s">
        <v>81</v>
      </c>
      <c r="I366" s="93" t="s">
        <v>69</v>
      </c>
      <c r="J366" s="94"/>
      <c r="K366" s="268">
        <f t="shared" si="51"/>
        <v>614.27200000000005</v>
      </c>
      <c r="L366" s="24">
        <f t="shared" si="51"/>
        <v>0</v>
      </c>
      <c r="M366" s="268">
        <f t="shared" si="51"/>
        <v>614.27200000000005</v>
      </c>
      <c r="N366" s="169"/>
    </row>
    <row r="367" spans="1:14" s="141" customFormat="1" ht="54" customHeight="1" x14ac:dyDescent="0.35">
      <c r="A367" s="136"/>
      <c r="B367" s="573" t="s">
        <v>55</v>
      </c>
      <c r="C367" s="137" t="s">
        <v>414</v>
      </c>
      <c r="D367" s="138" t="s">
        <v>37</v>
      </c>
      <c r="E367" s="138" t="s">
        <v>71</v>
      </c>
      <c r="F367" s="102" t="s">
        <v>683</v>
      </c>
      <c r="G367" s="92" t="s">
        <v>89</v>
      </c>
      <c r="H367" s="92" t="s">
        <v>81</v>
      </c>
      <c r="I367" s="93" t="s">
        <v>69</v>
      </c>
      <c r="J367" s="94" t="s">
        <v>56</v>
      </c>
      <c r="K367" s="268">
        <v>614.27200000000005</v>
      </c>
      <c r="L367" s="24">
        <f>M367-K367</f>
        <v>0</v>
      </c>
      <c r="M367" s="268">
        <v>614.27200000000005</v>
      </c>
      <c r="N367" s="169"/>
    </row>
    <row r="368" spans="1:14" s="141" customFormat="1" ht="18" customHeight="1" x14ac:dyDescent="0.35">
      <c r="A368" s="136"/>
      <c r="B368" s="573" t="s">
        <v>92</v>
      </c>
      <c r="C368" s="137" t="s">
        <v>414</v>
      </c>
      <c r="D368" s="138" t="s">
        <v>52</v>
      </c>
      <c r="E368" s="138"/>
      <c r="F368" s="102"/>
      <c r="G368" s="92"/>
      <c r="H368" s="92"/>
      <c r="I368" s="93"/>
      <c r="J368" s="94"/>
      <c r="K368" s="274">
        <f t="shared" ref="K368:M373" si="52">K369</f>
        <v>1089.4000000000001</v>
      </c>
      <c r="L368" s="274">
        <f t="shared" si="52"/>
        <v>0</v>
      </c>
      <c r="M368" s="274">
        <f t="shared" si="52"/>
        <v>1089.4000000000001</v>
      </c>
      <c r="N368" s="169"/>
    </row>
    <row r="369" spans="1:14" s="141" customFormat="1" ht="36" customHeight="1" x14ac:dyDescent="0.35">
      <c r="A369" s="136"/>
      <c r="B369" s="582" t="s">
        <v>106</v>
      </c>
      <c r="C369" s="137" t="s">
        <v>414</v>
      </c>
      <c r="D369" s="138" t="s">
        <v>52</v>
      </c>
      <c r="E369" s="138" t="s">
        <v>100</v>
      </c>
      <c r="F369" s="102"/>
      <c r="G369" s="92"/>
      <c r="H369" s="92"/>
      <c r="I369" s="93"/>
      <c r="J369" s="94"/>
      <c r="K369" s="140">
        <f t="shared" si="52"/>
        <v>1089.4000000000001</v>
      </c>
      <c r="L369" s="140">
        <f t="shared" si="52"/>
        <v>0</v>
      </c>
      <c r="M369" s="140">
        <f t="shared" si="52"/>
        <v>1089.4000000000001</v>
      </c>
      <c r="N369" s="169"/>
    </row>
    <row r="370" spans="1:14" s="141" customFormat="1" ht="54" customHeight="1" x14ac:dyDescent="0.35">
      <c r="A370" s="136"/>
      <c r="B370" s="562" t="s">
        <v>225</v>
      </c>
      <c r="C370" s="137" t="s">
        <v>414</v>
      </c>
      <c r="D370" s="138" t="s">
        <v>52</v>
      </c>
      <c r="E370" s="138" t="s">
        <v>100</v>
      </c>
      <c r="F370" s="102" t="s">
        <v>226</v>
      </c>
      <c r="G370" s="92" t="s">
        <v>42</v>
      </c>
      <c r="H370" s="92" t="s">
        <v>43</v>
      </c>
      <c r="I370" s="93" t="s">
        <v>44</v>
      </c>
      <c r="J370" s="94"/>
      <c r="K370" s="140">
        <f>K371+K375</f>
        <v>1089.4000000000001</v>
      </c>
      <c r="L370" s="140">
        <f>L371+L375</f>
        <v>0</v>
      </c>
      <c r="M370" s="140">
        <f>M371+M375</f>
        <v>1089.4000000000001</v>
      </c>
      <c r="N370" s="169"/>
    </row>
    <row r="371" spans="1:14" s="141" customFormat="1" ht="36" customHeight="1" x14ac:dyDescent="0.35">
      <c r="A371" s="136"/>
      <c r="B371" s="562" t="s">
        <v>227</v>
      </c>
      <c r="C371" s="137" t="s">
        <v>414</v>
      </c>
      <c r="D371" s="138" t="s">
        <v>52</v>
      </c>
      <c r="E371" s="138" t="s">
        <v>100</v>
      </c>
      <c r="F371" s="102" t="s">
        <v>226</v>
      </c>
      <c r="G371" s="92" t="s">
        <v>45</v>
      </c>
      <c r="H371" s="92" t="s">
        <v>43</v>
      </c>
      <c r="I371" s="93" t="s">
        <v>44</v>
      </c>
      <c r="J371" s="94"/>
      <c r="K371" s="140">
        <f t="shared" si="52"/>
        <v>1078.2</v>
      </c>
      <c r="L371" s="140">
        <f t="shared" si="52"/>
        <v>0</v>
      </c>
      <c r="M371" s="140">
        <f t="shared" si="52"/>
        <v>1078.2</v>
      </c>
      <c r="N371" s="169"/>
    </row>
    <row r="372" spans="1:14" s="141" customFormat="1" ht="90" customHeight="1" x14ac:dyDescent="0.35">
      <c r="A372" s="136"/>
      <c r="B372" s="562" t="s">
        <v>297</v>
      </c>
      <c r="C372" s="137" t="s">
        <v>414</v>
      </c>
      <c r="D372" s="138" t="s">
        <v>52</v>
      </c>
      <c r="E372" s="138" t="s">
        <v>100</v>
      </c>
      <c r="F372" s="102" t="s">
        <v>226</v>
      </c>
      <c r="G372" s="92" t="s">
        <v>45</v>
      </c>
      <c r="H372" s="92" t="s">
        <v>37</v>
      </c>
      <c r="I372" s="93" t="s">
        <v>44</v>
      </c>
      <c r="J372" s="94"/>
      <c r="K372" s="140">
        <f t="shared" si="52"/>
        <v>1078.2</v>
      </c>
      <c r="L372" s="140">
        <f t="shared" si="52"/>
        <v>0</v>
      </c>
      <c r="M372" s="140">
        <f t="shared" si="52"/>
        <v>1078.2</v>
      </c>
      <c r="N372" s="169"/>
    </row>
    <row r="373" spans="1:14" s="141" customFormat="1" ht="36" customHeight="1" x14ac:dyDescent="0.35">
      <c r="A373" s="136"/>
      <c r="B373" s="562" t="s">
        <v>372</v>
      </c>
      <c r="C373" s="137" t="s">
        <v>414</v>
      </c>
      <c r="D373" s="138" t="s">
        <v>52</v>
      </c>
      <c r="E373" s="138" t="s">
        <v>100</v>
      </c>
      <c r="F373" s="102" t="s">
        <v>226</v>
      </c>
      <c r="G373" s="92" t="s">
        <v>45</v>
      </c>
      <c r="H373" s="92" t="s">
        <v>37</v>
      </c>
      <c r="I373" s="93" t="s">
        <v>371</v>
      </c>
      <c r="J373" s="94"/>
      <c r="K373" s="140">
        <f t="shared" si="52"/>
        <v>1078.2</v>
      </c>
      <c r="L373" s="140">
        <f t="shared" si="52"/>
        <v>0</v>
      </c>
      <c r="M373" s="140">
        <f t="shared" si="52"/>
        <v>1078.2</v>
      </c>
      <c r="N373" s="169"/>
    </row>
    <row r="374" spans="1:14" s="141" customFormat="1" ht="54" customHeight="1" x14ac:dyDescent="0.35">
      <c r="A374" s="136"/>
      <c r="B374" s="671" t="s">
        <v>55</v>
      </c>
      <c r="C374" s="137" t="s">
        <v>414</v>
      </c>
      <c r="D374" s="138" t="s">
        <v>52</v>
      </c>
      <c r="E374" s="138" t="s">
        <v>100</v>
      </c>
      <c r="F374" s="102" t="s">
        <v>226</v>
      </c>
      <c r="G374" s="92" t="s">
        <v>45</v>
      </c>
      <c r="H374" s="92" t="s">
        <v>37</v>
      </c>
      <c r="I374" s="93" t="s">
        <v>371</v>
      </c>
      <c r="J374" s="94" t="s">
        <v>56</v>
      </c>
      <c r="K374" s="140">
        <f>1074+4.2</f>
        <v>1078.2</v>
      </c>
      <c r="L374" s="24">
        <f>M374-K374</f>
        <v>0</v>
      </c>
      <c r="M374" s="140">
        <f>1074+4.2</f>
        <v>1078.2</v>
      </c>
      <c r="N374" s="169"/>
    </row>
    <row r="375" spans="1:14" s="141" customFormat="1" ht="36" x14ac:dyDescent="0.35">
      <c r="A375" s="670"/>
      <c r="B375" s="571" t="s">
        <v>339</v>
      </c>
      <c r="C375" s="684" t="s">
        <v>414</v>
      </c>
      <c r="D375" s="138" t="s">
        <v>52</v>
      </c>
      <c r="E375" s="138" t="s">
        <v>100</v>
      </c>
      <c r="F375" s="102" t="s">
        <v>226</v>
      </c>
      <c r="G375" s="103" t="s">
        <v>30</v>
      </c>
      <c r="H375" s="103" t="s">
        <v>43</v>
      </c>
      <c r="I375" s="104" t="s">
        <v>44</v>
      </c>
      <c r="J375" s="685"/>
      <c r="K375" s="280">
        <f t="shared" ref="K375:M377" si="53">K376</f>
        <v>11.2</v>
      </c>
      <c r="L375" s="24">
        <f t="shared" si="53"/>
        <v>0</v>
      </c>
      <c r="M375" s="280">
        <f t="shared" si="53"/>
        <v>11.2</v>
      </c>
      <c r="N375" s="169"/>
    </row>
    <row r="376" spans="1:14" s="141" customFormat="1" ht="36" x14ac:dyDescent="0.35">
      <c r="A376" s="670"/>
      <c r="B376" s="571" t="s">
        <v>374</v>
      </c>
      <c r="C376" s="686" t="s">
        <v>414</v>
      </c>
      <c r="D376" s="138" t="s">
        <v>52</v>
      </c>
      <c r="E376" s="138" t="s">
        <v>100</v>
      </c>
      <c r="F376" s="471" t="s">
        <v>226</v>
      </c>
      <c r="G376" s="472" t="s">
        <v>30</v>
      </c>
      <c r="H376" s="472" t="s">
        <v>226</v>
      </c>
      <c r="I376" s="473" t="s">
        <v>44</v>
      </c>
      <c r="J376" s="685"/>
      <c r="K376" s="280">
        <f t="shared" si="53"/>
        <v>11.2</v>
      </c>
      <c r="L376" s="24">
        <f t="shared" si="53"/>
        <v>0</v>
      </c>
      <c r="M376" s="280">
        <f t="shared" si="53"/>
        <v>11.2</v>
      </c>
      <c r="N376" s="169"/>
    </row>
    <row r="377" spans="1:14" s="141" customFormat="1" ht="36" x14ac:dyDescent="0.35">
      <c r="A377" s="136"/>
      <c r="B377" s="646" t="s">
        <v>337</v>
      </c>
      <c r="C377" s="172" t="s">
        <v>414</v>
      </c>
      <c r="D377" s="463" t="s">
        <v>52</v>
      </c>
      <c r="E377" s="463" t="s">
        <v>100</v>
      </c>
      <c r="F377" s="464" t="s">
        <v>226</v>
      </c>
      <c r="G377" s="465" t="s">
        <v>30</v>
      </c>
      <c r="H377" s="465" t="s">
        <v>226</v>
      </c>
      <c r="I377" s="466" t="s">
        <v>336</v>
      </c>
      <c r="J377" s="467"/>
      <c r="K377" s="280">
        <f t="shared" si="53"/>
        <v>11.2</v>
      </c>
      <c r="L377" s="24">
        <f t="shared" si="53"/>
        <v>0</v>
      </c>
      <c r="M377" s="280">
        <f t="shared" si="53"/>
        <v>11.2</v>
      </c>
      <c r="N377" s="169"/>
    </row>
    <row r="378" spans="1:14" s="141" customFormat="1" ht="54" customHeight="1" x14ac:dyDescent="0.35">
      <c r="A378" s="136"/>
      <c r="B378" s="642" t="s">
        <v>55</v>
      </c>
      <c r="C378" s="334" t="s">
        <v>414</v>
      </c>
      <c r="D378" s="643" t="s">
        <v>52</v>
      </c>
      <c r="E378" s="463" t="s">
        <v>100</v>
      </c>
      <c r="F378" s="464" t="s">
        <v>226</v>
      </c>
      <c r="G378" s="465" t="s">
        <v>30</v>
      </c>
      <c r="H378" s="465" t="s">
        <v>226</v>
      </c>
      <c r="I378" s="466" t="s">
        <v>336</v>
      </c>
      <c r="J378" s="467" t="s">
        <v>56</v>
      </c>
      <c r="K378" s="280">
        <v>11.2</v>
      </c>
      <c r="L378" s="24">
        <f>M378-K378</f>
        <v>0</v>
      </c>
      <c r="M378" s="280">
        <v>11.2</v>
      </c>
      <c r="N378" s="169"/>
    </row>
    <row r="379" spans="1:14" s="141" customFormat="1" ht="18" customHeight="1" x14ac:dyDescent="0.35">
      <c r="A379" s="136"/>
      <c r="B379" s="562" t="s">
        <v>177</v>
      </c>
      <c r="C379" s="137" t="s">
        <v>414</v>
      </c>
      <c r="D379" s="138" t="s">
        <v>65</v>
      </c>
      <c r="E379" s="138"/>
      <c r="F379" s="91"/>
      <c r="G379" s="92"/>
      <c r="H379" s="92"/>
      <c r="I379" s="113"/>
      <c r="J379" s="94"/>
      <c r="K379" s="140">
        <f t="shared" ref="K379:M382" si="54">K380</f>
        <v>79683.3</v>
      </c>
      <c r="L379" s="274">
        <f t="shared" si="54"/>
        <v>0</v>
      </c>
      <c r="M379" s="140">
        <f t="shared" si="54"/>
        <v>79683.3</v>
      </c>
      <c r="N379" s="169"/>
    </row>
    <row r="380" spans="1:14" s="141" customFormat="1" ht="18" customHeight="1" x14ac:dyDescent="0.35">
      <c r="A380" s="136"/>
      <c r="B380" s="562" t="s">
        <v>333</v>
      </c>
      <c r="C380" s="137" t="s">
        <v>414</v>
      </c>
      <c r="D380" s="138" t="s">
        <v>65</v>
      </c>
      <c r="E380" s="138" t="s">
        <v>39</v>
      </c>
      <c r="F380" s="91"/>
      <c r="G380" s="92"/>
      <c r="H380" s="92"/>
      <c r="I380" s="113"/>
      <c r="J380" s="94"/>
      <c r="K380" s="140">
        <f t="shared" ref="K380:M381" si="55">K381</f>
        <v>79683.3</v>
      </c>
      <c r="L380" s="140">
        <f t="shared" si="55"/>
        <v>0</v>
      </c>
      <c r="M380" s="140">
        <f t="shared" si="55"/>
        <v>79683.3</v>
      </c>
      <c r="N380" s="169"/>
    </row>
    <row r="381" spans="1:14" s="141" customFormat="1" ht="72" customHeight="1" x14ac:dyDescent="0.35">
      <c r="A381" s="136"/>
      <c r="B381" s="583" t="s">
        <v>332</v>
      </c>
      <c r="C381" s="137" t="s">
        <v>414</v>
      </c>
      <c r="D381" s="138" t="s">
        <v>65</v>
      </c>
      <c r="E381" s="138" t="s">
        <v>39</v>
      </c>
      <c r="F381" s="91" t="s">
        <v>104</v>
      </c>
      <c r="G381" s="92" t="s">
        <v>42</v>
      </c>
      <c r="H381" s="92" t="s">
        <v>43</v>
      </c>
      <c r="I381" s="113" t="s">
        <v>44</v>
      </c>
      <c r="J381" s="94"/>
      <c r="K381" s="140">
        <f t="shared" si="55"/>
        <v>79683.3</v>
      </c>
      <c r="L381" s="140">
        <f t="shared" si="55"/>
        <v>0</v>
      </c>
      <c r="M381" s="140">
        <f t="shared" si="55"/>
        <v>79683.3</v>
      </c>
      <c r="N381" s="169"/>
    </row>
    <row r="382" spans="1:14" s="141" customFormat="1" ht="54" customHeight="1" x14ac:dyDescent="0.35">
      <c r="A382" s="136"/>
      <c r="B382" s="573" t="s">
        <v>334</v>
      </c>
      <c r="C382" s="137" t="s">
        <v>414</v>
      </c>
      <c r="D382" s="138" t="s">
        <v>65</v>
      </c>
      <c r="E382" s="138" t="s">
        <v>39</v>
      </c>
      <c r="F382" s="91" t="s">
        <v>104</v>
      </c>
      <c r="G382" s="92" t="s">
        <v>45</v>
      </c>
      <c r="H382" s="92" t="s">
        <v>43</v>
      </c>
      <c r="I382" s="113" t="s">
        <v>44</v>
      </c>
      <c r="J382" s="94"/>
      <c r="K382" s="140">
        <f t="shared" si="54"/>
        <v>79683.3</v>
      </c>
      <c r="L382" s="140">
        <f t="shared" si="54"/>
        <v>0</v>
      </c>
      <c r="M382" s="140">
        <f t="shared" si="54"/>
        <v>79683.3</v>
      </c>
      <c r="N382" s="169"/>
    </row>
    <row r="383" spans="1:14" s="141" customFormat="1" ht="54" customHeight="1" x14ac:dyDescent="0.35">
      <c r="A383" s="136"/>
      <c r="B383" s="573" t="s">
        <v>373</v>
      </c>
      <c r="C383" s="137" t="s">
        <v>414</v>
      </c>
      <c r="D383" s="138" t="s">
        <v>65</v>
      </c>
      <c r="E383" s="138" t="s">
        <v>39</v>
      </c>
      <c r="F383" s="91" t="s">
        <v>104</v>
      </c>
      <c r="G383" s="92" t="s">
        <v>45</v>
      </c>
      <c r="H383" s="92" t="s">
        <v>37</v>
      </c>
      <c r="I383" s="113" t="s">
        <v>44</v>
      </c>
      <c r="J383" s="94"/>
      <c r="K383" s="140">
        <f t="shared" ref="K383:M384" si="56">K384</f>
        <v>79683.3</v>
      </c>
      <c r="L383" s="140">
        <f t="shared" si="56"/>
        <v>0</v>
      </c>
      <c r="M383" s="140">
        <f t="shared" si="56"/>
        <v>79683.3</v>
      </c>
      <c r="N383" s="169"/>
    </row>
    <row r="384" spans="1:14" s="141" customFormat="1" ht="72" customHeight="1" x14ac:dyDescent="0.35">
      <c r="A384" s="136"/>
      <c r="B384" s="573" t="s">
        <v>502</v>
      </c>
      <c r="C384" s="137" t="s">
        <v>414</v>
      </c>
      <c r="D384" s="138" t="s">
        <v>65</v>
      </c>
      <c r="E384" s="138" t="s">
        <v>39</v>
      </c>
      <c r="F384" s="91" t="s">
        <v>104</v>
      </c>
      <c r="G384" s="92" t="s">
        <v>45</v>
      </c>
      <c r="H384" s="92" t="s">
        <v>37</v>
      </c>
      <c r="I384" s="113" t="s">
        <v>415</v>
      </c>
      <c r="J384" s="94"/>
      <c r="K384" s="140">
        <f t="shared" si="56"/>
        <v>79683.3</v>
      </c>
      <c r="L384" s="140">
        <f t="shared" si="56"/>
        <v>0</v>
      </c>
      <c r="M384" s="140">
        <f t="shared" si="56"/>
        <v>79683.3</v>
      </c>
      <c r="N384" s="169"/>
    </row>
    <row r="385" spans="1:14" s="141" customFormat="1" ht="54" customHeight="1" x14ac:dyDescent="0.35">
      <c r="A385" s="136"/>
      <c r="B385" s="573" t="s">
        <v>203</v>
      </c>
      <c r="C385" s="137" t="s">
        <v>414</v>
      </c>
      <c r="D385" s="138" t="s">
        <v>65</v>
      </c>
      <c r="E385" s="138" t="s">
        <v>39</v>
      </c>
      <c r="F385" s="91" t="s">
        <v>104</v>
      </c>
      <c r="G385" s="92" t="s">
        <v>45</v>
      </c>
      <c r="H385" s="92" t="s">
        <v>37</v>
      </c>
      <c r="I385" s="113" t="s">
        <v>415</v>
      </c>
      <c r="J385" s="94" t="s">
        <v>204</v>
      </c>
      <c r="K385" s="140">
        <f>75699.1+2894.8+1089.4</f>
        <v>79683.3</v>
      </c>
      <c r="L385" s="24">
        <f>M385-K385</f>
        <v>0</v>
      </c>
      <c r="M385" s="140">
        <f>75699.1+2894.8+1089.4</f>
        <v>79683.3</v>
      </c>
      <c r="N385" s="169"/>
    </row>
    <row r="386" spans="1:14" s="141" customFormat="1" ht="18" customHeight="1" x14ac:dyDescent="0.35">
      <c r="A386" s="136"/>
      <c r="B386" s="584" t="s">
        <v>179</v>
      </c>
      <c r="C386" s="137" t="s">
        <v>414</v>
      </c>
      <c r="D386" s="138" t="s">
        <v>224</v>
      </c>
      <c r="E386" s="138"/>
      <c r="F386" s="91"/>
      <c r="G386" s="92"/>
      <c r="H386" s="92"/>
      <c r="I386" s="113"/>
      <c r="J386" s="94"/>
      <c r="K386" s="140">
        <f>K395+K387+K403</f>
        <v>138991.78000000003</v>
      </c>
      <c r="L386" s="140">
        <f>L395+L387+L403</f>
        <v>0</v>
      </c>
      <c r="M386" s="140">
        <f>M395+M387+M403</f>
        <v>138991.78000000003</v>
      </c>
      <c r="N386" s="169"/>
    </row>
    <row r="387" spans="1:14" s="141" customFormat="1" ht="18" customHeight="1" x14ac:dyDescent="0.35">
      <c r="A387" s="136"/>
      <c r="B387" s="584" t="s">
        <v>181</v>
      </c>
      <c r="C387" s="137" t="s">
        <v>414</v>
      </c>
      <c r="D387" s="138" t="s">
        <v>224</v>
      </c>
      <c r="E387" s="138" t="s">
        <v>37</v>
      </c>
      <c r="F387" s="91"/>
      <c r="G387" s="92"/>
      <c r="H387" s="92"/>
      <c r="I387" s="93"/>
      <c r="J387" s="94"/>
      <c r="K387" s="140">
        <f t="shared" ref="K387:M391" si="57">K388</f>
        <v>88315.680000000008</v>
      </c>
      <c r="L387" s="140">
        <f t="shared" si="57"/>
        <v>0</v>
      </c>
      <c r="M387" s="140">
        <f t="shared" si="57"/>
        <v>88315.680000000008</v>
      </c>
      <c r="N387" s="169"/>
    </row>
    <row r="388" spans="1:14" s="141" customFormat="1" ht="54" customHeight="1" x14ac:dyDescent="0.35">
      <c r="A388" s="136"/>
      <c r="B388" s="584" t="s">
        <v>438</v>
      </c>
      <c r="C388" s="137" t="s">
        <v>414</v>
      </c>
      <c r="D388" s="138" t="s">
        <v>224</v>
      </c>
      <c r="E388" s="138" t="s">
        <v>37</v>
      </c>
      <c r="F388" s="91" t="s">
        <v>39</v>
      </c>
      <c r="G388" s="92" t="s">
        <v>42</v>
      </c>
      <c r="H388" s="92" t="s">
        <v>43</v>
      </c>
      <c r="I388" s="93" t="s">
        <v>44</v>
      </c>
      <c r="J388" s="94"/>
      <c r="K388" s="140">
        <f t="shared" si="57"/>
        <v>88315.680000000008</v>
      </c>
      <c r="L388" s="140">
        <f t="shared" si="57"/>
        <v>0</v>
      </c>
      <c r="M388" s="140">
        <f t="shared" si="57"/>
        <v>88315.680000000008</v>
      </c>
      <c r="N388" s="169"/>
    </row>
    <row r="389" spans="1:14" s="141" customFormat="1" ht="36" customHeight="1" x14ac:dyDescent="0.35">
      <c r="A389" s="136"/>
      <c r="B389" s="584" t="s">
        <v>206</v>
      </c>
      <c r="C389" s="137" t="s">
        <v>414</v>
      </c>
      <c r="D389" s="138" t="s">
        <v>224</v>
      </c>
      <c r="E389" s="138" t="s">
        <v>37</v>
      </c>
      <c r="F389" s="91" t="s">
        <v>39</v>
      </c>
      <c r="G389" s="92" t="s">
        <v>45</v>
      </c>
      <c r="H389" s="92" t="s">
        <v>43</v>
      </c>
      <c r="I389" s="93" t="s">
        <v>44</v>
      </c>
      <c r="J389" s="94"/>
      <c r="K389" s="140">
        <f t="shared" si="57"/>
        <v>88315.680000000008</v>
      </c>
      <c r="L389" s="140">
        <f t="shared" si="57"/>
        <v>0</v>
      </c>
      <c r="M389" s="140">
        <f t="shared" si="57"/>
        <v>88315.680000000008</v>
      </c>
      <c r="N389" s="169"/>
    </row>
    <row r="390" spans="1:14" s="141" customFormat="1" ht="36" customHeight="1" x14ac:dyDescent="0.35">
      <c r="A390" s="136"/>
      <c r="B390" s="584" t="s">
        <v>267</v>
      </c>
      <c r="C390" s="137" t="s">
        <v>414</v>
      </c>
      <c r="D390" s="138" t="s">
        <v>224</v>
      </c>
      <c r="E390" s="138" t="s">
        <v>37</v>
      </c>
      <c r="F390" s="91" t="s">
        <v>39</v>
      </c>
      <c r="G390" s="92" t="s">
        <v>45</v>
      </c>
      <c r="H390" s="92" t="s">
        <v>37</v>
      </c>
      <c r="I390" s="113" t="s">
        <v>44</v>
      </c>
      <c r="J390" s="94"/>
      <c r="K390" s="140">
        <f>K391+K393</f>
        <v>88315.680000000008</v>
      </c>
      <c r="L390" s="140">
        <f>L391+L393</f>
        <v>0</v>
      </c>
      <c r="M390" s="140">
        <f>M391+M393</f>
        <v>88315.680000000008</v>
      </c>
      <c r="N390" s="169"/>
    </row>
    <row r="391" spans="1:14" s="141" customFormat="1" ht="36" customHeight="1" x14ac:dyDescent="0.35">
      <c r="A391" s="136"/>
      <c r="B391" s="518" t="s">
        <v>208</v>
      </c>
      <c r="C391" s="137" t="s">
        <v>414</v>
      </c>
      <c r="D391" s="138" t="s">
        <v>224</v>
      </c>
      <c r="E391" s="138" t="s">
        <v>37</v>
      </c>
      <c r="F391" s="91" t="s">
        <v>39</v>
      </c>
      <c r="G391" s="92" t="s">
        <v>45</v>
      </c>
      <c r="H391" s="92" t="s">
        <v>37</v>
      </c>
      <c r="I391" s="113" t="s">
        <v>274</v>
      </c>
      <c r="J391" s="94"/>
      <c r="K391" s="140">
        <f t="shared" si="57"/>
        <v>3231.2799999999997</v>
      </c>
      <c r="L391" s="140">
        <f t="shared" si="57"/>
        <v>0</v>
      </c>
      <c r="M391" s="140">
        <f t="shared" si="57"/>
        <v>3231.2799999999997</v>
      </c>
      <c r="N391" s="169"/>
    </row>
    <row r="392" spans="1:14" s="141" customFormat="1" ht="54" customHeight="1" x14ac:dyDescent="0.35">
      <c r="A392" s="652"/>
      <c r="B392" s="653" t="s">
        <v>203</v>
      </c>
      <c r="C392" s="182" t="s">
        <v>414</v>
      </c>
      <c r="D392" s="283" t="s">
        <v>224</v>
      </c>
      <c r="E392" s="283" t="s">
        <v>37</v>
      </c>
      <c r="F392" s="142" t="s">
        <v>39</v>
      </c>
      <c r="G392" s="143" t="s">
        <v>45</v>
      </c>
      <c r="H392" s="143" t="s">
        <v>37</v>
      </c>
      <c r="I392" s="493" t="s">
        <v>274</v>
      </c>
      <c r="J392" s="494" t="s">
        <v>204</v>
      </c>
      <c r="K392" s="206">
        <f>2721.5+509.78</f>
        <v>3231.2799999999997</v>
      </c>
      <c r="L392" s="654">
        <f>M392-K392</f>
        <v>0</v>
      </c>
      <c r="M392" s="206">
        <f>2721.5+509.78</f>
        <v>3231.2799999999997</v>
      </c>
      <c r="N392" s="169"/>
    </row>
    <row r="393" spans="1:14" s="141" customFormat="1" ht="108" customHeight="1" x14ac:dyDescent="0.35">
      <c r="A393" s="223"/>
      <c r="B393" s="660" t="s">
        <v>505</v>
      </c>
      <c r="C393" s="334" t="s">
        <v>414</v>
      </c>
      <c r="D393" s="335" t="s">
        <v>224</v>
      </c>
      <c r="E393" s="661" t="s">
        <v>37</v>
      </c>
      <c r="F393" s="661" t="s">
        <v>39</v>
      </c>
      <c r="G393" s="663" t="s">
        <v>45</v>
      </c>
      <c r="H393" s="663" t="s">
        <v>37</v>
      </c>
      <c r="I393" s="664" t="s">
        <v>504</v>
      </c>
      <c r="J393" s="662"/>
      <c r="K393" s="268">
        <f>K394</f>
        <v>85084.400000000009</v>
      </c>
      <c r="L393" s="268">
        <f>L394</f>
        <v>0</v>
      </c>
      <c r="M393" s="268">
        <f>M394</f>
        <v>85084.400000000009</v>
      </c>
      <c r="N393" s="169"/>
    </row>
    <row r="394" spans="1:14" s="141" customFormat="1" ht="54" customHeight="1" x14ac:dyDescent="0.35">
      <c r="A394" s="640"/>
      <c r="B394" s="655" t="s">
        <v>203</v>
      </c>
      <c r="C394" s="656" t="s">
        <v>414</v>
      </c>
      <c r="D394" s="463" t="s">
        <v>224</v>
      </c>
      <c r="E394" s="463" t="s">
        <v>37</v>
      </c>
      <c r="F394" s="657" t="s">
        <v>39</v>
      </c>
      <c r="G394" s="658" t="s">
        <v>45</v>
      </c>
      <c r="H394" s="658" t="s">
        <v>37</v>
      </c>
      <c r="I394" s="659" t="s">
        <v>504</v>
      </c>
      <c r="J394" s="600" t="s">
        <v>204</v>
      </c>
      <c r="K394" s="451">
        <f>82531.8+2552.6</f>
        <v>85084.400000000009</v>
      </c>
      <c r="L394" s="468">
        <f>M394-K394</f>
        <v>0</v>
      </c>
      <c r="M394" s="451">
        <f>82531.8+2552.6</f>
        <v>85084.400000000009</v>
      </c>
      <c r="N394" s="169"/>
    </row>
    <row r="395" spans="1:14" s="141" customFormat="1" ht="18" customHeight="1" x14ac:dyDescent="0.35">
      <c r="A395" s="136"/>
      <c r="B395" s="584" t="s">
        <v>183</v>
      </c>
      <c r="C395" s="137" t="s">
        <v>414</v>
      </c>
      <c r="D395" s="138" t="s">
        <v>224</v>
      </c>
      <c r="E395" s="138" t="s">
        <v>39</v>
      </c>
      <c r="F395" s="91"/>
      <c r="G395" s="92"/>
      <c r="H395" s="92"/>
      <c r="I395" s="113"/>
      <c r="J395" s="94"/>
      <c r="K395" s="140">
        <f t="shared" ref="K395:M399" si="58">K396</f>
        <v>50668.9</v>
      </c>
      <c r="L395" s="140">
        <f t="shared" si="58"/>
        <v>0</v>
      </c>
      <c r="M395" s="140">
        <f t="shared" si="58"/>
        <v>50668.9</v>
      </c>
      <c r="N395" s="169"/>
    </row>
    <row r="396" spans="1:14" s="141" customFormat="1" ht="54" customHeight="1" x14ac:dyDescent="0.35">
      <c r="A396" s="136"/>
      <c r="B396" s="584" t="s">
        <v>205</v>
      </c>
      <c r="C396" s="137" t="s">
        <v>414</v>
      </c>
      <c r="D396" s="138" t="s">
        <v>224</v>
      </c>
      <c r="E396" s="138" t="s">
        <v>39</v>
      </c>
      <c r="F396" s="91" t="s">
        <v>39</v>
      </c>
      <c r="G396" s="92" t="s">
        <v>42</v>
      </c>
      <c r="H396" s="92" t="s">
        <v>43</v>
      </c>
      <c r="I396" s="93" t="s">
        <v>44</v>
      </c>
      <c r="J396" s="94"/>
      <c r="K396" s="140">
        <f t="shared" si="58"/>
        <v>50668.9</v>
      </c>
      <c r="L396" s="140">
        <f t="shared" si="58"/>
        <v>0</v>
      </c>
      <c r="M396" s="140">
        <f t="shared" si="58"/>
        <v>50668.9</v>
      </c>
      <c r="N396" s="169"/>
    </row>
    <row r="397" spans="1:14" s="141" customFormat="1" ht="36" customHeight="1" x14ac:dyDescent="0.35">
      <c r="A397" s="136"/>
      <c r="B397" s="584" t="s">
        <v>206</v>
      </c>
      <c r="C397" s="137" t="s">
        <v>414</v>
      </c>
      <c r="D397" s="138" t="s">
        <v>224</v>
      </c>
      <c r="E397" s="138" t="s">
        <v>39</v>
      </c>
      <c r="F397" s="91" t="s">
        <v>39</v>
      </c>
      <c r="G397" s="92" t="s">
        <v>45</v>
      </c>
      <c r="H397" s="92" t="s">
        <v>43</v>
      </c>
      <c r="I397" s="93" t="s">
        <v>44</v>
      </c>
      <c r="J397" s="94"/>
      <c r="K397" s="140">
        <f t="shared" si="58"/>
        <v>50668.9</v>
      </c>
      <c r="L397" s="140">
        <f t="shared" si="58"/>
        <v>0</v>
      </c>
      <c r="M397" s="140">
        <f t="shared" si="58"/>
        <v>50668.9</v>
      </c>
      <c r="N397" s="169"/>
    </row>
    <row r="398" spans="1:14" s="141" customFormat="1" ht="18" customHeight="1" x14ac:dyDescent="0.35">
      <c r="A398" s="136"/>
      <c r="B398" s="584" t="s">
        <v>272</v>
      </c>
      <c r="C398" s="137" t="s">
        <v>414</v>
      </c>
      <c r="D398" s="138" t="s">
        <v>224</v>
      </c>
      <c r="E398" s="138" t="s">
        <v>39</v>
      </c>
      <c r="F398" s="91" t="s">
        <v>39</v>
      </c>
      <c r="G398" s="92" t="s">
        <v>45</v>
      </c>
      <c r="H398" s="92" t="s">
        <v>39</v>
      </c>
      <c r="I398" s="93" t="s">
        <v>44</v>
      </c>
      <c r="J398" s="94"/>
      <c r="K398" s="140">
        <f>K399+K401</f>
        <v>50668.9</v>
      </c>
      <c r="L398" s="140">
        <f>L399+L401</f>
        <v>0</v>
      </c>
      <c r="M398" s="140">
        <f>M399+M401</f>
        <v>50668.9</v>
      </c>
      <c r="N398" s="169"/>
    </row>
    <row r="399" spans="1:14" s="141" customFormat="1" ht="36" customHeight="1" x14ac:dyDescent="0.35">
      <c r="A399" s="136"/>
      <c r="B399" s="584" t="s">
        <v>208</v>
      </c>
      <c r="C399" s="137" t="s">
        <v>414</v>
      </c>
      <c r="D399" s="138" t="s">
        <v>224</v>
      </c>
      <c r="E399" s="138" t="s">
        <v>39</v>
      </c>
      <c r="F399" s="91" t="s">
        <v>39</v>
      </c>
      <c r="G399" s="92" t="s">
        <v>45</v>
      </c>
      <c r="H399" s="92" t="s">
        <v>39</v>
      </c>
      <c r="I399" s="93" t="s">
        <v>274</v>
      </c>
      <c r="J399" s="94"/>
      <c r="K399" s="140">
        <f t="shared" si="58"/>
        <v>2966.8999999999996</v>
      </c>
      <c r="L399" s="140">
        <f t="shared" si="58"/>
        <v>0</v>
      </c>
      <c r="M399" s="140">
        <f t="shared" si="58"/>
        <v>2966.8999999999996</v>
      </c>
      <c r="N399" s="169"/>
    </row>
    <row r="400" spans="1:14" s="141" customFormat="1" ht="54" customHeight="1" x14ac:dyDescent="0.35">
      <c r="A400" s="136"/>
      <c r="B400" s="584" t="s">
        <v>203</v>
      </c>
      <c r="C400" s="137" t="s">
        <v>414</v>
      </c>
      <c r="D400" s="138" t="s">
        <v>224</v>
      </c>
      <c r="E400" s="138" t="s">
        <v>39</v>
      </c>
      <c r="F400" s="91" t="s">
        <v>39</v>
      </c>
      <c r="G400" s="92" t="s">
        <v>45</v>
      </c>
      <c r="H400" s="92" t="s">
        <v>39</v>
      </c>
      <c r="I400" s="93" t="s">
        <v>274</v>
      </c>
      <c r="J400" s="94" t="s">
        <v>204</v>
      </c>
      <c r="K400" s="206">
        <f>1891.3-1317.4+1769.3+330.1+87.9+205.7</f>
        <v>2966.8999999999996</v>
      </c>
      <c r="L400" s="24">
        <f>M400-K400</f>
        <v>0</v>
      </c>
      <c r="M400" s="206">
        <f>1891.3-1317.4+1769.3+330.1+87.9+205.7</f>
        <v>2966.8999999999996</v>
      </c>
      <c r="N400" s="169"/>
    </row>
    <row r="401" spans="1:14" s="141" customFormat="1" ht="108" customHeight="1" x14ac:dyDescent="0.35">
      <c r="A401" s="136"/>
      <c r="B401" s="607" t="s">
        <v>505</v>
      </c>
      <c r="C401" s="608" t="s">
        <v>414</v>
      </c>
      <c r="D401" s="609" t="s">
        <v>224</v>
      </c>
      <c r="E401" s="609" t="s">
        <v>39</v>
      </c>
      <c r="F401" s="374" t="s">
        <v>39</v>
      </c>
      <c r="G401" s="375" t="s">
        <v>45</v>
      </c>
      <c r="H401" s="375" t="s">
        <v>39</v>
      </c>
      <c r="I401" s="376" t="s">
        <v>504</v>
      </c>
      <c r="J401" s="434"/>
      <c r="K401" s="610">
        <f>K402</f>
        <v>47702</v>
      </c>
      <c r="L401" s="610">
        <f>L402</f>
        <v>0</v>
      </c>
      <c r="M401" s="610">
        <f>M402</f>
        <v>47702</v>
      </c>
      <c r="N401" s="169"/>
    </row>
    <row r="402" spans="1:14" s="141" customFormat="1" ht="54" customHeight="1" x14ac:dyDescent="0.35">
      <c r="A402" s="136"/>
      <c r="B402" s="607" t="s">
        <v>203</v>
      </c>
      <c r="C402" s="626" t="s">
        <v>414</v>
      </c>
      <c r="D402" s="627" t="s">
        <v>224</v>
      </c>
      <c r="E402" s="627" t="s">
        <v>39</v>
      </c>
      <c r="F402" s="615" t="s">
        <v>39</v>
      </c>
      <c r="G402" s="616" t="s">
        <v>45</v>
      </c>
      <c r="H402" s="616" t="s">
        <v>39</v>
      </c>
      <c r="I402" s="617" t="s">
        <v>504</v>
      </c>
      <c r="J402" s="434" t="s">
        <v>204</v>
      </c>
      <c r="K402" s="610">
        <f>46270.9+1431.1</f>
        <v>47702</v>
      </c>
      <c r="L402" s="24">
        <f>M402-K402</f>
        <v>0</v>
      </c>
      <c r="M402" s="610">
        <f>46270.9+1431.1</f>
        <v>47702</v>
      </c>
      <c r="N402" s="169"/>
    </row>
    <row r="403" spans="1:14" s="141" customFormat="1" ht="36" customHeight="1" x14ac:dyDescent="0.35">
      <c r="A403" s="136"/>
      <c r="B403" s="518" t="s">
        <v>532</v>
      </c>
      <c r="C403" s="137" t="s">
        <v>414</v>
      </c>
      <c r="D403" s="10" t="s">
        <v>224</v>
      </c>
      <c r="E403" s="10" t="s">
        <v>65</v>
      </c>
      <c r="F403" s="91"/>
      <c r="G403" s="92"/>
      <c r="H403" s="92"/>
      <c r="I403" s="93"/>
      <c r="J403" s="94"/>
      <c r="K403" s="268">
        <f t="shared" ref="K403:M407" si="59">K404</f>
        <v>7.2</v>
      </c>
      <c r="L403" s="268">
        <f t="shared" si="59"/>
        <v>0</v>
      </c>
      <c r="M403" s="268">
        <f t="shared" si="59"/>
        <v>7.2</v>
      </c>
      <c r="N403" s="169"/>
    </row>
    <row r="404" spans="1:14" s="141" customFormat="1" ht="54" customHeight="1" x14ac:dyDescent="0.35">
      <c r="A404" s="136"/>
      <c r="B404" s="562" t="s">
        <v>225</v>
      </c>
      <c r="C404" s="137" t="s">
        <v>414</v>
      </c>
      <c r="D404" s="10" t="s">
        <v>224</v>
      </c>
      <c r="E404" s="10" t="s">
        <v>65</v>
      </c>
      <c r="F404" s="102" t="s">
        <v>226</v>
      </c>
      <c r="G404" s="92" t="s">
        <v>42</v>
      </c>
      <c r="H404" s="92" t="s">
        <v>43</v>
      </c>
      <c r="I404" s="93" t="s">
        <v>44</v>
      </c>
      <c r="J404" s="94"/>
      <c r="K404" s="268">
        <f t="shared" si="59"/>
        <v>7.2</v>
      </c>
      <c r="L404" s="268">
        <f t="shared" si="59"/>
        <v>0</v>
      </c>
      <c r="M404" s="268">
        <f t="shared" si="59"/>
        <v>7.2</v>
      </c>
      <c r="N404" s="169"/>
    </row>
    <row r="405" spans="1:14" s="141" customFormat="1" ht="36" customHeight="1" x14ac:dyDescent="0.35">
      <c r="A405" s="136"/>
      <c r="B405" s="584" t="s">
        <v>229</v>
      </c>
      <c r="C405" s="137" t="s">
        <v>414</v>
      </c>
      <c r="D405" s="10" t="s">
        <v>224</v>
      </c>
      <c r="E405" s="10" t="s">
        <v>65</v>
      </c>
      <c r="F405" s="102" t="s">
        <v>226</v>
      </c>
      <c r="G405" s="92" t="s">
        <v>89</v>
      </c>
      <c r="H405" s="92" t="s">
        <v>43</v>
      </c>
      <c r="I405" s="93" t="s">
        <v>44</v>
      </c>
      <c r="J405" s="94"/>
      <c r="K405" s="268">
        <f t="shared" si="59"/>
        <v>7.2</v>
      </c>
      <c r="L405" s="268">
        <f t="shared" si="59"/>
        <v>0</v>
      </c>
      <c r="M405" s="268">
        <f t="shared" si="59"/>
        <v>7.2</v>
      </c>
      <c r="N405" s="169"/>
    </row>
    <row r="406" spans="1:14" s="141" customFormat="1" ht="72" customHeight="1" x14ac:dyDescent="0.35">
      <c r="A406" s="136"/>
      <c r="B406" s="584" t="s">
        <v>301</v>
      </c>
      <c r="C406" s="137" t="s">
        <v>414</v>
      </c>
      <c r="D406" s="10" t="s">
        <v>224</v>
      </c>
      <c r="E406" s="10" t="s">
        <v>65</v>
      </c>
      <c r="F406" s="102" t="s">
        <v>226</v>
      </c>
      <c r="G406" s="92" t="s">
        <v>89</v>
      </c>
      <c r="H406" s="92" t="s">
        <v>37</v>
      </c>
      <c r="I406" s="93" t="s">
        <v>44</v>
      </c>
      <c r="J406" s="94"/>
      <c r="K406" s="268">
        <f t="shared" si="59"/>
        <v>7.2</v>
      </c>
      <c r="L406" s="268">
        <f t="shared" si="59"/>
        <v>0</v>
      </c>
      <c r="M406" s="268">
        <f t="shared" si="59"/>
        <v>7.2</v>
      </c>
      <c r="N406" s="169"/>
    </row>
    <row r="407" spans="1:14" s="141" customFormat="1" ht="36" customHeight="1" x14ac:dyDescent="0.35">
      <c r="A407" s="136"/>
      <c r="B407" s="518" t="s">
        <v>534</v>
      </c>
      <c r="C407" s="137" t="s">
        <v>414</v>
      </c>
      <c r="D407" s="10" t="s">
        <v>224</v>
      </c>
      <c r="E407" s="10" t="s">
        <v>65</v>
      </c>
      <c r="F407" s="102" t="s">
        <v>226</v>
      </c>
      <c r="G407" s="92" t="s">
        <v>89</v>
      </c>
      <c r="H407" s="92" t="s">
        <v>37</v>
      </c>
      <c r="I407" s="93" t="s">
        <v>533</v>
      </c>
      <c r="J407" s="94"/>
      <c r="K407" s="268">
        <f t="shared" si="59"/>
        <v>7.2</v>
      </c>
      <c r="L407" s="268">
        <f t="shared" si="59"/>
        <v>0</v>
      </c>
      <c r="M407" s="268">
        <f t="shared" si="59"/>
        <v>7.2</v>
      </c>
      <c r="N407" s="169"/>
    </row>
    <row r="408" spans="1:14" s="141" customFormat="1" ht="54" customHeight="1" x14ac:dyDescent="0.35">
      <c r="A408" s="136"/>
      <c r="B408" s="518" t="s">
        <v>55</v>
      </c>
      <c r="C408" s="137" t="s">
        <v>414</v>
      </c>
      <c r="D408" s="10" t="s">
        <v>224</v>
      </c>
      <c r="E408" s="10" t="s">
        <v>65</v>
      </c>
      <c r="F408" s="102" t="s">
        <v>226</v>
      </c>
      <c r="G408" s="92" t="s">
        <v>89</v>
      </c>
      <c r="H408" s="92" t="s">
        <v>37</v>
      </c>
      <c r="I408" s="93" t="s">
        <v>533</v>
      </c>
      <c r="J408" s="94" t="s">
        <v>56</v>
      </c>
      <c r="K408" s="447">
        <v>7.2</v>
      </c>
      <c r="L408" s="24">
        <f>M408-K408</f>
        <v>0</v>
      </c>
      <c r="M408" s="447">
        <v>7.2</v>
      </c>
      <c r="N408" s="169"/>
    </row>
    <row r="409" spans="1:14" s="149" customFormat="1" ht="18" customHeight="1" x14ac:dyDescent="0.35">
      <c r="A409" s="147"/>
      <c r="B409" s="585" t="s">
        <v>119</v>
      </c>
      <c r="C409" s="148" t="s">
        <v>414</v>
      </c>
      <c r="D409" s="112" t="s">
        <v>104</v>
      </c>
      <c r="E409" s="138"/>
      <c r="F409" s="109"/>
      <c r="G409" s="110"/>
      <c r="H409" s="110"/>
      <c r="I409" s="111"/>
      <c r="J409" s="112"/>
      <c r="K409" s="183">
        <f t="shared" ref="K409:M410" si="60">K410</f>
        <v>85267.900000000009</v>
      </c>
      <c r="L409" s="183">
        <f t="shared" si="60"/>
        <v>-6.0240300000004936</v>
      </c>
      <c r="M409" s="183">
        <f t="shared" si="60"/>
        <v>85261.875970000008</v>
      </c>
    </row>
    <row r="410" spans="1:14" s="149" customFormat="1" ht="18" customHeight="1" x14ac:dyDescent="0.35">
      <c r="A410" s="147"/>
      <c r="B410" s="573" t="s">
        <v>193</v>
      </c>
      <c r="C410" s="148" t="s">
        <v>414</v>
      </c>
      <c r="D410" s="112" t="s">
        <v>104</v>
      </c>
      <c r="E410" s="112" t="s">
        <v>52</v>
      </c>
      <c r="F410" s="109"/>
      <c r="G410" s="110"/>
      <c r="H410" s="110"/>
      <c r="I410" s="111"/>
      <c r="J410" s="112"/>
      <c r="K410" s="183">
        <f t="shared" si="60"/>
        <v>85267.900000000009</v>
      </c>
      <c r="L410" s="183">
        <f t="shared" si="60"/>
        <v>-6.0240300000004936</v>
      </c>
      <c r="M410" s="183">
        <f t="shared" si="60"/>
        <v>85261.875970000008</v>
      </c>
    </row>
    <row r="411" spans="1:14" s="149" customFormat="1" ht="54" customHeight="1" x14ac:dyDescent="0.35">
      <c r="A411" s="147"/>
      <c r="B411" s="581" t="s">
        <v>230</v>
      </c>
      <c r="C411" s="148" t="s">
        <v>414</v>
      </c>
      <c r="D411" s="112" t="s">
        <v>104</v>
      </c>
      <c r="E411" s="112" t="s">
        <v>52</v>
      </c>
      <c r="F411" s="109" t="s">
        <v>79</v>
      </c>
      <c r="G411" s="110" t="s">
        <v>42</v>
      </c>
      <c r="H411" s="110" t="s">
        <v>43</v>
      </c>
      <c r="I411" s="111" t="s">
        <v>44</v>
      </c>
      <c r="J411" s="112"/>
      <c r="K411" s="183">
        <f t="shared" ref="K411:M413" si="61">K412</f>
        <v>85267.900000000009</v>
      </c>
      <c r="L411" s="183">
        <f t="shared" si="61"/>
        <v>-6.0240300000004936</v>
      </c>
      <c r="M411" s="183">
        <f t="shared" si="61"/>
        <v>85261.875970000008</v>
      </c>
    </row>
    <row r="412" spans="1:14" s="149" customFormat="1" ht="36" customHeight="1" x14ac:dyDescent="0.35">
      <c r="A412" s="147"/>
      <c r="B412" s="573" t="s">
        <v>339</v>
      </c>
      <c r="C412" s="148" t="s">
        <v>414</v>
      </c>
      <c r="D412" s="112" t="s">
        <v>104</v>
      </c>
      <c r="E412" s="112" t="s">
        <v>52</v>
      </c>
      <c r="F412" s="109" t="s">
        <v>79</v>
      </c>
      <c r="G412" s="110" t="s">
        <v>45</v>
      </c>
      <c r="H412" s="110" t="s">
        <v>43</v>
      </c>
      <c r="I412" s="111" t="s">
        <v>44</v>
      </c>
      <c r="J412" s="112"/>
      <c r="K412" s="183">
        <f t="shared" si="61"/>
        <v>85267.900000000009</v>
      </c>
      <c r="L412" s="183">
        <f t="shared" si="61"/>
        <v>-6.0240300000004936</v>
      </c>
      <c r="M412" s="183">
        <f t="shared" si="61"/>
        <v>85261.875970000008</v>
      </c>
    </row>
    <row r="413" spans="1:14" s="150" customFormat="1" ht="90" customHeight="1" x14ac:dyDescent="0.35">
      <c r="A413" s="147"/>
      <c r="B413" s="573" t="s">
        <v>300</v>
      </c>
      <c r="C413" s="148" t="s">
        <v>414</v>
      </c>
      <c r="D413" s="112" t="s">
        <v>104</v>
      </c>
      <c r="E413" s="112" t="s">
        <v>52</v>
      </c>
      <c r="F413" s="109" t="s">
        <v>79</v>
      </c>
      <c r="G413" s="110" t="s">
        <v>45</v>
      </c>
      <c r="H413" s="110" t="s">
        <v>39</v>
      </c>
      <c r="I413" s="111" t="s">
        <v>44</v>
      </c>
      <c r="J413" s="112"/>
      <c r="K413" s="183">
        <f t="shared" si="61"/>
        <v>85267.900000000009</v>
      </c>
      <c r="L413" s="183">
        <f t="shared" si="61"/>
        <v>-6.0240300000004936</v>
      </c>
      <c r="M413" s="183">
        <f t="shared" si="61"/>
        <v>85261.875970000008</v>
      </c>
    </row>
    <row r="414" spans="1:14" s="141" customFormat="1" ht="108" customHeight="1" x14ac:dyDescent="0.35">
      <c r="A414" s="136"/>
      <c r="B414" s="562" t="s">
        <v>416</v>
      </c>
      <c r="C414" s="137" t="s">
        <v>414</v>
      </c>
      <c r="D414" s="138" t="s">
        <v>104</v>
      </c>
      <c r="E414" s="138" t="s">
        <v>52</v>
      </c>
      <c r="F414" s="91" t="s">
        <v>79</v>
      </c>
      <c r="G414" s="92" t="s">
        <v>45</v>
      </c>
      <c r="H414" s="92" t="s">
        <v>39</v>
      </c>
      <c r="I414" s="113" t="s">
        <v>417</v>
      </c>
      <c r="J414" s="94"/>
      <c r="K414" s="140">
        <f t="shared" ref="K414:M414" si="62">K415</f>
        <v>85267.900000000009</v>
      </c>
      <c r="L414" s="140">
        <f t="shared" si="62"/>
        <v>-6.0240300000004936</v>
      </c>
      <c r="M414" s="140">
        <f t="shared" si="62"/>
        <v>85261.875970000008</v>
      </c>
      <c r="N414" s="169"/>
    </row>
    <row r="415" spans="1:14" s="141" customFormat="1" ht="54" customHeight="1" x14ac:dyDescent="0.35">
      <c r="A415" s="136"/>
      <c r="B415" s="524" t="s">
        <v>203</v>
      </c>
      <c r="C415" s="137" t="s">
        <v>414</v>
      </c>
      <c r="D415" s="283" t="s">
        <v>104</v>
      </c>
      <c r="E415" s="283" t="s">
        <v>52</v>
      </c>
      <c r="F415" s="142" t="s">
        <v>79</v>
      </c>
      <c r="G415" s="143" t="s">
        <v>45</v>
      </c>
      <c r="H415" s="143" t="s">
        <v>39</v>
      </c>
      <c r="I415" s="493" t="s">
        <v>417</v>
      </c>
      <c r="J415" s="494" t="s">
        <v>204</v>
      </c>
      <c r="K415" s="140">
        <f>77846.8+7421.1</f>
        <v>85267.900000000009</v>
      </c>
      <c r="L415" s="24">
        <f>M415-K415</f>
        <v>-6.0240300000004936</v>
      </c>
      <c r="M415" s="140">
        <f>77846.8+7421.1-6.02403</f>
        <v>85261.875970000008</v>
      </c>
      <c r="N415" s="169"/>
    </row>
    <row r="416" spans="1:14" s="141" customFormat="1" ht="18" customHeight="1" x14ac:dyDescent="0.35">
      <c r="A416" s="611"/>
      <c r="B416" s="522" t="s">
        <v>322</v>
      </c>
      <c r="C416" s="612" t="s">
        <v>414</v>
      </c>
      <c r="D416" s="28" t="s">
        <v>67</v>
      </c>
      <c r="E416" s="28"/>
      <c r="F416" s="217"/>
      <c r="G416" s="218"/>
      <c r="H416" s="218"/>
      <c r="I416" s="219"/>
      <c r="J416" s="614"/>
      <c r="K416" s="451">
        <f t="shared" ref="K416:M421" si="63">K417</f>
        <v>74276.5</v>
      </c>
      <c r="L416" s="451">
        <f t="shared" si="63"/>
        <v>0</v>
      </c>
      <c r="M416" s="451">
        <f t="shared" si="63"/>
        <v>74276.5</v>
      </c>
      <c r="N416" s="169"/>
    </row>
    <row r="417" spans="1:16" s="141" customFormat="1" ht="18" customHeight="1" x14ac:dyDescent="0.35">
      <c r="A417" s="136"/>
      <c r="B417" s="568" t="s">
        <v>360</v>
      </c>
      <c r="C417" s="137" t="s">
        <v>414</v>
      </c>
      <c r="D417" s="504" t="s">
        <v>67</v>
      </c>
      <c r="E417" s="504" t="s">
        <v>37</v>
      </c>
      <c r="F417" s="25"/>
      <c r="G417" s="26"/>
      <c r="H417" s="26"/>
      <c r="I417" s="613"/>
      <c r="J417" s="600"/>
      <c r="K417" s="280">
        <f t="shared" si="63"/>
        <v>74276.5</v>
      </c>
      <c r="L417" s="280">
        <f t="shared" si="63"/>
        <v>0</v>
      </c>
      <c r="M417" s="280">
        <f t="shared" si="63"/>
        <v>74276.5</v>
      </c>
      <c r="N417" s="169"/>
    </row>
    <row r="418" spans="1:16" s="141" customFormat="1" ht="54" customHeight="1" x14ac:dyDescent="0.35">
      <c r="A418" s="136"/>
      <c r="B418" s="518" t="s">
        <v>217</v>
      </c>
      <c r="C418" s="137" t="s">
        <v>414</v>
      </c>
      <c r="D418" s="10" t="s">
        <v>67</v>
      </c>
      <c r="E418" s="10" t="s">
        <v>37</v>
      </c>
      <c r="F418" s="696" t="s">
        <v>52</v>
      </c>
      <c r="G418" s="697" t="s">
        <v>42</v>
      </c>
      <c r="H418" s="697" t="s">
        <v>43</v>
      </c>
      <c r="I418" s="698" t="s">
        <v>44</v>
      </c>
      <c r="J418" s="94"/>
      <c r="K418" s="280">
        <f t="shared" si="63"/>
        <v>74276.5</v>
      </c>
      <c r="L418" s="280">
        <f t="shared" si="63"/>
        <v>0</v>
      </c>
      <c r="M418" s="280">
        <f t="shared" si="63"/>
        <v>74276.5</v>
      </c>
      <c r="N418" s="169"/>
    </row>
    <row r="419" spans="1:16" s="141" customFormat="1" ht="36" customHeight="1" x14ac:dyDescent="0.35">
      <c r="A419" s="136"/>
      <c r="B419" s="568" t="s">
        <v>339</v>
      </c>
      <c r="C419" s="137" t="s">
        <v>414</v>
      </c>
      <c r="D419" s="10" t="s">
        <v>67</v>
      </c>
      <c r="E419" s="10" t="s">
        <v>37</v>
      </c>
      <c r="F419" s="696" t="s">
        <v>52</v>
      </c>
      <c r="G419" s="697" t="s">
        <v>31</v>
      </c>
      <c r="H419" s="697" t="s">
        <v>43</v>
      </c>
      <c r="I419" s="698" t="s">
        <v>44</v>
      </c>
      <c r="J419" s="94"/>
      <c r="K419" s="280">
        <f t="shared" si="63"/>
        <v>74276.5</v>
      </c>
      <c r="L419" s="280">
        <f t="shared" si="63"/>
        <v>0</v>
      </c>
      <c r="M419" s="280">
        <f t="shared" si="63"/>
        <v>74276.5</v>
      </c>
      <c r="N419" s="169"/>
    </row>
    <row r="420" spans="1:16" s="141" customFormat="1" ht="72" customHeight="1" x14ac:dyDescent="0.35">
      <c r="A420" s="136"/>
      <c r="B420" s="518" t="s">
        <v>411</v>
      </c>
      <c r="C420" s="137" t="s">
        <v>414</v>
      </c>
      <c r="D420" s="10" t="s">
        <v>67</v>
      </c>
      <c r="E420" s="10" t="s">
        <v>37</v>
      </c>
      <c r="F420" s="696" t="s">
        <v>52</v>
      </c>
      <c r="G420" s="697" t="s">
        <v>31</v>
      </c>
      <c r="H420" s="697" t="s">
        <v>63</v>
      </c>
      <c r="I420" s="698" t="s">
        <v>44</v>
      </c>
      <c r="J420" s="94"/>
      <c r="K420" s="280">
        <f>K421+K423</f>
        <v>74276.5</v>
      </c>
      <c r="L420" s="280">
        <f>L421+L423</f>
        <v>0</v>
      </c>
      <c r="M420" s="280">
        <f>M421+M423</f>
        <v>74276.5</v>
      </c>
      <c r="N420" s="169"/>
    </row>
    <row r="421" spans="1:16" s="141" customFormat="1" ht="54" customHeight="1" x14ac:dyDescent="0.35">
      <c r="A421" s="136"/>
      <c r="B421" s="518" t="s">
        <v>219</v>
      </c>
      <c r="C421" s="137" t="s">
        <v>414</v>
      </c>
      <c r="D421" s="10" t="s">
        <v>67</v>
      </c>
      <c r="E421" s="10" t="s">
        <v>37</v>
      </c>
      <c r="F421" s="696" t="s">
        <v>52</v>
      </c>
      <c r="G421" s="697" t="s">
        <v>31</v>
      </c>
      <c r="H421" s="697" t="s">
        <v>63</v>
      </c>
      <c r="I421" s="698" t="s">
        <v>292</v>
      </c>
      <c r="J421" s="94"/>
      <c r="K421" s="280">
        <f t="shared" si="63"/>
        <v>695.20000000000016</v>
      </c>
      <c r="L421" s="280">
        <f t="shared" si="63"/>
        <v>0</v>
      </c>
      <c r="M421" s="280">
        <f t="shared" si="63"/>
        <v>695.20000000000016</v>
      </c>
      <c r="N421" s="169"/>
    </row>
    <row r="422" spans="1:16" s="141" customFormat="1" ht="54" customHeight="1" x14ac:dyDescent="0.35">
      <c r="A422" s="136"/>
      <c r="B422" s="562" t="s">
        <v>203</v>
      </c>
      <c r="C422" s="137" t="s">
        <v>414</v>
      </c>
      <c r="D422" s="10" t="s">
        <v>67</v>
      </c>
      <c r="E422" s="10" t="s">
        <v>37</v>
      </c>
      <c r="F422" s="696" t="s">
        <v>52</v>
      </c>
      <c r="G422" s="697" t="s">
        <v>31</v>
      </c>
      <c r="H422" s="697" t="s">
        <v>63</v>
      </c>
      <c r="I422" s="698" t="s">
        <v>292</v>
      </c>
      <c r="J422" s="94" t="s">
        <v>204</v>
      </c>
      <c r="K422" s="140">
        <f>7338.7-4166.4-630.5-2207.5+360.9</f>
        <v>695.20000000000016</v>
      </c>
      <c r="L422" s="24">
        <f>M422-K422</f>
        <v>0</v>
      </c>
      <c r="M422" s="140">
        <f>7338.7-4166.4-630.5-2207.5+360.9</f>
        <v>695.20000000000016</v>
      </c>
      <c r="N422" s="169"/>
    </row>
    <row r="423" spans="1:16" s="141" customFormat="1" ht="108" customHeight="1" x14ac:dyDescent="0.35">
      <c r="A423" s="136"/>
      <c r="B423" s="562" t="s">
        <v>505</v>
      </c>
      <c r="C423" s="137" t="s">
        <v>414</v>
      </c>
      <c r="D423" s="10" t="s">
        <v>67</v>
      </c>
      <c r="E423" s="10" t="s">
        <v>37</v>
      </c>
      <c r="F423" s="696" t="s">
        <v>52</v>
      </c>
      <c r="G423" s="697" t="s">
        <v>31</v>
      </c>
      <c r="H423" s="697" t="s">
        <v>63</v>
      </c>
      <c r="I423" s="698" t="s">
        <v>504</v>
      </c>
      <c r="J423" s="93"/>
      <c r="K423" s="140">
        <f>K424</f>
        <v>73581.3</v>
      </c>
      <c r="L423" s="188">
        <f>L424</f>
        <v>0</v>
      </c>
      <c r="M423" s="140">
        <f>M424</f>
        <v>73581.3</v>
      </c>
      <c r="N423" s="169"/>
    </row>
    <row r="424" spans="1:16" s="141" customFormat="1" ht="54" customHeight="1" x14ac:dyDescent="0.35">
      <c r="A424" s="136"/>
      <c r="B424" s="562" t="s">
        <v>203</v>
      </c>
      <c r="C424" s="137" t="s">
        <v>414</v>
      </c>
      <c r="D424" s="10" t="s">
        <v>67</v>
      </c>
      <c r="E424" s="10" t="s">
        <v>37</v>
      </c>
      <c r="F424" s="696" t="s">
        <v>52</v>
      </c>
      <c r="G424" s="697" t="s">
        <v>31</v>
      </c>
      <c r="H424" s="697" t="s">
        <v>63</v>
      </c>
      <c r="I424" s="698" t="s">
        <v>504</v>
      </c>
      <c r="J424" s="93" t="s">
        <v>204</v>
      </c>
      <c r="K424" s="280">
        <f>71373.8+2207.5</f>
        <v>73581.3</v>
      </c>
      <c r="L424" s="24">
        <f>M424-K424</f>
        <v>0</v>
      </c>
      <c r="M424" s="280">
        <f>71373.8+2207.5</f>
        <v>73581.3</v>
      </c>
      <c r="N424" s="169"/>
    </row>
    <row r="425" spans="1:16" s="141" customFormat="1" ht="18" customHeight="1" x14ac:dyDescent="0.35">
      <c r="A425" s="136"/>
      <c r="B425" s="562"/>
      <c r="C425" s="164"/>
      <c r="D425" s="165"/>
      <c r="E425" s="165"/>
      <c r="F425" s="166"/>
      <c r="G425" s="167"/>
      <c r="H425" s="167"/>
      <c r="I425" s="168"/>
      <c r="J425" s="165"/>
      <c r="K425" s="140"/>
      <c r="L425" s="274"/>
      <c r="M425" s="140"/>
    </row>
    <row r="426" spans="1:16" s="125" customFormat="1" ht="52.2" customHeight="1" x14ac:dyDescent="0.3">
      <c r="A426" s="120">
        <v>5</v>
      </c>
      <c r="B426" s="565" t="s">
        <v>7</v>
      </c>
      <c r="C426" s="18" t="s">
        <v>425</v>
      </c>
      <c r="D426" s="19"/>
      <c r="E426" s="19"/>
      <c r="F426" s="20"/>
      <c r="G426" s="21"/>
      <c r="H426" s="21"/>
      <c r="I426" s="22"/>
      <c r="J426" s="19"/>
      <c r="K426" s="32">
        <f>K440+K597+K427</f>
        <v>1416318.9053</v>
      </c>
      <c r="L426" s="32">
        <f>L440+L597+L427</f>
        <v>16358.1</v>
      </c>
      <c r="M426" s="32">
        <f>M440+M597+M427</f>
        <v>1432677.0052999998</v>
      </c>
      <c r="N426" s="151"/>
      <c r="O426" s="151"/>
      <c r="P426" s="151"/>
    </row>
    <row r="427" spans="1:16" s="125" customFormat="1" ht="18" customHeight="1" x14ac:dyDescent="0.35">
      <c r="A427" s="120"/>
      <c r="B427" s="520" t="s">
        <v>36</v>
      </c>
      <c r="C427" s="249" t="s">
        <v>425</v>
      </c>
      <c r="D427" s="247" t="s">
        <v>37</v>
      </c>
      <c r="E427" s="90"/>
      <c r="F427" s="250"/>
      <c r="G427" s="96"/>
      <c r="H427" s="96"/>
      <c r="I427" s="97"/>
      <c r="J427" s="90"/>
      <c r="K427" s="220">
        <f t="shared" ref="K427:M428" si="64">K428</f>
        <v>910.6</v>
      </c>
      <c r="L427" s="220">
        <f t="shared" si="64"/>
        <v>0</v>
      </c>
      <c r="M427" s="220">
        <f t="shared" si="64"/>
        <v>910.6</v>
      </c>
      <c r="N427" s="151"/>
      <c r="O427" s="151"/>
    </row>
    <row r="428" spans="1:16" s="125" customFormat="1" ht="18" customHeight="1" x14ac:dyDescent="0.35">
      <c r="A428" s="120"/>
      <c r="B428" s="520" t="s">
        <v>70</v>
      </c>
      <c r="C428" s="251" t="s">
        <v>425</v>
      </c>
      <c r="D428" s="247" t="s">
        <v>37</v>
      </c>
      <c r="E428" s="247" t="s">
        <v>71</v>
      </c>
      <c r="F428" s="250"/>
      <c r="G428" s="96"/>
      <c r="H428" s="96"/>
      <c r="I428" s="97"/>
      <c r="J428" s="90"/>
      <c r="K428" s="220">
        <f t="shared" si="64"/>
        <v>910.6</v>
      </c>
      <c r="L428" s="220">
        <f t="shared" si="64"/>
        <v>0</v>
      </c>
      <c r="M428" s="220">
        <f t="shared" si="64"/>
        <v>910.6</v>
      </c>
      <c r="N428" s="151"/>
      <c r="O428" s="151"/>
    </row>
    <row r="429" spans="1:16" s="125" customFormat="1" ht="54" customHeight="1" x14ac:dyDescent="0.35">
      <c r="A429" s="120"/>
      <c r="B429" s="520" t="s">
        <v>205</v>
      </c>
      <c r="C429" s="249" t="s">
        <v>425</v>
      </c>
      <c r="D429" s="247" t="s">
        <v>37</v>
      </c>
      <c r="E429" s="247" t="s">
        <v>71</v>
      </c>
      <c r="F429" s="689" t="s">
        <v>39</v>
      </c>
      <c r="G429" s="690" t="s">
        <v>42</v>
      </c>
      <c r="H429" s="690" t="s">
        <v>43</v>
      </c>
      <c r="I429" s="691" t="s">
        <v>44</v>
      </c>
      <c r="J429" s="247"/>
      <c r="K429" s="220">
        <f>K430</f>
        <v>910.6</v>
      </c>
      <c r="L429" s="220">
        <f>L430</f>
        <v>0</v>
      </c>
      <c r="M429" s="220">
        <f>M430</f>
        <v>910.6</v>
      </c>
      <c r="N429" s="151"/>
      <c r="O429" s="151"/>
    </row>
    <row r="430" spans="1:16" s="125" customFormat="1" ht="54" customHeight="1" x14ac:dyDescent="0.35">
      <c r="A430" s="120"/>
      <c r="B430" s="586" t="s">
        <v>212</v>
      </c>
      <c r="C430" s="249" t="s">
        <v>425</v>
      </c>
      <c r="D430" s="247" t="s">
        <v>37</v>
      </c>
      <c r="E430" s="247" t="s">
        <v>71</v>
      </c>
      <c r="F430" s="689" t="s">
        <v>39</v>
      </c>
      <c r="G430" s="690" t="s">
        <v>30</v>
      </c>
      <c r="H430" s="690" t="s">
        <v>43</v>
      </c>
      <c r="I430" s="691" t="s">
        <v>44</v>
      </c>
      <c r="J430" s="247"/>
      <c r="K430" s="220">
        <f>K431+K434+K437</f>
        <v>910.6</v>
      </c>
      <c r="L430" s="220">
        <f>L431+L434+L437</f>
        <v>0</v>
      </c>
      <c r="M430" s="220">
        <f>M431+M434+M437</f>
        <v>910.6</v>
      </c>
      <c r="N430" s="151"/>
      <c r="O430" s="151"/>
    </row>
    <row r="431" spans="1:16" s="125" customFormat="1" ht="36" customHeight="1" x14ac:dyDescent="0.35">
      <c r="A431" s="120"/>
      <c r="B431" s="520" t="s">
        <v>351</v>
      </c>
      <c r="C431" s="249" t="s">
        <v>425</v>
      </c>
      <c r="D431" s="247" t="s">
        <v>37</v>
      </c>
      <c r="E431" s="247" t="s">
        <v>71</v>
      </c>
      <c r="F431" s="689" t="s">
        <v>39</v>
      </c>
      <c r="G431" s="690" t="s">
        <v>30</v>
      </c>
      <c r="H431" s="690" t="s">
        <v>63</v>
      </c>
      <c r="I431" s="691" t="s">
        <v>44</v>
      </c>
      <c r="J431" s="247"/>
      <c r="K431" s="220">
        <f t="shared" ref="K431:M432" si="65">K432</f>
        <v>552.6</v>
      </c>
      <c r="L431" s="220">
        <f t="shared" si="65"/>
        <v>0</v>
      </c>
      <c r="M431" s="220">
        <f t="shared" si="65"/>
        <v>552.6</v>
      </c>
      <c r="N431" s="151"/>
      <c r="O431" s="151"/>
    </row>
    <row r="432" spans="1:16" s="125" customFormat="1" ht="54" customHeight="1" x14ac:dyDescent="0.35">
      <c r="A432" s="120"/>
      <c r="B432" s="586" t="s">
        <v>474</v>
      </c>
      <c r="C432" s="251" t="s">
        <v>425</v>
      </c>
      <c r="D432" s="247" t="s">
        <v>37</v>
      </c>
      <c r="E432" s="247" t="s">
        <v>71</v>
      </c>
      <c r="F432" s="689" t="s">
        <v>39</v>
      </c>
      <c r="G432" s="690" t="s">
        <v>30</v>
      </c>
      <c r="H432" s="690" t="s">
        <v>63</v>
      </c>
      <c r="I432" s="691" t="s">
        <v>105</v>
      </c>
      <c r="J432" s="247"/>
      <c r="K432" s="220">
        <f t="shared" si="65"/>
        <v>552.6</v>
      </c>
      <c r="L432" s="220">
        <f t="shared" si="65"/>
        <v>0</v>
      </c>
      <c r="M432" s="220">
        <f t="shared" si="65"/>
        <v>552.6</v>
      </c>
      <c r="N432" s="151"/>
      <c r="O432" s="151"/>
    </row>
    <row r="433" spans="1:15" s="125" customFormat="1" ht="54" customHeight="1" x14ac:dyDescent="0.35">
      <c r="A433" s="120"/>
      <c r="B433" s="586" t="s">
        <v>55</v>
      </c>
      <c r="C433" s="251" t="s">
        <v>425</v>
      </c>
      <c r="D433" s="247" t="s">
        <v>37</v>
      </c>
      <c r="E433" s="247" t="s">
        <v>71</v>
      </c>
      <c r="F433" s="689" t="s">
        <v>39</v>
      </c>
      <c r="G433" s="690" t="s">
        <v>30</v>
      </c>
      <c r="H433" s="690" t="s">
        <v>63</v>
      </c>
      <c r="I433" s="691" t="s">
        <v>105</v>
      </c>
      <c r="J433" s="247" t="s">
        <v>56</v>
      </c>
      <c r="K433" s="220">
        <f>436.7+98.9+17</f>
        <v>552.6</v>
      </c>
      <c r="L433" s="24">
        <f>M433-K433</f>
        <v>0</v>
      </c>
      <c r="M433" s="220">
        <f>436.7+98.9+17</f>
        <v>552.6</v>
      </c>
      <c r="N433" s="151"/>
      <c r="O433" s="151"/>
    </row>
    <row r="434" spans="1:15" s="125" customFormat="1" ht="36" customHeight="1" x14ac:dyDescent="0.35">
      <c r="A434" s="120"/>
      <c r="B434" s="586" t="s">
        <v>470</v>
      </c>
      <c r="C434" s="249" t="s">
        <v>425</v>
      </c>
      <c r="D434" s="247" t="s">
        <v>37</v>
      </c>
      <c r="E434" s="247" t="s">
        <v>71</v>
      </c>
      <c r="F434" s="689" t="s">
        <v>39</v>
      </c>
      <c r="G434" s="690" t="s">
        <v>30</v>
      </c>
      <c r="H434" s="690" t="s">
        <v>52</v>
      </c>
      <c r="I434" s="691" t="s">
        <v>44</v>
      </c>
      <c r="J434" s="247"/>
      <c r="K434" s="220">
        <f t="shared" ref="K434:M435" si="66">K435</f>
        <v>24</v>
      </c>
      <c r="L434" s="220">
        <f t="shared" si="66"/>
        <v>0</v>
      </c>
      <c r="M434" s="220">
        <f t="shared" si="66"/>
        <v>24</v>
      </c>
      <c r="N434" s="151"/>
      <c r="O434" s="151"/>
    </row>
    <row r="435" spans="1:15" s="125" customFormat="1" ht="18" customHeight="1" x14ac:dyDescent="0.35">
      <c r="A435" s="120"/>
      <c r="B435" s="586" t="s">
        <v>475</v>
      </c>
      <c r="C435" s="251" t="s">
        <v>425</v>
      </c>
      <c r="D435" s="247" t="s">
        <v>37</v>
      </c>
      <c r="E435" s="247" t="s">
        <v>71</v>
      </c>
      <c r="F435" s="689" t="s">
        <v>39</v>
      </c>
      <c r="G435" s="690" t="s">
        <v>30</v>
      </c>
      <c r="H435" s="690" t="s">
        <v>52</v>
      </c>
      <c r="I435" s="691" t="s">
        <v>469</v>
      </c>
      <c r="J435" s="247"/>
      <c r="K435" s="220">
        <f t="shared" si="66"/>
        <v>24</v>
      </c>
      <c r="L435" s="220">
        <f t="shared" si="66"/>
        <v>0</v>
      </c>
      <c r="M435" s="220">
        <f t="shared" si="66"/>
        <v>24</v>
      </c>
      <c r="N435" s="151"/>
      <c r="O435" s="151"/>
    </row>
    <row r="436" spans="1:15" s="125" customFormat="1" ht="54" customHeight="1" x14ac:dyDescent="0.35">
      <c r="A436" s="120"/>
      <c r="B436" s="586" t="s">
        <v>55</v>
      </c>
      <c r="C436" s="251" t="s">
        <v>425</v>
      </c>
      <c r="D436" s="247" t="s">
        <v>37</v>
      </c>
      <c r="E436" s="247" t="s">
        <v>71</v>
      </c>
      <c r="F436" s="689" t="s">
        <v>39</v>
      </c>
      <c r="G436" s="690" t="s">
        <v>30</v>
      </c>
      <c r="H436" s="690" t="s">
        <v>52</v>
      </c>
      <c r="I436" s="691" t="s">
        <v>469</v>
      </c>
      <c r="J436" s="247" t="s">
        <v>56</v>
      </c>
      <c r="K436" s="220">
        <v>24</v>
      </c>
      <c r="L436" s="24">
        <f>M436-K436</f>
        <v>0</v>
      </c>
      <c r="M436" s="220">
        <v>24</v>
      </c>
      <c r="N436" s="151"/>
      <c r="O436" s="151"/>
    </row>
    <row r="437" spans="1:15" s="125" customFormat="1" ht="36" customHeight="1" x14ac:dyDescent="0.35">
      <c r="A437" s="120"/>
      <c r="B437" s="586" t="s">
        <v>473</v>
      </c>
      <c r="C437" s="251" t="s">
        <v>425</v>
      </c>
      <c r="D437" s="247" t="s">
        <v>37</v>
      </c>
      <c r="E437" s="247" t="s">
        <v>71</v>
      </c>
      <c r="F437" s="689" t="s">
        <v>39</v>
      </c>
      <c r="G437" s="690" t="s">
        <v>30</v>
      </c>
      <c r="H437" s="690" t="s">
        <v>65</v>
      </c>
      <c r="I437" s="410" t="s">
        <v>44</v>
      </c>
      <c r="J437" s="88"/>
      <c r="K437" s="220">
        <f t="shared" ref="K437:M438" si="67">K438</f>
        <v>334</v>
      </c>
      <c r="L437" s="220">
        <f t="shared" si="67"/>
        <v>0</v>
      </c>
      <c r="M437" s="220">
        <f t="shared" si="67"/>
        <v>334</v>
      </c>
      <c r="N437" s="151"/>
      <c r="O437" s="151"/>
    </row>
    <row r="438" spans="1:15" s="125" customFormat="1" ht="36" customHeight="1" x14ac:dyDescent="0.35">
      <c r="A438" s="120"/>
      <c r="B438" s="586" t="s">
        <v>127</v>
      </c>
      <c r="C438" s="251" t="s">
        <v>425</v>
      </c>
      <c r="D438" s="247" t="s">
        <v>37</v>
      </c>
      <c r="E438" s="247" t="s">
        <v>71</v>
      </c>
      <c r="F438" s="689" t="s">
        <v>39</v>
      </c>
      <c r="G438" s="690" t="s">
        <v>30</v>
      </c>
      <c r="H438" s="690" t="s">
        <v>65</v>
      </c>
      <c r="I438" s="410" t="s">
        <v>90</v>
      </c>
      <c r="J438" s="88"/>
      <c r="K438" s="220">
        <f t="shared" si="67"/>
        <v>334</v>
      </c>
      <c r="L438" s="220">
        <f t="shared" si="67"/>
        <v>0</v>
      </c>
      <c r="M438" s="220">
        <f t="shared" si="67"/>
        <v>334</v>
      </c>
      <c r="N438" s="151"/>
      <c r="O438" s="151"/>
    </row>
    <row r="439" spans="1:15" s="125" customFormat="1" ht="54" customHeight="1" x14ac:dyDescent="0.35">
      <c r="A439" s="120"/>
      <c r="B439" s="586" t="s">
        <v>55</v>
      </c>
      <c r="C439" s="251" t="s">
        <v>425</v>
      </c>
      <c r="D439" s="247" t="s">
        <v>37</v>
      </c>
      <c r="E439" s="247" t="s">
        <v>71</v>
      </c>
      <c r="F439" s="689" t="s">
        <v>39</v>
      </c>
      <c r="G439" s="690" t="s">
        <v>30</v>
      </c>
      <c r="H439" s="690" t="s">
        <v>65</v>
      </c>
      <c r="I439" s="410" t="s">
        <v>90</v>
      </c>
      <c r="J439" s="88" t="s">
        <v>56</v>
      </c>
      <c r="K439" s="220">
        <f>296.5+37.5</f>
        <v>334</v>
      </c>
      <c r="L439" s="24">
        <f>M439-K439</f>
        <v>0</v>
      </c>
      <c r="M439" s="220">
        <f>296.5+37.5</f>
        <v>334</v>
      </c>
      <c r="N439" s="151"/>
      <c r="O439" s="151"/>
    </row>
    <row r="440" spans="1:15" s="126" customFormat="1" ht="18" customHeight="1" x14ac:dyDescent="0.35">
      <c r="A440" s="11"/>
      <c r="B440" s="518" t="s">
        <v>179</v>
      </c>
      <c r="C440" s="23" t="s">
        <v>425</v>
      </c>
      <c r="D440" s="10" t="s">
        <v>224</v>
      </c>
      <c r="E440" s="10"/>
      <c r="F440" s="696"/>
      <c r="G440" s="697"/>
      <c r="H440" s="697"/>
      <c r="I440" s="698"/>
      <c r="J440" s="10"/>
      <c r="K440" s="24">
        <f>K441+K475+K567+K536</f>
        <v>1408195.4053</v>
      </c>
      <c r="L440" s="24">
        <f>L441+L475+L567+L536</f>
        <v>16358.1</v>
      </c>
      <c r="M440" s="24">
        <f>M441+M475+M567+M536</f>
        <v>1424553.5052999998</v>
      </c>
      <c r="N440" s="152"/>
      <c r="O440" s="152"/>
    </row>
    <row r="441" spans="1:15" s="125" customFormat="1" ht="18" customHeight="1" x14ac:dyDescent="0.35">
      <c r="A441" s="11"/>
      <c r="B441" s="518" t="s">
        <v>181</v>
      </c>
      <c r="C441" s="23" t="s">
        <v>425</v>
      </c>
      <c r="D441" s="10" t="s">
        <v>224</v>
      </c>
      <c r="E441" s="10" t="s">
        <v>37</v>
      </c>
      <c r="F441" s="696"/>
      <c r="G441" s="697"/>
      <c r="H441" s="697"/>
      <c r="I441" s="698"/>
      <c r="J441" s="10"/>
      <c r="K441" s="24">
        <f>K442+K461+K470</f>
        <v>410167.2</v>
      </c>
      <c r="L441" s="24">
        <f>L442+L461+L470</f>
        <v>67.700000000000728</v>
      </c>
      <c r="M441" s="24">
        <f>M442+M461+M470</f>
        <v>410234.89999999997</v>
      </c>
    </row>
    <row r="442" spans="1:15" s="125" customFormat="1" ht="54" customHeight="1" x14ac:dyDescent="0.35">
      <c r="A442" s="11"/>
      <c r="B442" s="518" t="s">
        <v>205</v>
      </c>
      <c r="C442" s="23" t="s">
        <v>425</v>
      </c>
      <c r="D442" s="10" t="s">
        <v>224</v>
      </c>
      <c r="E442" s="10" t="s">
        <v>37</v>
      </c>
      <c r="F442" s="696" t="s">
        <v>39</v>
      </c>
      <c r="G442" s="697" t="s">
        <v>42</v>
      </c>
      <c r="H442" s="697" t="s">
        <v>43</v>
      </c>
      <c r="I442" s="698" t="s">
        <v>44</v>
      </c>
      <c r="J442" s="10"/>
      <c r="K442" s="24">
        <f t="shared" ref="K442:M443" si="68">K443</f>
        <v>408757.3</v>
      </c>
      <c r="L442" s="24">
        <f t="shared" si="68"/>
        <v>67.700000000000728</v>
      </c>
      <c r="M442" s="24">
        <f t="shared" si="68"/>
        <v>408824.99999999994</v>
      </c>
    </row>
    <row r="443" spans="1:15" s="125" customFormat="1" ht="36" customHeight="1" x14ac:dyDescent="0.35">
      <c r="A443" s="11"/>
      <c r="B443" s="518" t="s">
        <v>206</v>
      </c>
      <c r="C443" s="23" t="s">
        <v>425</v>
      </c>
      <c r="D443" s="10" t="s">
        <v>224</v>
      </c>
      <c r="E443" s="10" t="s">
        <v>37</v>
      </c>
      <c r="F443" s="696" t="s">
        <v>39</v>
      </c>
      <c r="G443" s="697" t="s">
        <v>45</v>
      </c>
      <c r="H443" s="697" t="s">
        <v>43</v>
      </c>
      <c r="I443" s="698" t="s">
        <v>44</v>
      </c>
      <c r="J443" s="10"/>
      <c r="K443" s="24">
        <f t="shared" si="68"/>
        <v>408757.3</v>
      </c>
      <c r="L443" s="24">
        <f t="shared" si="68"/>
        <v>67.700000000000728</v>
      </c>
      <c r="M443" s="24">
        <f t="shared" si="68"/>
        <v>408824.99999999994</v>
      </c>
    </row>
    <row r="444" spans="1:15" s="125" customFormat="1" ht="36" customHeight="1" x14ac:dyDescent="0.35">
      <c r="A444" s="11"/>
      <c r="B444" s="518" t="s">
        <v>267</v>
      </c>
      <c r="C444" s="23" t="s">
        <v>425</v>
      </c>
      <c r="D444" s="10" t="s">
        <v>224</v>
      </c>
      <c r="E444" s="10" t="s">
        <v>37</v>
      </c>
      <c r="F444" s="696" t="s">
        <v>39</v>
      </c>
      <c r="G444" s="697" t="s">
        <v>45</v>
      </c>
      <c r="H444" s="697" t="s">
        <v>37</v>
      </c>
      <c r="I444" s="698" t="s">
        <v>44</v>
      </c>
      <c r="J444" s="10"/>
      <c r="K444" s="24">
        <f>K453+K455+K445+K449+K447+K451+K459+K457</f>
        <v>408757.3</v>
      </c>
      <c r="L444" s="24">
        <f>L453+L455+L445+L449+L447+L451+L459+L457</f>
        <v>67.700000000000728</v>
      </c>
      <c r="M444" s="24">
        <f>M453+M455+M445+M449+M447+M451+M459+M457</f>
        <v>408824.99999999994</v>
      </c>
      <c r="N444" s="184"/>
    </row>
    <row r="445" spans="1:15" s="121" customFormat="1" ht="36" customHeight="1" x14ac:dyDescent="0.35">
      <c r="A445" s="11"/>
      <c r="B445" s="551" t="s">
        <v>466</v>
      </c>
      <c r="C445" s="23" t="s">
        <v>425</v>
      </c>
      <c r="D445" s="10" t="s">
        <v>224</v>
      </c>
      <c r="E445" s="10" t="s">
        <v>37</v>
      </c>
      <c r="F445" s="696" t="s">
        <v>39</v>
      </c>
      <c r="G445" s="697" t="s">
        <v>45</v>
      </c>
      <c r="H445" s="697" t="s">
        <v>37</v>
      </c>
      <c r="I445" s="698" t="s">
        <v>91</v>
      </c>
      <c r="J445" s="10"/>
      <c r="K445" s="24">
        <f>K446</f>
        <v>102182.79999999999</v>
      </c>
      <c r="L445" s="24">
        <f>L446</f>
        <v>0</v>
      </c>
      <c r="M445" s="24">
        <f>M446</f>
        <v>102182.79999999999</v>
      </c>
      <c r="N445" s="185"/>
    </row>
    <row r="446" spans="1:15" s="121" customFormat="1" ht="54" customHeight="1" x14ac:dyDescent="0.35">
      <c r="A446" s="11"/>
      <c r="B446" s="518" t="s">
        <v>76</v>
      </c>
      <c r="C446" s="23" t="s">
        <v>425</v>
      </c>
      <c r="D446" s="10" t="s">
        <v>224</v>
      </c>
      <c r="E446" s="10" t="s">
        <v>37</v>
      </c>
      <c r="F446" s="696" t="s">
        <v>39</v>
      </c>
      <c r="G446" s="697" t="s">
        <v>45</v>
      </c>
      <c r="H446" s="697" t="s">
        <v>37</v>
      </c>
      <c r="I446" s="698" t="s">
        <v>91</v>
      </c>
      <c r="J446" s="10" t="s">
        <v>77</v>
      </c>
      <c r="K446" s="24">
        <f>101810-0.1+50+322.9</f>
        <v>102182.79999999999</v>
      </c>
      <c r="L446" s="24">
        <f>M446-K446</f>
        <v>0</v>
      </c>
      <c r="M446" s="24">
        <f>101810-0.1+50+322.9</f>
        <v>102182.79999999999</v>
      </c>
      <c r="N446" s="185"/>
    </row>
    <row r="447" spans="1:15" s="121" customFormat="1" ht="18" customHeight="1" x14ac:dyDescent="0.35">
      <c r="A447" s="11"/>
      <c r="B447" s="518" t="s">
        <v>467</v>
      </c>
      <c r="C447" s="23" t="s">
        <v>425</v>
      </c>
      <c r="D447" s="10" t="s">
        <v>224</v>
      </c>
      <c r="E447" s="10" t="s">
        <v>37</v>
      </c>
      <c r="F447" s="696" t="s">
        <v>39</v>
      </c>
      <c r="G447" s="697" t="s">
        <v>45</v>
      </c>
      <c r="H447" s="697" t="s">
        <v>37</v>
      </c>
      <c r="I447" s="698" t="s">
        <v>381</v>
      </c>
      <c r="J447" s="10"/>
      <c r="K447" s="24">
        <f>K448</f>
        <v>15970.1</v>
      </c>
      <c r="L447" s="24">
        <f>L448</f>
        <v>-15</v>
      </c>
      <c r="M447" s="24">
        <f>M448</f>
        <v>15955.1</v>
      </c>
      <c r="N447" s="185"/>
    </row>
    <row r="448" spans="1:15" s="121" customFormat="1" ht="54" customHeight="1" x14ac:dyDescent="0.35">
      <c r="A448" s="11"/>
      <c r="B448" s="518" t="s">
        <v>76</v>
      </c>
      <c r="C448" s="23" t="s">
        <v>425</v>
      </c>
      <c r="D448" s="10" t="s">
        <v>224</v>
      </c>
      <c r="E448" s="10" t="s">
        <v>37</v>
      </c>
      <c r="F448" s="696" t="s">
        <v>39</v>
      </c>
      <c r="G448" s="697" t="s">
        <v>45</v>
      </c>
      <c r="H448" s="697" t="s">
        <v>37</v>
      </c>
      <c r="I448" s="698" t="s">
        <v>381</v>
      </c>
      <c r="J448" s="10" t="s">
        <v>77</v>
      </c>
      <c r="K448" s="24">
        <f>10239.7+473.772+460.884+473.844+319.1+529.5+653.4+9.035+563.1+100.4+141.3+160.9+111.331+56.634+566.5+367.2+817-73.5</f>
        <v>15970.1</v>
      </c>
      <c r="L448" s="24">
        <f>M448-K448</f>
        <v>-15</v>
      </c>
      <c r="M448" s="24">
        <f>10239.7+473.772+460.884+473.844+319.1+529.5+653.4+9.035+563.1+100.4+141.3+160.9+111.331+56.634+566.5+367.2+817-73.5-15</f>
        <v>15955.1</v>
      </c>
      <c r="N448" s="185"/>
    </row>
    <row r="449" spans="1:14" s="125" customFormat="1" ht="54" customHeight="1" x14ac:dyDescent="0.35">
      <c r="A449" s="11"/>
      <c r="B449" s="518" t="s">
        <v>207</v>
      </c>
      <c r="C449" s="23" t="s">
        <v>425</v>
      </c>
      <c r="D449" s="10" t="s">
        <v>224</v>
      </c>
      <c r="E449" s="10" t="s">
        <v>37</v>
      </c>
      <c r="F449" s="696" t="s">
        <v>39</v>
      </c>
      <c r="G449" s="697" t="s">
        <v>45</v>
      </c>
      <c r="H449" s="697" t="s">
        <v>37</v>
      </c>
      <c r="I449" s="698" t="s">
        <v>273</v>
      </c>
      <c r="J449" s="10"/>
      <c r="K449" s="24">
        <f>K450</f>
        <v>30904.9</v>
      </c>
      <c r="L449" s="24">
        <f>L450</f>
        <v>82.700000000000728</v>
      </c>
      <c r="M449" s="24">
        <f>M450</f>
        <v>30987.600000000002</v>
      </c>
      <c r="N449" s="184"/>
    </row>
    <row r="450" spans="1:14" s="125" customFormat="1" ht="54" customHeight="1" x14ac:dyDescent="0.35">
      <c r="A450" s="11"/>
      <c r="B450" s="518" t="s">
        <v>76</v>
      </c>
      <c r="C450" s="23" t="s">
        <v>425</v>
      </c>
      <c r="D450" s="10" t="s">
        <v>224</v>
      </c>
      <c r="E450" s="10" t="s">
        <v>37</v>
      </c>
      <c r="F450" s="696" t="s">
        <v>39</v>
      </c>
      <c r="G450" s="697" t="s">
        <v>45</v>
      </c>
      <c r="H450" s="697" t="s">
        <v>37</v>
      </c>
      <c r="I450" s="698" t="s">
        <v>273</v>
      </c>
      <c r="J450" s="10" t="s">
        <v>77</v>
      </c>
      <c r="K450" s="24">
        <f>28269.9+735.9+362+724+36+81.5+50+46.6+98.4+82.1+85+247.3+5.2+45+36</f>
        <v>30904.9</v>
      </c>
      <c r="L450" s="24">
        <f>M450-K450</f>
        <v>82.700000000000728</v>
      </c>
      <c r="M450" s="24">
        <f>28269.9+735.9+362+724+36+81.5+50+46.6+98.4+82.1+85+247.3+5.2+45+36+82.7</f>
        <v>30987.600000000002</v>
      </c>
      <c r="N450" s="184"/>
    </row>
    <row r="451" spans="1:14" s="125" customFormat="1" ht="36" customHeight="1" x14ac:dyDescent="0.35">
      <c r="A451" s="11"/>
      <c r="B451" s="518" t="s">
        <v>208</v>
      </c>
      <c r="C451" s="23" t="s">
        <v>425</v>
      </c>
      <c r="D451" s="10" t="s">
        <v>224</v>
      </c>
      <c r="E451" s="10" t="s">
        <v>37</v>
      </c>
      <c r="F451" s="696" t="s">
        <v>39</v>
      </c>
      <c r="G451" s="697" t="s">
        <v>45</v>
      </c>
      <c r="H451" s="697" t="s">
        <v>37</v>
      </c>
      <c r="I451" s="698" t="s">
        <v>274</v>
      </c>
      <c r="J451" s="10"/>
      <c r="K451" s="24">
        <f>K452</f>
        <v>1209.6999999999998</v>
      </c>
      <c r="L451" s="24">
        <f>L452</f>
        <v>0</v>
      </c>
      <c r="M451" s="24">
        <f>M452</f>
        <v>1209.6999999999998</v>
      </c>
      <c r="N451" s="184"/>
    </row>
    <row r="452" spans="1:14" s="121" customFormat="1" ht="54" customHeight="1" x14ac:dyDescent="0.35">
      <c r="A452" s="11"/>
      <c r="B452" s="518" t="s">
        <v>76</v>
      </c>
      <c r="C452" s="23" t="s">
        <v>425</v>
      </c>
      <c r="D452" s="10" t="s">
        <v>224</v>
      </c>
      <c r="E452" s="10" t="s">
        <v>37</v>
      </c>
      <c r="F452" s="696" t="s">
        <v>39</v>
      </c>
      <c r="G452" s="697" t="s">
        <v>45</v>
      </c>
      <c r="H452" s="697" t="s">
        <v>37</v>
      </c>
      <c r="I452" s="698" t="s">
        <v>274</v>
      </c>
      <c r="J452" s="10" t="s">
        <v>77</v>
      </c>
      <c r="K452" s="24">
        <f>80.8+400+300+159.9+269</f>
        <v>1209.6999999999998</v>
      </c>
      <c r="L452" s="24">
        <f>M452-K452</f>
        <v>0</v>
      </c>
      <c r="M452" s="24">
        <f>80.8+400+300+159.9+269</f>
        <v>1209.6999999999998</v>
      </c>
      <c r="N452" s="185"/>
    </row>
    <row r="453" spans="1:14" s="125" customFormat="1" ht="180" customHeight="1" x14ac:dyDescent="0.35">
      <c r="A453" s="11"/>
      <c r="B453" s="518" t="s">
        <v>268</v>
      </c>
      <c r="C453" s="23" t="s">
        <v>425</v>
      </c>
      <c r="D453" s="10" t="s">
        <v>224</v>
      </c>
      <c r="E453" s="10" t="s">
        <v>37</v>
      </c>
      <c r="F453" s="696" t="s">
        <v>39</v>
      </c>
      <c r="G453" s="697" t="s">
        <v>45</v>
      </c>
      <c r="H453" s="697" t="s">
        <v>37</v>
      </c>
      <c r="I453" s="698" t="s">
        <v>269</v>
      </c>
      <c r="J453" s="10"/>
      <c r="K453" s="24">
        <f>K454</f>
        <v>536.4</v>
      </c>
      <c r="L453" s="24">
        <f>L454</f>
        <v>0</v>
      </c>
      <c r="M453" s="24">
        <f>M454</f>
        <v>536.4</v>
      </c>
      <c r="N453" s="184"/>
    </row>
    <row r="454" spans="1:14" s="125" customFormat="1" ht="54" customHeight="1" x14ac:dyDescent="0.35">
      <c r="A454" s="11"/>
      <c r="B454" s="518" t="s">
        <v>76</v>
      </c>
      <c r="C454" s="23" t="s">
        <v>425</v>
      </c>
      <c r="D454" s="10" t="s">
        <v>224</v>
      </c>
      <c r="E454" s="10" t="s">
        <v>37</v>
      </c>
      <c r="F454" s="696" t="s">
        <v>39</v>
      </c>
      <c r="G454" s="697" t="s">
        <v>45</v>
      </c>
      <c r="H454" s="697" t="s">
        <v>37</v>
      </c>
      <c r="I454" s="698" t="s">
        <v>269</v>
      </c>
      <c r="J454" s="10" t="s">
        <v>77</v>
      </c>
      <c r="K454" s="24">
        <v>536.4</v>
      </c>
      <c r="L454" s="24">
        <f>M454-K454</f>
        <v>0</v>
      </c>
      <c r="M454" s="24">
        <v>536.4</v>
      </c>
    </row>
    <row r="455" spans="1:14" s="125" customFormat="1" ht="108" customHeight="1" x14ac:dyDescent="0.35">
      <c r="A455" s="11"/>
      <c r="B455" s="518" t="s">
        <v>345</v>
      </c>
      <c r="C455" s="23" t="s">
        <v>425</v>
      </c>
      <c r="D455" s="10" t="s">
        <v>224</v>
      </c>
      <c r="E455" s="10" t="s">
        <v>37</v>
      </c>
      <c r="F455" s="696" t="s">
        <v>39</v>
      </c>
      <c r="G455" s="697" t="s">
        <v>45</v>
      </c>
      <c r="H455" s="697" t="s">
        <v>37</v>
      </c>
      <c r="I455" s="698" t="s">
        <v>270</v>
      </c>
      <c r="J455" s="10"/>
      <c r="K455" s="24">
        <f>K456</f>
        <v>251582.4</v>
      </c>
      <c r="L455" s="24">
        <f>L456</f>
        <v>0</v>
      </c>
      <c r="M455" s="24">
        <f>M456</f>
        <v>251582.4</v>
      </c>
    </row>
    <row r="456" spans="1:14" s="125" customFormat="1" ht="54" customHeight="1" x14ac:dyDescent="0.35">
      <c r="A456" s="11"/>
      <c r="B456" s="518" t="s">
        <v>76</v>
      </c>
      <c r="C456" s="23" t="s">
        <v>425</v>
      </c>
      <c r="D456" s="10" t="s">
        <v>224</v>
      </c>
      <c r="E456" s="10" t="s">
        <v>37</v>
      </c>
      <c r="F456" s="696" t="s">
        <v>39</v>
      </c>
      <c r="G456" s="697" t="s">
        <v>45</v>
      </c>
      <c r="H456" s="697" t="s">
        <v>37</v>
      </c>
      <c r="I456" s="698" t="s">
        <v>270</v>
      </c>
      <c r="J456" s="10" t="s">
        <v>77</v>
      </c>
      <c r="K456" s="24">
        <f>249099.8+2482.6</f>
        <v>251582.4</v>
      </c>
      <c r="L456" s="24">
        <f>M456-K456</f>
        <v>0</v>
      </c>
      <c r="M456" s="24">
        <f>249099.8+2482.6</f>
        <v>251582.4</v>
      </c>
    </row>
    <row r="457" spans="1:14" s="125" customFormat="1" ht="54" customHeight="1" x14ac:dyDescent="0.35">
      <c r="A457" s="11"/>
      <c r="B457" s="601" t="s">
        <v>697</v>
      </c>
      <c r="C457" s="23" t="s">
        <v>425</v>
      </c>
      <c r="D457" s="10" t="s">
        <v>224</v>
      </c>
      <c r="E457" s="10" t="s">
        <v>37</v>
      </c>
      <c r="F457" s="696" t="s">
        <v>39</v>
      </c>
      <c r="G457" s="697" t="s">
        <v>45</v>
      </c>
      <c r="H457" s="697" t="s">
        <v>37</v>
      </c>
      <c r="I457" s="698" t="s">
        <v>696</v>
      </c>
      <c r="J457" s="10"/>
      <c r="K457" s="24">
        <f>K458</f>
        <v>4901.7</v>
      </c>
      <c r="L457" s="24">
        <f>L458</f>
        <v>0</v>
      </c>
      <c r="M457" s="24">
        <f>M458</f>
        <v>4901.7</v>
      </c>
    </row>
    <row r="458" spans="1:14" s="125" customFormat="1" ht="54" customHeight="1" x14ac:dyDescent="0.35">
      <c r="A458" s="11"/>
      <c r="B458" s="601" t="s">
        <v>76</v>
      </c>
      <c r="C458" s="23" t="s">
        <v>425</v>
      </c>
      <c r="D458" s="10" t="s">
        <v>224</v>
      </c>
      <c r="E458" s="10" t="s">
        <v>37</v>
      </c>
      <c r="F458" s="696" t="s">
        <v>39</v>
      </c>
      <c r="G458" s="697" t="s">
        <v>45</v>
      </c>
      <c r="H458" s="697" t="s">
        <v>37</v>
      </c>
      <c r="I458" s="698" t="s">
        <v>696</v>
      </c>
      <c r="J458" s="10" t="s">
        <v>77</v>
      </c>
      <c r="K458" s="24">
        <v>4901.7</v>
      </c>
      <c r="L458" s="24">
        <f>M458-K458</f>
        <v>0</v>
      </c>
      <c r="M458" s="24">
        <v>4901.7</v>
      </c>
    </row>
    <row r="459" spans="1:14" s="125" customFormat="1" ht="205.8" customHeight="1" x14ac:dyDescent="0.35">
      <c r="A459" s="11"/>
      <c r="B459" s="518" t="s">
        <v>554</v>
      </c>
      <c r="C459" s="23" t="s">
        <v>425</v>
      </c>
      <c r="D459" s="10" t="s">
        <v>224</v>
      </c>
      <c r="E459" s="10" t="s">
        <v>37</v>
      </c>
      <c r="F459" s="696" t="s">
        <v>39</v>
      </c>
      <c r="G459" s="697" t="s">
        <v>45</v>
      </c>
      <c r="H459" s="697" t="s">
        <v>37</v>
      </c>
      <c r="I459" s="698" t="s">
        <v>555</v>
      </c>
      <c r="J459" s="10"/>
      <c r="K459" s="24">
        <f>K460</f>
        <v>1469.3</v>
      </c>
      <c r="L459" s="24">
        <f>L460</f>
        <v>0</v>
      </c>
      <c r="M459" s="24">
        <f>M460</f>
        <v>1469.3</v>
      </c>
    </row>
    <row r="460" spans="1:14" s="125" customFormat="1" ht="54" customHeight="1" x14ac:dyDescent="0.35">
      <c r="A460" s="11"/>
      <c r="B460" s="518" t="s">
        <v>76</v>
      </c>
      <c r="C460" s="23" t="s">
        <v>425</v>
      </c>
      <c r="D460" s="10" t="s">
        <v>224</v>
      </c>
      <c r="E460" s="10" t="s">
        <v>37</v>
      </c>
      <c r="F460" s="696" t="s">
        <v>39</v>
      </c>
      <c r="G460" s="697" t="s">
        <v>45</v>
      </c>
      <c r="H460" s="697" t="s">
        <v>37</v>
      </c>
      <c r="I460" s="698" t="s">
        <v>555</v>
      </c>
      <c r="J460" s="10" t="s">
        <v>77</v>
      </c>
      <c r="K460" s="24">
        <v>1469.3</v>
      </c>
      <c r="L460" s="24">
        <f>M460-K460</f>
        <v>0</v>
      </c>
      <c r="M460" s="24">
        <v>1469.3</v>
      </c>
    </row>
    <row r="461" spans="1:14" s="121" customFormat="1" ht="54" customHeight="1" x14ac:dyDescent="0.35">
      <c r="A461" s="11"/>
      <c r="B461" s="518" t="s">
        <v>80</v>
      </c>
      <c r="C461" s="23" t="s">
        <v>425</v>
      </c>
      <c r="D461" s="10" t="s">
        <v>224</v>
      </c>
      <c r="E461" s="10" t="s">
        <v>37</v>
      </c>
      <c r="F461" s="696" t="s">
        <v>81</v>
      </c>
      <c r="G461" s="697" t="s">
        <v>42</v>
      </c>
      <c r="H461" s="697" t="s">
        <v>43</v>
      </c>
      <c r="I461" s="698" t="s">
        <v>44</v>
      </c>
      <c r="J461" s="10"/>
      <c r="K461" s="24">
        <f t="shared" ref="K461:M462" si="69">K462</f>
        <v>1356.5</v>
      </c>
      <c r="L461" s="24">
        <f t="shared" si="69"/>
        <v>0</v>
      </c>
      <c r="M461" s="24">
        <f t="shared" si="69"/>
        <v>1356.5</v>
      </c>
    </row>
    <row r="462" spans="1:14" s="125" customFormat="1" ht="36" customHeight="1" x14ac:dyDescent="0.35">
      <c r="A462" s="11"/>
      <c r="B462" s="518" t="s">
        <v>125</v>
      </c>
      <c r="C462" s="23" t="s">
        <v>425</v>
      </c>
      <c r="D462" s="10" t="s">
        <v>224</v>
      </c>
      <c r="E462" s="10" t="s">
        <v>37</v>
      </c>
      <c r="F462" s="696" t="s">
        <v>81</v>
      </c>
      <c r="G462" s="697" t="s">
        <v>89</v>
      </c>
      <c r="H462" s="697" t="s">
        <v>43</v>
      </c>
      <c r="I462" s="698" t="s">
        <v>44</v>
      </c>
      <c r="J462" s="10"/>
      <c r="K462" s="24">
        <f t="shared" si="69"/>
        <v>1356.5</v>
      </c>
      <c r="L462" s="24">
        <f>L463</f>
        <v>0</v>
      </c>
      <c r="M462" s="24">
        <f t="shared" si="69"/>
        <v>1356.5</v>
      </c>
    </row>
    <row r="463" spans="1:14" s="125" customFormat="1" ht="36" customHeight="1" x14ac:dyDescent="0.35">
      <c r="A463" s="11"/>
      <c r="B463" s="518" t="s">
        <v>271</v>
      </c>
      <c r="C463" s="23" t="s">
        <v>425</v>
      </c>
      <c r="D463" s="10" t="s">
        <v>224</v>
      </c>
      <c r="E463" s="10" t="s">
        <v>37</v>
      </c>
      <c r="F463" s="696" t="s">
        <v>81</v>
      </c>
      <c r="G463" s="697" t="s">
        <v>89</v>
      </c>
      <c r="H463" s="697" t="s">
        <v>37</v>
      </c>
      <c r="I463" s="698" t="s">
        <v>44</v>
      </c>
      <c r="J463" s="10"/>
      <c r="K463" s="24">
        <f>K464+K468+K466</f>
        <v>1356.5</v>
      </c>
      <c r="L463" s="24">
        <f>L464+L468+L466</f>
        <v>0</v>
      </c>
      <c r="M463" s="24">
        <f>M464+M468+M466</f>
        <v>1356.5</v>
      </c>
    </row>
    <row r="464" spans="1:14" s="125" customFormat="1" ht="18" customHeight="1" x14ac:dyDescent="0.35">
      <c r="A464" s="11"/>
      <c r="B464" s="518" t="s">
        <v>467</v>
      </c>
      <c r="C464" s="23" t="s">
        <v>425</v>
      </c>
      <c r="D464" s="10" t="s">
        <v>224</v>
      </c>
      <c r="E464" s="10" t="s">
        <v>37</v>
      </c>
      <c r="F464" s="696" t="s">
        <v>81</v>
      </c>
      <c r="G464" s="697" t="s">
        <v>89</v>
      </c>
      <c r="H464" s="697" t="s">
        <v>37</v>
      </c>
      <c r="I464" s="698" t="s">
        <v>381</v>
      </c>
      <c r="J464" s="10"/>
      <c r="K464" s="24">
        <f>K465</f>
        <v>518.29999999999995</v>
      </c>
      <c r="L464" s="24">
        <f>L465</f>
        <v>0</v>
      </c>
      <c r="M464" s="24">
        <f>M465</f>
        <v>518.29999999999995</v>
      </c>
    </row>
    <row r="465" spans="1:13" s="125" customFormat="1" ht="54" customHeight="1" x14ac:dyDescent="0.35">
      <c r="A465" s="11"/>
      <c r="B465" s="518" t="s">
        <v>76</v>
      </c>
      <c r="C465" s="23" t="s">
        <v>425</v>
      </c>
      <c r="D465" s="10" t="s">
        <v>224</v>
      </c>
      <c r="E465" s="10" t="s">
        <v>37</v>
      </c>
      <c r="F465" s="696" t="s">
        <v>81</v>
      </c>
      <c r="G465" s="697" t="s">
        <v>89</v>
      </c>
      <c r="H465" s="697" t="s">
        <v>37</v>
      </c>
      <c r="I465" s="698" t="s">
        <v>381</v>
      </c>
      <c r="J465" s="10" t="s">
        <v>77</v>
      </c>
      <c r="K465" s="24">
        <v>518.29999999999995</v>
      </c>
      <c r="L465" s="24">
        <f>M465-K465</f>
        <v>0</v>
      </c>
      <c r="M465" s="24">
        <v>518.29999999999995</v>
      </c>
    </row>
    <row r="466" spans="1:13" s="125" customFormat="1" ht="46.2" customHeight="1" x14ac:dyDescent="0.35">
      <c r="A466" s="11"/>
      <c r="B466" s="518" t="s">
        <v>127</v>
      </c>
      <c r="C466" s="23" t="s">
        <v>425</v>
      </c>
      <c r="D466" s="10" t="s">
        <v>224</v>
      </c>
      <c r="E466" s="10" t="s">
        <v>37</v>
      </c>
      <c r="F466" s="696" t="s">
        <v>81</v>
      </c>
      <c r="G466" s="697" t="s">
        <v>89</v>
      </c>
      <c r="H466" s="697" t="s">
        <v>37</v>
      </c>
      <c r="I466" s="698" t="s">
        <v>90</v>
      </c>
      <c r="J466" s="10"/>
      <c r="K466" s="24">
        <f>K467</f>
        <v>209.9</v>
      </c>
      <c r="L466" s="24">
        <f>L467</f>
        <v>0</v>
      </c>
      <c r="M466" s="24">
        <f>M467</f>
        <v>209.9</v>
      </c>
    </row>
    <row r="467" spans="1:13" s="125" customFormat="1" ht="54" customHeight="1" x14ac:dyDescent="0.35">
      <c r="A467" s="11"/>
      <c r="B467" s="518" t="s">
        <v>76</v>
      </c>
      <c r="C467" s="23" t="s">
        <v>425</v>
      </c>
      <c r="D467" s="10" t="s">
        <v>224</v>
      </c>
      <c r="E467" s="10" t="s">
        <v>37</v>
      </c>
      <c r="F467" s="696" t="s">
        <v>81</v>
      </c>
      <c r="G467" s="697" t="s">
        <v>89</v>
      </c>
      <c r="H467" s="697" t="s">
        <v>37</v>
      </c>
      <c r="I467" s="698" t="s">
        <v>90</v>
      </c>
      <c r="J467" s="10" t="s">
        <v>77</v>
      </c>
      <c r="K467" s="24">
        <f>209.9</f>
        <v>209.9</v>
      </c>
      <c r="L467" s="24">
        <f>M467-K467</f>
        <v>0</v>
      </c>
      <c r="M467" s="24">
        <f>209.9</f>
        <v>209.9</v>
      </c>
    </row>
    <row r="468" spans="1:13" s="125" customFormat="1" ht="18" customHeight="1" x14ac:dyDescent="0.35">
      <c r="A468" s="11"/>
      <c r="B468" s="518" t="s">
        <v>429</v>
      </c>
      <c r="C468" s="23" t="s">
        <v>425</v>
      </c>
      <c r="D468" s="10" t="s">
        <v>224</v>
      </c>
      <c r="E468" s="10" t="s">
        <v>37</v>
      </c>
      <c r="F468" s="696" t="s">
        <v>81</v>
      </c>
      <c r="G468" s="697" t="s">
        <v>89</v>
      </c>
      <c r="H468" s="697" t="s">
        <v>37</v>
      </c>
      <c r="I468" s="698" t="s">
        <v>430</v>
      </c>
      <c r="J468" s="10"/>
      <c r="K468" s="24">
        <f t="shared" ref="K468:M468" si="70">K469</f>
        <v>628.29999999999995</v>
      </c>
      <c r="L468" s="24">
        <f t="shared" si="70"/>
        <v>0</v>
      </c>
      <c r="M468" s="24">
        <f t="shared" si="70"/>
        <v>628.29999999999995</v>
      </c>
    </row>
    <row r="469" spans="1:13" s="125" customFormat="1" ht="54" customHeight="1" x14ac:dyDescent="0.35">
      <c r="A469" s="11"/>
      <c r="B469" s="518" t="s">
        <v>76</v>
      </c>
      <c r="C469" s="23" t="s">
        <v>425</v>
      </c>
      <c r="D469" s="10" t="s">
        <v>224</v>
      </c>
      <c r="E469" s="10" t="s">
        <v>37</v>
      </c>
      <c r="F469" s="696" t="s">
        <v>81</v>
      </c>
      <c r="G469" s="697" t="s">
        <v>89</v>
      </c>
      <c r="H469" s="697" t="s">
        <v>37</v>
      </c>
      <c r="I469" s="698" t="s">
        <v>430</v>
      </c>
      <c r="J469" s="10" t="s">
        <v>77</v>
      </c>
      <c r="K469" s="24">
        <v>628.29999999999995</v>
      </c>
      <c r="L469" s="24">
        <f>M469-K469</f>
        <v>0</v>
      </c>
      <c r="M469" s="24">
        <v>628.29999999999995</v>
      </c>
    </row>
    <row r="470" spans="1:13" s="125" customFormat="1" ht="54" customHeight="1" x14ac:dyDescent="0.35">
      <c r="A470" s="11"/>
      <c r="B470" s="518" t="s">
        <v>233</v>
      </c>
      <c r="C470" s="23" t="s">
        <v>425</v>
      </c>
      <c r="D470" s="10" t="s">
        <v>224</v>
      </c>
      <c r="E470" s="10" t="s">
        <v>37</v>
      </c>
      <c r="F470" s="696" t="s">
        <v>234</v>
      </c>
      <c r="G470" s="697" t="s">
        <v>42</v>
      </c>
      <c r="H470" s="697" t="s">
        <v>43</v>
      </c>
      <c r="I470" s="698" t="s">
        <v>44</v>
      </c>
      <c r="J470" s="10"/>
      <c r="K470" s="24">
        <f t="shared" ref="K470:M473" si="71">K471</f>
        <v>53.4</v>
      </c>
      <c r="L470" s="24">
        <f t="shared" si="71"/>
        <v>0</v>
      </c>
      <c r="M470" s="24">
        <f t="shared" si="71"/>
        <v>53.4</v>
      </c>
    </row>
    <row r="471" spans="1:13" s="125" customFormat="1" ht="36" customHeight="1" x14ac:dyDescent="0.35">
      <c r="A471" s="11"/>
      <c r="B471" s="518" t="s">
        <v>339</v>
      </c>
      <c r="C471" s="23" t="s">
        <v>425</v>
      </c>
      <c r="D471" s="10" t="s">
        <v>224</v>
      </c>
      <c r="E471" s="10" t="s">
        <v>37</v>
      </c>
      <c r="F471" s="696" t="s">
        <v>234</v>
      </c>
      <c r="G471" s="697" t="s">
        <v>45</v>
      </c>
      <c r="H471" s="697" t="s">
        <v>43</v>
      </c>
      <c r="I471" s="698" t="s">
        <v>44</v>
      </c>
      <c r="J471" s="10"/>
      <c r="K471" s="24">
        <f t="shared" si="71"/>
        <v>53.4</v>
      </c>
      <c r="L471" s="24">
        <f t="shared" si="71"/>
        <v>0</v>
      </c>
      <c r="M471" s="24">
        <f t="shared" si="71"/>
        <v>53.4</v>
      </c>
    </row>
    <row r="472" spans="1:13" s="125" customFormat="1" ht="144" x14ac:dyDescent="0.35">
      <c r="A472" s="11"/>
      <c r="B472" s="518" t="s">
        <v>743</v>
      </c>
      <c r="C472" s="23" t="s">
        <v>425</v>
      </c>
      <c r="D472" s="10" t="s">
        <v>224</v>
      </c>
      <c r="E472" s="10" t="s">
        <v>37</v>
      </c>
      <c r="F472" s="696" t="s">
        <v>234</v>
      </c>
      <c r="G472" s="697" t="s">
        <v>45</v>
      </c>
      <c r="H472" s="697" t="s">
        <v>37</v>
      </c>
      <c r="I472" s="698" t="s">
        <v>44</v>
      </c>
      <c r="J472" s="10"/>
      <c r="K472" s="24">
        <f>K473</f>
        <v>53.4</v>
      </c>
      <c r="L472" s="24">
        <f>L473</f>
        <v>0</v>
      </c>
      <c r="M472" s="24">
        <f>M473</f>
        <v>53.4</v>
      </c>
    </row>
    <row r="473" spans="1:13" s="125" customFormat="1" ht="36" customHeight="1" x14ac:dyDescent="0.35">
      <c r="A473" s="11"/>
      <c r="B473" s="518" t="s">
        <v>235</v>
      </c>
      <c r="C473" s="23" t="s">
        <v>425</v>
      </c>
      <c r="D473" s="10" t="s">
        <v>224</v>
      </c>
      <c r="E473" s="10" t="s">
        <v>37</v>
      </c>
      <c r="F473" s="696" t="s">
        <v>234</v>
      </c>
      <c r="G473" s="697" t="s">
        <v>45</v>
      </c>
      <c r="H473" s="697" t="s">
        <v>37</v>
      </c>
      <c r="I473" s="698" t="s">
        <v>280</v>
      </c>
      <c r="J473" s="10"/>
      <c r="K473" s="24">
        <f t="shared" si="71"/>
        <v>53.4</v>
      </c>
      <c r="L473" s="24">
        <f t="shared" si="71"/>
        <v>0</v>
      </c>
      <c r="M473" s="24">
        <f t="shared" si="71"/>
        <v>53.4</v>
      </c>
    </row>
    <row r="474" spans="1:13" s="125" customFormat="1" ht="54" customHeight="1" x14ac:dyDescent="0.35">
      <c r="A474" s="11"/>
      <c r="B474" s="518" t="s">
        <v>76</v>
      </c>
      <c r="C474" s="23" t="s">
        <v>425</v>
      </c>
      <c r="D474" s="10" t="s">
        <v>224</v>
      </c>
      <c r="E474" s="10" t="s">
        <v>37</v>
      </c>
      <c r="F474" s="696" t="s">
        <v>234</v>
      </c>
      <c r="G474" s="697" t="s">
        <v>45</v>
      </c>
      <c r="H474" s="697" t="s">
        <v>37</v>
      </c>
      <c r="I474" s="698" t="s">
        <v>280</v>
      </c>
      <c r="J474" s="10" t="s">
        <v>77</v>
      </c>
      <c r="K474" s="24">
        <v>53.4</v>
      </c>
      <c r="L474" s="24">
        <f>M474-K474</f>
        <v>0</v>
      </c>
      <c r="M474" s="24">
        <v>53.4</v>
      </c>
    </row>
    <row r="475" spans="1:13" s="125" customFormat="1" ht="18" customHeight="1" x14ac:dyDescent="0.35">
      <c r="A475" s="11"/>
      <c r="B475" s="518" t="s">
        <v>183</v>
      </c>
      <c r="C475" s="23" t="s">
        <v>425</v>
      </c>
      <c r="D475" s="10" t="s">
        <v>224</v>
      </c>
      <c r="E475" s="10" t="s">
        <v>39</v>
      </c>
      <c r="F475" s="696"/>
      <c r="G475" s="697"/>
      <c r="H475" s="697"/>
      <c r="I475" s="698"/>
      <c r="J475" s="10"/>
      <c r="K475" s="24">
        <f>K476</f>
        <v>840914.41529999999</v>
      </c>
      <c r="L475" s="24">
        <f>L476</f>
        <v>5186.9999999999964</v>
      </c>
      <c r="M475" s="24">
        <f>M476</f>
        <v>846101.41529999999</v>
      </c>
    </row>
    <row r="476" spans="1:13" s="125" customFormat="1" ht="54" customHeight="1" x14ac:dyDescent="0.35">
      <c r="A476" s="11"/>
      <c r="B476" s="518" t="s">
        <v>205</v>
      </c>
      <c r="C476" s="23" t="s">
        <v>425</v>
      </c>
      <c r="D476" s="10" t="s">
        <v>224</v>
      </c>
      <c r="E476" s="10" t="s">
        <v>39</v>
      </c>
      <c r="F476" s="696" t="s">
        <v>39</v>
      </c>
      <c r="G476" s="697" t="s">
        <v>42</v>
      </c>
      <c r="H476" s="697" t="s">
        <v>43</v>
      </c>
      <c r="I476" s="698" t="s">
        <v>44</v>
      </c>
      <c r="J476" s="10"/>
      <c r="K476" s="24">
        <f>K477+K532</f>
        <v>840914.41529999999</v>
      </c>
      <c r="L476" s="24">
        <f>L477+L532</f>
        <v>5186.9999999999964</v>
      </c>
      <c r="M476" s="24">
        <f>M477+M532</f>
        <v>846101.41529999999</v>
      </c>
    </row>
    <row r="477" spans="1:13" s="125" customFormat="1" ht="36" customHeight="1" x14ac:dyDescent="0.35">
      <c r="A477" s="11"/>
      <c r="B477" s="518" t="s">
        <v>206</v>
      </c>
      <c r="C477" s="23" t="s">
        <v>425</v>
      </c>
      <c r="D477" s="10" t="s">
        <v>224</v>
      </c>
      <c r="E477" s="10" t="s">
        <v>39</v>
      </c>
      <c r="F477" s="696" t="s">
        <v>39</v>
      </c>
      <c r="G477" s="697" t="s">
        <v>45</v>
      </c>
      <c r="H477" s="697" t="s">
        <v>43</v>
      </c>
      <c r="I477" s="698" t="s">
        <v>44</v>
      </c>
      <c r="J477" s="10"/>
      <c r="K477" s="24">
        <f>K478+K526</f>
        <v>838692.21530000004</v>
      </c>
      <c r="L477" s="24">
        <f>L478+L526</f>
        <v>5186.9999999999964</v>
      </c>
      <c r="M477" s="24">
        <f>M478+M526</f>
        <v>843879.21530000004</v>
      </c>
    </row>
    <row r="478" spans="1:13" s="125" customFormat="1" ht="18" customHeight="1" x14ac:dyDescent="0.35">
      <c r="A478" s="11"/>
      <c r="B478" s="518" t="s">
        <v>272</v>
      </c>
      <c r="C478" s="23" t="s">
        <v>425</v>
      </c>
      <c r="D478" s="10" t="s">
        <v>224</v>
      </c>
      <c r="E478" s="10" t="s">
        <v>39</v>
      </c>
      <c r="F478" s="696" t="s">
        <v>39</v>
      </c>
      <c r="G478" s="697" t="s">
        <v>45</v>
      </c>
      <c r="H478" s="697" t="s">
        <v>39</v>
      </c>
      <c r="I478" s="698" t="s">
        <v>44</v>
      </c>
      <c r="J478" s="10"/>
      <c r="K478" s="24">
        <f>K487+K490+K500+K504+K508+K479+K484+K517+K497+K495+K522+K513+K520+K511</f>
        <v>833035.31530000002</v>
      </c>
      <c r="L478" s="24">
        <f>L487+L490+L500+L504+L508+L479+L484+L517+L497+L495+L522+L513+L520+L511</f>
        <v>5186.9999999999964</v>
      </c>
      <c r="M478" s="24">
        <f>M487+M490+M500+M504+M508+M479+M484+M517+M497+M495+M522+M513+M520+M511</f>
        <v>838222.31530000002</v>
      </c>
    </row>
    <row r="479" spans="1:13" s="121" customFormat="1" ht="36" customHeight="1" x14ac:dyDescent="0.35">
      <c r="A479" s="11"/>
      <c r="B479" s="551" t="s">
        <v>466</v>
      </c>
      <c r="C479" s="23" t="s">
        <v>425</v>
      </c>
      <c r="D479" s="10" t="s">
        <v>224</v>
      </c>
      <c r="E479" s="10" t="s">
        <v>39</v>
      </c>
      <c r="F479" s="696" t="s">
        <v>39</v>
      </c>
      <c r="G479" s="697" t="s">
        <v>45</v>
      </c>
      <c r="H479" s="697" t="s">
        <v>39</v>
      </c>
      <c r="I479" s="698" t="s">
        <v>91</v>
      </c>
      <c r="J479" s="10"/>
      <c r="K479" s="24">
        <f>K482+K483+K481+K480</f>
        <v>78980.639999999999</v>
      </c>
      <c r="L479" s="24">
        <f>L482+L483+L481+L480</f>
        <v>0</v>
      </c>
      <c r="M479" s="24">
        <f>M482+M483+M481+M480</f>
        <v>78980.639999999999</v>
      </c>
    </row>
    <row r="480" spans="1:13" s="121" customFormat="1" ht="108" customHeight="1" x14ac:dyDescent="0.35">
      <c r="A480" s="11"/>
      <c r="B480" s="518" t="s">
        <v>49</v>
      </c>
      <c r="C480" s="23" t="s">
        <v>425</v>
      </c>
      <c r="D480" s="10" t="s">
        <v>224</v>
      </c>
      <c r="E480" s="10" t="s">
        <v>39</v>
      </c>
      <c r="F480" s="696" t="s">
        <v>39</v>
      </c>
      <c r="G480" s="697" t="s">
        <v>45</v>
      </c>
      <c r="H480" s="697" t="s">
        <v>39</v>
      </c>
      <c r="I480" s="698" t="s">
        <v>91</v>
      </c>
      <c r="J480" s="10" t="s">
        <v>50</v>
      </c>
      <c r="K480" s="24">
        <v>361.1</v>
      </c>
      <c r="L480" s="24">
        <f>M480-K480</f>
        <v>0</v>
      </c>
      <c r="M480" s="24">
        <v>361.1</v>
      </c>
    </row>
    <row r="481" spans="1:13" s="121" customFormat="1" ht="54" customHeight="1" x14ac:dyDescent="0.35">
      <c r="A481" s="11"/>
      <c r="B481" s="518" t="s">
        <v>55</v>
      </c>
      <c r="C481" s="23" t="s">
        <v>425</v>
      </c>
      <c r="D481" s="10" t="s">
        <v>224</v>
      </c>
      <c r="E481" s="10" t="s">
        <v>39</v>
      </c>
      <c r="F481" s="696" t="s">
        <v>39</v>
      </c>
      <c r="G481" s="697" t="s">
        <v>45</v>
      </c>
      <c r="H481" s="697" t="s">
        <v>39</v>
      </c>
      <c r="I481" s="698" t="s">
        <v>91</v>
      </c>
      <c r="J481" s="10" t="s">
        <v>56</v>
      </c>
      <c r="K481" s="24">
        <f>7042.1+141+187.14-100+100</f>
        <v>7370.2400000000007</v>
      </c>
      <c r="L481" s="24">
        <f>M481-K481</f>
        <v>0</v>
      </c>
      <c r="M481" s="24">
        <f>7042.1+141+187.14-100+100</f>
        <v>7370.2400000000007</v>
      </c>
    </row>
    <row r="482" spans="1:13" s="121" customFormat="1" ht="54" customHeight="1" x14ac:dyDescent="0.35">
      <c r="A482" s="11"/>
      <c r="B482" s="518" t="s">
        <v>76</v>
      </c>
      <c r="C482" s="23" t="s">
        <v>425</v>
      </c>
      <c r="D482" s="10" t="s">
        <v>224</v>
      </c>
      <c r="E482" s="10" t="s">
        <v>39</v>
      </c>
      <c r="F482" s="696" t="s">
        <v>39</v>
      </c>
      <c r="G482" s="697" t="s">
        <v>45</v>
      </c>
      <c r="H482" s="697" t="s">
        <v>39</v>
      </c>
      <c r="I482" s="698" t="s">
        <v>91</v>
      </c>
      <c r="J482" s="10" t="s">
        <v>77</v>
      </c>
      <c r="K482" s="24">
        <f>68725.9+510.4+1514.5</f>
        <v>70750.799999999988</v>
      </c>
      <c r="L482" s="24">
        <f>M482-K482</f>
        <v>0</v>
      </c>
      <c r="M482" s="24">
        <f>68725.9+510.4+1514.5</f>
        <v>70750.799999999988</v>
      </c>
    </row>
    <row r="483" spans="1:13" s="121" customFormat="1" ht="18" customHeight="1" x14ac:dyDescent="0.35">
      <c r="A483" s="11"/>
      <c r="B483" s="518" t="s">
        <v>57</v>
      </c>
      <c r="C483" s="23" t="s">
        <v>425</v>
      </c>
      <c r="D483" s="10" t="s">
        <v>224</v>
      </c>
      <c r="E483" s="10" t="s">
        <v>39</v>
      </c>
      <c r="F483" s="696" t="s">
        <v>39</v>
      </c>
      <c r="G483" s="697" t="s">
        <v>45</v>
      </c>
      <c r="H483" s="697" t="s">
        <v>39</v>
      </c>
      <c r="I483" s="698" t="s">
        <v>91</v>
      </c>
      <c r="J483" s="10" t="s">
        <v>58</v>
      </c>
      <c r="K483" s="24">
        <f>398.5+100</f>
        <v>498.5</v>
      </c>
      <c r="L483" s="24">
        <f>M483-K483</f>
        <v>0</v>
      </c>
      <c r="M483" s="24">
        <f>398.5+100</f>
        <v>498.5</v>
      </c>
    </row>
    <row r="484" spans="1:13" s="121" customFormat="1" ht="18" customHeight="1" x14ac:dyDescent="0.35">
      <c r="A484" s="11"/>
      <c r="B484" s="518" t="s">
        <v>467</v>
      </c>
      <c r="C484" s="23" t="s">
        <v>425</v>
      </c>
      <c r="D484" s="10" t="s">
        <v>224</v>
      </c>
      <c r="E484" s="10" t="s">
        <v>39</v>
      </c>
      <c r="F484" s="696" t="s">
        <v>39</v>
      </c>
      <c r="G484" s="697" t="s">
        <v>45</v>
      </c>
      <c r="H484" s="697" t="s">
        <v>39</v>
      </c>
      <c r="I484" s="698" t="s">
        <v>381</v>
      </c>
      <c r="J484" s="10"/>
      <c r="K484" s="24">
        <f>K486+K485</f>
        <v>23574.365159999998</v>
      </c>
      <c r="L484" s="24">
        <f>L486+L485</f>
        <v>300</v>
      </c>
      <c r="M484" s="24">
        <f>M486+M485</f>
        <v>23874.365159999998</v>
      </c>
    </row>
    <row r="485" spans="1:13" s="121" customFormat="1" ht="54" customHeight="1" x14ac:dyDescent="0.35">
      <c r="A485" s="11"/>
      <c r="B485" s="518" t="s">
        <v>55</v>
      </c>
      <c r="C485" s="23" t="s">
        <v>425</v>
      </c>
      <c r="D485" s="10" t="s">
        <v>224</v>
      </c>
      <c r="E485" s="10" t="s">
        <v>39</v>
      </c>
      <c r="F485" s="696" t="s">
        <v>39</v>
      </c>
      <c r="G485" s="697" t="s">
        <v>45</v>
      </c>
      <c r="H485" s="697" t="s">
        <v>39</v>
      </c>
      <c r="I485" s="698" t="s">
        <v>381</v>
      </c>
      <c r="J485" s="10" t="s">
        <v>56</v>
      </c>
      <c r="K485" s="24">
        <f>5086.49016</f>
        <v>5086.4901600000003</v>
      </c>
      <c r="L485" s="24">
        <f>M485-K485</f>
        <v>300</v>
      </c>
      <c r="M485" s="24">
        <f>5086.49016+300</f>
        <v>5386.4901600000003</v>
      </c>
    </row>
    <row r="486" spans="1:13" s="121" customFormat="1" ht="54" customHeight="1" x14ac:dyDescent="0.35">
      <c r="A486" s="11"/>
      <c r="B486" s="518" t="s">
        <v>76</v>
      </c>
      <c r="C486" s="23" t="s">
        <v>425</v>
      </c>
      <c r="D486" s="10" t="s">
        <v>224</v>
      </c>
      <c r="E486" s="10" t="s">
        <v>39</v>
      </c>
      <c r="F486" s="696" t="s">
        <v>39</v>
      </c>
      <c r="G486" s="697" t="s">
        <v>45</v>
      </c>
      <c r="H486" s="697" t="s">
        <v>39</v>
      </c>
      <c r="I486" s="698" t="s">
        <v>381</v>
      </c>
      <c r="J486" s="10" t="s">
        <v>77</v>
      </c>
      <c r="K486" s="24">
        <f>8758.9+950.4+2759.3+102.89+247.598+255.56+261.552+195.6+228.154+240.551+341.23+240.04+1183.5+353.5+119.2+298.2+959.5+438.3+400.3+153.6</f>
        <v>18487.874999999996</v>
      </c>
      <c r="L486" s="24">
        <f>M486-K486</f>
        <v>0</v>
      </c>
      <c r="M486" s="24">
        <f>8758.9+950.4+2759.3+102.89+247.598+255.56+261.552+195.6+228.154+240.551+341.23+240.04+1183.5+353.5+119.2+298.2+959.5+438.3+400.3+153.6</f>
        <v>18487.874999999996</v>
      </c>
    </row>
    <row r="487" spans="1:13" s="125" customFormat="1" ht="54" customHeight="1" x14ac:dyDescent="0.35">
      <c r="A487" s="11"/>
      <c r="B487" s="518" t="s">
        <v>207</v>
      </c>
      <c r="C487" s="23" t="s">
        <v>425</v>
      </c>
      <c r="D487" s="10" t="s">
        <v>224</v>
      </c>
      <c r="E487" s="10" t="s">
        <v>39</v>
      </c>
      <c r="F487" s="696" t="s">
        <v>39</v>
      </c>
      <c r="G487" s="697" t="s">
        <v>45</v>
      </c>
      <c r="H487" s="697" t="s">
        <v>39</v>
      </c>
      <c r="I487" s="698" t="s">
        <v>273</v>
      </c>
      <c r="J487" s="10"/>
      <c r="K487" s="24">
        <f>SUM(K488:K489)</f>
        <v>30652.299999999996</v>
      </c>
      <c r="L487" s="24">
        <f>SUM(L488:L489)</f>
        <v>0</v>
      </c>
      <c r="M487" s="24">
        <f>SUM(M488:M489)</f>
        <v>30652.299999999996</v>
      </c>
    </row>
    <row r="488" spans="1:13" s="125" customFormat="1" ht="54" customHeight="1" x14ac:dyDescent="0.35">
      <c r="A488" s="11"/>
      <c r="B488" s="518" t="s">
        <v>55</v>
      </c>
      <c r="C488" s="23" t="s">
        <v>425</v>
      </c>
      <c r="D488" s="10" t="s">
        <v>224</v>
      </c>
      <c r="E488" s="10" t="s">
        <v>39</v>
      </c>
      <c r="F488" s="696" t="s">
        <v>39</v>
      </c>
      <c r="G488" s="697" t="s">
        <v>45</v>
      </c>
      <c r="H488" s="697" t="s">
        <v>39</v>
      </c>
      <c r="I488" s="698" t="s">
        <v>273</v>
      </c>
      <c r="J488" s="10" t="s">
        <v>56</v>
      </c>
      <c r="K488" s="24">
        <f>4029.6+105.2+37.4+174.4+35.3</f>
        <v>4381.8999999999996</v>
      </c>
      <c r="L488" s="24">
        <f>M488-K488</f>
        <v>0</v>
      </c>
      <c r="M488" s="24">
        <f>4029.6+105.2+37.4+174.4+35.3</f>
        <v>4381.8999999999996</v>
      </c>
    </row>
    <row r="489" spans="1:13" s="125" customFormat="1" ht="54" customHeight="1" x14ac:dyDescent="0.35">
      <c r="A489" s="11"/>
      <c r="B489" s="518" t="s">
        <v>76</v>
      </c>
      <c r="C489" s="23" t="s">
        <v>425</v>
      </c>
      <c r="D489" s="10" t="s">
        <v>224</v>
      </c>
      <c r="E489" s="10" t="s">
        <v>39</v>
      </c>
      <c r="F489" s="696" t="s">
        <v>39</v>
      </c>
      <c r="G489" s="697" t="s">
        <v>45</v>
      </c>
      <c r="H489" s="697" t="s">
        <v>39</v>
      </c>
      <c r="I489" s="698" t="s">
        <v>273</v>
      </c>
      <c r="J489" s="10" t="s">
        <v>77</v>
      </c>
      <c r="K489" s="24">
        <f>24177.6+630.8+47+118.6+148.4+120+600+138.3+20.8+50+211.9+7</f>
        <v>26270.399999999998</v>
      </c>
      <c r="L489" s="24">
        <f>M489-K489</f>
        <v>0</v>
      </c>
      <c r="M489" s="24">
        <f>24177.6+630.8+47+118.6+148.4+120+600+138.3+20.8+50+211.9+7</f>
        <v>26270.399999999998</v>
      </c>
    </row>
    <row r="490" spans="1:13" s="125" customFormat="1" ht="36" customHeight="1" x14ac:dyDescent="0.35">
      <c r="A490" s="11"/>
      <c r="B490" s="518" t="s">
        <v>208</v>
      </c>
      <c r="C490" s="23" t="s">
        <v>425</v>
      </c>
      <c r="D490" s="10" t="s">
        <v>224</v>
      </c>
      <c r="E490" s="10" t="s">
        <v>39</v>
      </c>
      <c r="F490" s="696" t="s">
        <v>39</v>
      </c>
      <c r="G490" s="697" t="s">
        <v>45</v>
      </c>
      <c r="H490" s="697" t="s">
        <v>39</v>
      </c>
      <c r="I490" s="698" t="s">
        <v>274</v>
      </c>
      <c r="J490" s="10"/>
      <c r="K490" s="24">
        <f>SUM(K491:K494)</f>
        <v>54014.510139999999</v>
      </c>
      <c r="L490" s="24">
        <f>SUM(L491:L494)</f>
        <v>4886.9999999999964</v>
      </c>
      <c r="M490" s="24">
        <f>SUM(M491:M494)</f>
        <v>58901.510139999999</v>
      </c>
    </row>
    <row r="491" spans="1:13" s="125" customFormat="1" ht="108" customHeight="1" x14ac:dyDescent="0.35">
      <c r="A491" s="11"/>
      <c r="B491" s="518" t="s">
        <v>49</v>
      </c>
      <c r="C491" s="23" t="s">
        <v>425</v>
      </c>
      <c r="D491" s="10" t="s">
        <v>224</v>
      </c>
      <c r="E491" s="10" t="s">
        <v>39</v>
      </c>
      <c r="F491" s="696" t="s">
        <v>39</v>
      </c>
      <c r="G491" s="697" t="s">
        <v>45</v>
      </c>
      <c r="H491" s="697" t="s">
        <v>39</v>
      </c>
      <c r="I491" s="698" t="s">
        <v>274</v>
      </c>
      <c r="J491" s="10" t="s">
        <v>50</v>
      </c>
      <c r="K491" s="24">
        <v>93.8</v>
      </c>
      <c r="L491" s="24">
        <f>M491-K491</f>
        <v>0</v>
      </c>
      <c r="M491" s="24">
        <v>93.8</v>
      </c>
    </row>
    <row r="492" spans="1:13" s="125" customFormat="1" ht="54" customHeight="1" x14ac:dyDescent="0.35">
      <c r="A492" s="11"/>
      <c r="B492" s="518" t="s">
        <v>55</v>
      </c>
      <c r="C492" s="23" t="s">
        <v>425</v>
      </c>
      <c r="D492" s="10" t="s">
        <v>224</v>
      </c>
      <c r="E492" s="10" t="s">
        <v>39</v>
      </c>
      <c r="F492" s="696" t="s">
        <v>39</v>
      </c>
      <c r="G492" s="697" t="s">
        <v>45</v>
      </c>
      <c r="H492" s="697" t="s">
        <v>39</v>
      </c>
      <c r="I492" s="698" t="s">
        <v>274</v>
      </c>
      <c r="J492" s="10" t="s">
        <v>56</v>
      </c>
      <c r="K492" s="24">
        <f>546.2+142.9+20.2+25644.3633+854.54684+139.8</f>
        <v>27348.010139999999</v>
      </c>
      <c r="L492" s="24">
        <f>M492-K492</f>
        <v>316.5</v>
      </c>
      <c r="M492" s="24">
        <f>546.2+142.9+20.2+25644.3633+854.54684+139.8+276.3+40.2</f>
        <v>27664.510139999999</v>
      </c>
    </row>
    <row r="493" spans="1:13" s="125" customFormat="1" ht="54" customHeight="1" x14ac:dyDescent="0.35">
      <c r="A493" s="11"/>
      <c r="B493" s="562" t="s">
        <v>203</v>
      </c>
      <c r="C493" s="23" t="s">
        <v>425</v>
      </c>
      <c r="D493" s="10" t="s">
        <v>224</v>
      </c>
      <c r="E493" s="10" t="s">
        <v>39</v>
      </c>
      <c r="F493" s="696" t="s">
        <v>39</v>
      </c>
      <c r="G493" s="697" t="s">
        <v>45</v>
      </c>
      <c r="H493" s="697" t="s">
        <v>39</v>
      </c>
      <c r="I493" s="698" t="s">
        <v>274</v>
      </c>
      <c r="J493" s="10" t="s">
        <v>204</v>
      </c>
      <c r="K493" s="24">
        <f>53.4+1120</f>
        <v>1173.4000000000001</v>
      </c>
      <c r="L493" s="24">
        <f>M493-K493</f>
        <v>0</v>
      </c>
      <c r="M493" s="24">
        <f>53.4+1120</f>
        <v>1173.4000000000001</v>
      </c>
    </row>
    <row r="494" spans="1:13" s="125" customFormat="1" ht="54" customHeight="1" x14ac:dyDescent="0.35">
      <c r="A494" s="11"/>
      <c r="B494" s="518" t="s">
        <v>76</v>
      </c>
      <c r="C494" s="23" t="s">
        <v>425</v>
      </c>
      <c r="D494" s="10" t="s">
        <v>224</v>
      </c>
      <c r="E494" s="10" t="s">
        <v>39</v>
      </c>
      <c r="F494" s="696" t="s">
        <v>39</v>
      </c>
      <c r="G494" s="697" t="s">
        <v>45</v>
      </c>
      <c r="H494" s="697" t="s">
        <v>39</v>
      </c>
      <c r="I494" s="698" t="s">
        <v>274</v>
      </c>
      <c r="J494" s="10" t="s">
        <v>77</v>
      </c>
      <c r="K494" s="24">
        <f>16084.9+4550.5+918.9-20.2+1870.8+830+1729.9+34.8+371.4-959.5-12.2</f>
        <v>25399.300000000003</v>
      </c>
      <c r="L494" s="24">
        <f>M494-K494</f>
        <v>4570.4999999999964</v>
      </c>
      <c r="M494" s="24">
        <f>16084.9+4550.5+918.9-20.2+1870.8+830+1729.9+34.8+371.4-959.5-12.2+108.6+1511.8+2990.3-40.2</f>
        <v>29969.8</v>
      </c>
    </row>
    <row r="495" spans="1:13" s="125" customFormat="1" ht="54" customHeight="1" x14ac:dyDescent="0.35">
      <c r="A495" s="11"/>
      <c r="B495" s="518" t="s">
        <v>522</v>
      </c>
      <c r="C495" s="23" t="s">
        <v>425</v>
      </c>
      <c r="D495" s="10" t="s">
        <v>224</v>
      </c>
      <c r="E495" s="10" t="s">
        <v>39</v>
      </c>
      <c r="F495" s="696" t="s">
        <v>39</v>
      </c>
      <c r="G495" s="697" t="s">
        <v>45</v>
      </c>
      <c r="H495" s="697" t="s">
        <v>39</v>
      </c>
      <c r="I495" s="698" t="s">
        <v>523</v>
      </c>
      <c r="J495" s="10"/>
      <c r="K495" s="24">
        <f>K496</f>
        <v>30</v>
      </c>
      <c r="L495" s="24">
        <f>L496</f>
        <v>0</v>
      </c>
      <c r="M495" s="24">
        <f>M496</f>
        <v>30</v>
      </c>
    </row>
    <row r="496" spans="1:13" s="125" customFormat="1" ht="54" customHeight="1" x14ac:dyDescent="0.35">
      <c r="A496" s="11"/>
      <c r="B496" s="518" t="s">
        <v>76</v>
      </c>
      <c r="C496" s="23" t="s">
        <v>425</v>
      </c>
      <c r="D496" s="10" t="s">
        <v>224</v>
      </c>
      <c r="E496" s="10" t="s">
        <v>39</v>
      </c>
      <c r="F496" s="696" t="s">
        <v>39</v>
      </c>
      <c r="G496" s="697" t="s">
        <v>45</v>
      </c>
      <c r="H496" s="697" t="s">
        <v>39</v>
      </c>
      <c r="I496" s="698" t="s">
        <v>523</v>
      </c>
      <c r="J496" s="10" t="s">
        <v>77</v>
      </c>
      <c r="K496" s="24">
        <v>30</v>
      </c>
      <c r="L496" s="24">
        <f>M496-K496</f>
        <v>0</v>
      </c>
      <c r="M496" s="24">
        <v>30</v>
      </c>
    </row>
    <row r="497" spans="1:13" s="125" customFormat="1" ht="288" customHeight="1" x14ac:dyDescent="0.35">
      <c r="A497" s="11"/>
      <c r="B497" s="518" t="s">
        <v>606</v>
      </c>
      <c r="C497" s="23" t="s">
        <v>425</v>
      </c>
      <c r="D497" s="10" t="s">
        <v>224</v>
      </c>
      <c r="E497" s="10" t="s">
        <v>39</v>
      </c>
      <c r="F497" s="696" t="s">
        <v>39</v>
      </c>
      <c r="G497" s="697" t="s">
        <v>45</v>
      </c>
      <c r="H497" s="697" t="s">
        <v>39</v>
      </c>
      <c r="I497" s="698" t="s">
        <v>524</v>
      </c>
      <c r="J497" s="10"/>
      <c r="K497" s="24">
        <f>K498+K499</f>
        <v>35518.6</v>
      </c>
      <c r="L497" s="24">
        <f>L498+L499</f>
        <v>0</v>
      </c>
      <c r="M497" s="24">
        <f>M498+M499</f>
        <v>35518.6</v>
      </c>
    </row>
    <row r="498" spans="1:13" s="125" customFormat="1" ht="108" customHeight="1" x14ac:dyDescent="0.35">
      <c r="A498" s="11"/>
      <c r="B498" s="518" t="s">
        <v>49</v>
      </c>
      <c r="C498" s="23" t="s">
        <v>425</v>
      </c>
      <c r="D498" s="10" t="s">
        <v>224</v>
      </c>
      <c r="E498" s="10" t="s">
        <v>39</v>
      </c>
      <c r="F498" s="696" t="s">
        <v>39</v>
      </c>
      <c r="G498" s="697" t="s">
        <v>45</v>
      </c>
      <c r="H498" s="697" t="s">
        <v>39</v>
      </c>
      <c r="I498" s="698" t="s">
        <v>524</v>
      </c>
      <c r="J498" s="10" t="s">
        <v>50</v>
      </c>
      <c r="K498" s="24">
        <v>2968.5</v>
      </c>
      <c r="L498" s="24">
        <f>M498-K498</f>
        <v>0</v>
      </c>
      <c r="M498" s="24">
        <v>2968.5</v>
      </c>
    </row>
    <row r="499" spans="1:13" s="125" customFormat="1" ht="54" customHeight="1" x14ac:dyDescent="0.35">
      <c r="A499" s="11"/>
      <c r="B499" s="518" t="s">
        <v>76</v>
      </c>
      <c r="C499" s="23" t="s">
        <v>425</v>
      </c>
      <c r="D499" s="10" t="s">
        <v>224</v>
      </c>
      <c r="E499" s="10" t="s">
        <v>39</v>
      </c>
      <c r="F499" s="696" t="s">
        <v>39</v>
      </c>
      <c r="G499" s="697" t="s">
        <v>45</v>
      </c>
      <c r="H499" s="697" t="s">
        <v>39</v>
      </c>
      <c r="I499" s="698" t="s">
        <v>524</v>
      </c>
      <c r="J499" s="10" t="s">
        <v>77</v>
      </c>
      <c r="K499" s="24">
        <v>32550.1</v>
      </c>
      <c r="L499" s="24">
        <f>M499-K499</f>
        <v>0</v>
      </c>
      <c r="M499" s="24">
        <v>32550.1</v>
      </c>
    </row>
    <row r="500" spans="1:13" s="125" customFormat="1" ht="180" customHeight="1" x14ac:dyDescent="0.35">
      <c r="A500" s="11"/>
      <c r="B500" s="518" t="s">
        <v>268</v>
      </c>
      <c r="C500" s="23" t="s">
        <v>425</v>
      </c>
      <c r="D500" s="10" t="s">
        <v>224</v>
      </c>
      <c r="E500" s="10" t="s">
        <v>39</v>
      </c>
      <c r="F500" s="696" t="s">
        <v>39</v>
      </c>
      <c r="G500" s="697" t="s">
        <v>45</v>
      </c>
      <c r="H500" s="697" t="s">
        <v>39</v>
      </c>
      <c r="I500" s="698" t="s">
        <v>269</v>
      </c>
      <c r="J500" s="10"/>
      <c r="K500" s="24">
        <f>SUM(K501:K503)</f>
        <v>1538.1</v>
      </c>
      <c r="L500" s="24">
        <f>SUM(L501:L503)</f>
        <v>0</v>
      </c>
      <c r="M500" s="24">
        <f>SUM(M501:M503)</f>
        <v>1538.1</v>
      </c>
    </row>
    <row r="501" spans="1:13" s="125" customFormat="1" ht="108" customHeight="1" x14ac:dyDescent="0.35">
      <c r="A501" s="11"/>
      <c r="B501" s="518" t="s">
        <v>49</v>
      </c>
      <c r="C501" s="23" t="s">
        <v>425</v>
      </c>
      <c r="D501" s="10" t="s">
        <v>224</v>
      </c>
      <c r="E501" s="10" t="s">
        <v>39</v>
      </c>
      <c r="F501" s="696" t="s">
        <v>39</v>
      </c>
      <c r="G501" s="697" t="s">
        <v>45</v>
      </c>
      <c r="H501" s="697" t="s">
        <v>39</v>
      </c>
      <c r="I501" s="698" t="s">
        <v>269</v>
      </c>
      <c r="J501" s="10" t="s">
        <v>50</v>
      </c>
      <c r="K501" s="24">
        <v>77.5</v>
      </c>
      <c r="L501" s="24">
        <f>M501-K501</f>
        <v>0</v>
      </c>
      <c r="M501" s="24">
        <v>77.5</v>
      </c>
    </row>
    <row r="502" spans="1:13" s="125" customFormat="1" ht="36" customHeight="1" x14ac:dyDescent="0.35">
      <c r="A502" s="11"/>
      <c r="B502" s="518" t="s">
        <v>120</v>
      </c>
      <c r="C502" s="23" t="s">
        <v>425</v>
      </c>
      <c r="D502" s="10" t="s">
        <v>224</v>
      </c>
      <c r="E502" s="10" t="s">
        <v>39</v>
      </c>
      <c r="F502" s="696" t="s">
        <v>39</v>
      </c>
      <c r="G502" s="697" t="s">
        <v>45</v>
      </c>
      <c r="H502" s="697" t="s">
        <v>39</v>
      </c>
      <c r="I502" s="698" t="s">
        <v>269</v>
      </c>
      <c r="J502" s="10" t="s">
        <v>121</v>
      </c>
      <c r="K502" s="24">
        <v>5.5</v>
      </c>
      <c r="L502" s="24">
        <f>M502-K502</f>
        <v>0</v>
      </c>
      <c r="M502" s="24">
        <v>5.5</v>
      </c>
    </row>
    <row r="503" spans="1:13" s="125" customFormat="1" ht="54" customHeight="1" x14ac:dyDescent="0.35">
      <c r="A503" s="11"/>
      <c r="B503" s="518" t="s">
        <v>76</v>
      </c>
      <c r="C503" s="23" t="s">
        <v>425</v>
      </c>
      <c r="D503" s="10" t="s">
        <v>224</v>
      </c>
      <c r="E503" s="10" t="s">
        <v>39</v>
      </c>
      <c r="F503" s="696" t="s">
        <v>39</v>
      </c>
      <c r="G503" s="697" t="s">
        <v>45</v>
      </c>
      <c r="H503" s="697" t="s">
        <v>39</v>
      </c>
      <c r="I503" s="698" t="s">
        <v>269</v>
      </c>
      <c r="J503" s="10" t="s">
        <v>77</v>
      </c>
      <c r="K503" s="24">
        <v>1455.1</v>
      </c>
      <c r="L503" s="24">
        <f>M503-K503</f>
        <v>0</v>
      </c>
      <c r="M503" s="24">
        <v>1455.1</v>
      </c>
    </row>
    <row r="504" spans="1:13" s="125" customFormat="1" ht="108" customHeight="1" x14ac:dyDescent="0.35">
      <c r="A504" s="11"/>
      <c r="B504" s="518" t="s">
        <v>345</v>
      </c>
      <c r="C504" s="23" t="s">
        <v>425</v>
      </c>
      <c r="D504" s="10" t="s">
        <v>224</v>
      </c>
      <c r="E504" s="10" t="s">
        <v>39</v>
      </c>
      <c r="F504" s="696" t="s">
        <v>39</v>
      </c>
      <c r="G504" s="697" t="s">
        <v>45</v>
      </c>
      <c r="H504" s="697" t="s">
        <v>39</v>
      </c>
      <c r="I504" s="698" t="s">
        <v>270</v>
      </c>
      <c r="J504" s="10"/>
      <c r="K504" s="24">
        <f>K505+K506+K507</f>
        <v>458610.1</v>
      </c>
      <c r="L504" s="24">
        <f>L505+L506+L507</f>
        <v>0</v>
      </c>
      <c r="M504" s="24">
        <f>M505+M506+M507</f>
        <v>458610.1</v>
      </c>
    </row>
    <row r="505" spans="1:13" s="125" customFormat="1" ht="108" customHeight="1" x14ac:dyDescent="0.35">
      <c r="A505" s="11"/>
      <c r="B505" s="518" t="s">
        <v>49</v>
      </c>
      <c r="C505" s="23" t="s">
        <v>425</v>
      </c>
      <c r="D505" s="10" t="s">
        <v>224</v>
      </c>
      <c r="E505" s="10" t="s">
        <v>39</v>
      </c>
      <c r="F505" s="696" t="s">
        <v>39</v>
      </c>
      <c r="G505" s="697" t="s">
        <v>45</v>
      </c>
      <c r="H505" s="697" t="s">
        <v>39</v>
      </c>
      <c r="I505" s="698" t="s">
        <v>270</v>
      </c>
      <c r="J505" s="10" t="s">
        <v>50</v>
      </c>
      <c r="K505" s="24">
        <f>30150+109.8-188</f>
        <v>30071.8</v>
      </c>
      <c r="L505" s="24">
        <f>M505-K505</f>
        <v>0</v>
      </c>
      <c r="M505" s="24">
        <f>30150+109.8-188</f>
        <v>30071.8</v>
      </c>
    </row>
    <row r="506" spans="1:13" s="125" customFormat="1" ht="54" customHeight="1" x14ac:dyDescent="0.35">
      <c r="A506" s="11"/>
      <c r="B506" s="518" t="s">
        <v>55</v>
      </c>
      <c r="C506" s="23" t="s">
        <v>425</v>
      </c>
      <c r="D506" s="10" t="s">
        <v>224</v>
      </c>
      <c r="E506" s="10" t="s">
        <v>39</v>
      </c>
      <c r="F506" s="696" t="s">
        <v>39</v>
      </c>
      <c r="G506" s="697" t="s">
        <v>45</v>
      </c>
      <c r="H506" s="697" t="s">
        <v>39</v>
      </c>
      <c r="I506" s="698" t="s">
        <v>270</v>
      </c>
      <c r="J506" s="10" t="s">
        <v>56</v>
      </c>
      <c r="K506" s="24">
        <f>1983+188</f>
        <v>2171</v>
      </c>
      <c r="L506" s="24">
        <f>M506-K506</f>
        <v>0</v>
      </c>
      <c r="M506" s="24">
        <f>1983+188</f>
        <v>2171</v>
      </c>
    </row>
    <row r="507" spans="1:13" s="125" customFormat="1" ht="54" customHeight="1" x14ac:dyDescent="0.35">
      <c r="A507" s="11"/>
      <c r="B507" s="518" t="s">
        <v>76</v>
      </c>
      <c r="C507" s="23" t="s">
        <v>425</v>
      </c>
      <c r="D507" s="10" t="s">
        <v>224</v>
      </c>
      <c r="E507" s="10" t="s">
        <v>39</v>
      </c>
      <c r="F507" s="696" t="s">
        <v>39</v>
      </c>
      <c r="G507" s="697" t="s">
        <v>45</v>
      </c>
      <c r="H507" s="697" t="s">
        <v>39</v>
      </c>
      <c r="I507" s="698" t="s">
        <v>270</v>
      </c>
      <c r="J507" s="10" t="s">
        <v>77</v>
      </c>
      <c r="K507" s="24">
        <f>425476.2+927.8-36.7</f>
        <v>426367.3</v>
      </c>
      <c r="L507" s="24">
        <f>M507-K507</f>
        <v>0</v>
      </c>
      <c r="M507" s="24">
        <f>425476.2+927.8-36.7</f>
        <v>426367.3</v>
      </c>
    </row>
    <row r="508" spans="1:13" s="121" customFormat="1" ht="90" customHeight="1" x14ac:dyDescent="0.35">
      <c r="A508" s="11"/>
      <c r="B508" s="518" t="s">
        <v>209</v>
      </c>
      <c r="C508" s="23" t="s">
        <v>425</v>
      </c>
      <c r="D508" s="10" t="s">
        <v>224</v>
      </c>
      <c r="E508" s="10" t="s">
        <v>39</v>
      </c>
      <c r="F508" s="696" t="s">
        <v>39</v>
      </c>
      <c r="G508" s="697" t="s">
        <v>45</v>
      </c>
      <c r="H508" s="697" t="s">
        <v>39</v>
      </c>
      <c r="I508" s="698" t="s">
        <v>275</v>
      </c>
      <c r="J508" s="10"/>
      <c r="K508" s="24">
        <f>SUM(K509:K510)</f>
        <v>2484.5</v>
      </c>
      <c r="L508" s="24">
        <f>SUM(L509:L510)</f>
        <v>0</v>
      </c>
      <c r="M508" s="24">
        <f>SUM(M509:M510)</f>
        <v>2484.5</v>
      </c>
    </row>
    <row r="509" spans="1:13" s="121" customFormat="1" ht="54" customHeight="1" x14ac:dyDescent="0.35">
      <c r="A509" s="11"/>
      <c r="B509" s="518" t="s">
        <v>55</v>
      </c>
      <c r="C509" s="23" t="s">
        <v>425</v>
      </c>
      <c r="D509" s="10" t="s">
        <v>224</v>
      </c>
      <c r="E509" s="10" t="s">
        <v>39</v>
      </c>
      <c r="F509" s="696" t="s">
        <v>39</v>
      </c>
      <c r="G509" s="697" t="s">
        <v>45</v>
      </c>
      <c r="H509" s="697" t="s">
        <v>39</v>
      </c>
      <c r="I509" s="698" t="s">
        <v>275</v>
      </c>
      <c r="J509" s="10" t="s">
        <v>56</v>
      </c>
      <c r="K509" s="24">
        <v>123.3</v>
      </c>
      <c r="L509" s="24">
        <f>M509-K509</f>
        <v>0</v>
      </c>
      <c r="M509" s="24">
        <v>123.3</v>
      </c>
    </row>
    <row r="510" spans="1:13" s="121" customFormat="1" ht="54" customHeight="1" x14ac:dyDescent="0.35">
      <c r="A510" s="11"/>
      <c r="B510" s="518" t="s">
        <v>76</v>
      </c>
      <c r="C510" s="23" t="s">
        <v>425</v>
      </c>
      <c r="D510" s="10" t="s">
        <v>224</v>
      </c>
      <c r="E510" s="10" t="s">
        <v>39</v>
      </c>
      <c r="F510" s="696" t="s">
        <v>39</v>
      </c>
      <c r="G510" s="697" t="s">
        <v>45</v>
      </c>
      <c r="H510" s="697" t="s">
        <v>39</v>
      </c>
      <c r="I510" s="698" t="s">
        <v>275</v>
      </c>
      <c r="J510" s="10" t="s">
        <v>77</v>
      </c>
      <c r="K510" s="24">
        <v>2361.1999999999998</v>
      </c>
      <c r="L510" s="24">
        <f>M510-K510</f>
        <v>0</v>
      </c>
      <c r="M510" s="24">
        <v>2361.1999999999998</v>
      </c>
    </row>
    <row r="511" spans="1:13" s="121" customFormat="1" ht="54" customHeight="1" x14ac:dyDescent="0.35">
      <c r="A511" s="11"/>
      <c r="B511" s="518" t="s">
        <v>697</v>
      </c>
      <c r="C511" s="23" t="s">
        <v>425</v>
      </c>
      <c r="D511" s="10" t="s">
        <v>224</v>
      </c>
      <c r="E511" s="10" t="s">
        <v>39</v>
      </c>
      <c r="F511" s="696" t="s">
        <v>39</v>
      </c>
      <c r="G511" s="697" t="s">
        <v>45</v>
      </c>
      <c r="H511" s="697" t="s">
        <v>39</v>
      </c>
      <c r="I511" s="698" t="s">
        <v>696</v>
      </c>
      <c r="J511" s="10"/>
      <c r="K511" s="24">
        <f>K512</f>
        <v>22664.799999999999</v>
      </c>
      <c r="L511" s="24">
        <f>L512</f>
        <v>0</v>
      </c>
      <c r="M511" s="24">
        <f>M512</f>
        <v>22664.799999999999</v>
      </c>
    </row>
    <row r="512" spans="1:13" s="121" customFormat="1" ht="54" customHeight="1" x14ac:dyDescent="0.35">
      <c r="A512" s="11"/>
      <c r="B512" s="518" t="s">
        <v>76</v>
      </c>
      <c r="C512" s="23" t="s">
        <v>425</v>
      </c>
      <c r="D512" s="10" t="s">
        <v>224</v>
      </c>
      <c r="E512" s="10" t="s">
        <v>39</v>
      </c>
      <c r="F512" s="696" t="s">
        <v>39</v>
      </c>
      <c r="G512" s="697" t="s">
        <v>45</v>
      </c>
      <c r="H512" s="697" t="s">
        <v>39</v>
      </c>
      <c r="I512" s="698" t="s">
        <v>696</v>
      </c>
      <c r="J512" s="10" t="s">
        <v>77</v>
      </c>
      <c r="K512" s="24">
        <f>2500+20164.8</f>
        <v>22664.799999999999</v>
      </c>
      <c r="L512" s="24">
        <f>M512-K512</f>
        <v>0</v>
      </c>
      <c r="M512" s="24">
        <f>2500+20164.8</f>
        <v>22664.799999999999</v>
      </c>
    </row>
    <row r="513" spans="1:13" s="121" customFormat="1" ht="162" customHeight="1" x14ac:dyDescent="0.35">
      <c r="A513" s="11"/>
      <c r="B513" s="518" t="s">
        <v>553</v>
      </c>
      <c r="C513" s="23" t="s">
        <v>425</v>
      </c>
      <c r="D513" s="10" t="s">
        <v>224</v>
      </c>
      <c r="E513" s="10" t="s">
        <v>39</v>
      </c>
      <c r="F513" s="696" t="s">
        <v>39</v>
      </c>
      <c r="G513" s="697" t="s">
        <v>45</v>
      </c>
      <c r="H513" s="697" t="s">
        <v>39</v>
      </c>
      <c r="I513" s="698" t="s">
        <v>552</v>
      </c>
      <c r="J513" s="10"/>
      <c r="K513" s="24">
        <f>SUM(K514:K516)</f>
        <v>2268.1999999999998</v>
      </c>
      <c r="L513" s="24">
        <f>SUM(L514:L516)</f>
        <v>0</v>
      </c>
      <c r="M513" s="24">
        <f>SUM(M514:M516)</f>
        <v>2268.1999999999998</v>
      </c>
    </row>
    <row r="514" spans="1:13" s="121" customFormat="1" ht="54" customHeight="1" x14ac:dyDescent="0.35">
      <c r="A514" s="11"/>
      <c r="B514" s="518" t="s">
        <v>55</v>
      </c>
      <c r="C514" s="23" t="s">
        <v>425</v>
      </c>
      <c r="D514" s="10" t="s">
        <v>224</v>
      </c>
      <c r="E514" s="10" t="s">
        <v>39</v>
      </c>
      <c r="F514" s="696" t="s">
        <v>39</v>
      </c>
      <c r="G514" s="697" t="s">
        <v>45</v>
      </c>
      <c r="H514" s="697" t="s">
        <v>39</v>
      </c>
      <c r="I514" s="698" t="s">
        <v>552</v>
      </c>
      <c r="J514" s="10" t="s">
        <v>56</v>
      </c>
      <c r="K514" s="24">
        <v>91.9</v>
      </c>
      <c r="L514" s="24">
        <f>M514-K514</f>
        <v>0</v>
      </c>
      <c r="M514" s="24">
        <v>91.9</v>
      </c>
    </row>
    <row r="515" spans="1:13" s="121" customFormat="1" ht="36" customHeight="1" x14ac:dyDescent="0.35">
      <c r="A515" s="11"/>
      <c r="B515" s="515" t="s">
        <v>120</v>
      </c>
      <c r="C515" s="23" t="s">
        <v>425</v>
      </c>
      <c r="D515" s="10" t="s">
        <v>224</v>
      </c>
      <c r="E515" s="10" t="s">
        <v>39</v>
      </c>
      <c r="F515" s="696" t="s">
        <v>39</v>
      </c>
      <c r="G515" s="697" t="s">
        <v>45</v>
      </c>
      <c r="H515" s="697" t="s">
        <v>39</v>
      </c>
      <c r="I515" s="698" t="s">
        <v>552</v>
      </c>
      <c r="J515" s="10" t="s">
        <v>121</v>
      </c>
      <c r="K515" s="24">
        <v>23.6</v>
      </c>
      <c r="L515" s="24">
        <f>M515-K515</f>
        <v>0</v>
      </c>
      <c r="M515" s="24">
        <v>23.6</v>
      </c>
    </row>
    <row r="516" spans="1:13" s="121" customFormat="1" ht="54" customHeight="1" x14ac:dyDescent="0.35">
      <c r="A516" s="11"/>
      <c r="B516" s="518" t="s">
        <v>76</v>
      </c>
      <c r="C516" s="23" t="s">
        <v>425</v>
      </c>
      <c r="D516" s="10" t="s">
        <v>224</v>
      </c>
      <c r="E516" s="10" t="s">
        <v>39</v>
      </c>
      <c r="F516" s="696" t="s">
        <v>39</v>
      </c>
      <c r="G516" s="697" t="s">
        <v>45</v>
      </c>
      <c r="H516" s="697" t="s">
        <v>39</v>
      </c>
      <c r="I516" s="698" t="s">
        <v>552</v>
      </c>
      <c r="J516" s="10" t="s">
        <v>77</v>
      </c>
      <c r="K516" s="24">
        <v>2152.6999999999998</v>
      </c>
      <c r="L516" s="24">
        <f>M516-K516</f>
        <v>0</v>
      </c>
      <c r="M516" s="24">
        <v>2152.6999999999998</v>
      </c>
    </row>
    <row r="517" spans="1:13" s="121" customFormat="1" ht="72" customHeight="1" x14ac:dyDescent="0.35">
      <c r="A517" s="11"/>
      <c r="B517" s="518" t="s">
        <v>457</v>
      </c>
      <c r="C517" s="23" t="s">
        <v>425</v>
      </c>
      <c r="D517" s="10" t="s">
        <v>224</v>
      </c>
      <c r="E517" s="10" t="s">
        <v>39</v>
      </c>
      <c r="F517" s="696" t="s">
        <v>39</v>
      </c>
      <c r="G517" s="697" t="s">
        <v>45</v>
      </c>
      <c r="H517" s="697" t="s">
        <v>39</v>
      </c>
      <c r="I517" s="698" t="s">
        <v>456</v>
      </c>
      <c r="J517" s="10"/>
      <c r="K517" s="24">
        <f>K518+K519</f>
        <v>66492.899999999994</v>
      </c>
      <c r="L517" s="24">
        <f>L518+L519</f>
        <v>0</v>
      </c>
      <c r="M517" s="24">
        <f>M518+M519</f>
        <v>66492.899999999994</v>
      </c>
    </row>
    <row r="518" spans="1:13" s="121" customFormat="1" ht="54" customHeight="1" x14ac:dyDescent="0.35">
      <c r="A518" s="11"/>
      <c r="B518" s="518" t="s">
        <v>55</v>
      </c>
      <c r="C518" s="23" t="s">
        <v>425</v>
      </c>
      <c r="D518" s="10" t="s">
        <v>224</v>
      </c>
      <c r="E518" s="10" t="s">
        <v>39</v>
      </c>
      <c r="F518" s="696" t="s">
        <v>39</v>
      </c>
      <c r="G518" s="697" t="s">
        <v>45</v>
      </c>
      <c r="H518" s="697" t="s">
        <v>39</v>
      </c>
      <c r="I518" s="698" t="s">
        <v>456</v>
      </c>
      <c r="J518" s="10" t="s">
        <v>56</v>
      </c>
      <c r="K518" s="24">
        <f>1516.6+427.8+55.9+4.2</f>
        <v>2004.5</v>
      </c>
      <c r="L518" s="24">
        <f>M518-K518</f>
        <v>0</v>
      </c>
      <c r="M518" s="24">
        <f>1516.6+427.8+55.9+4.2</f>
        <v>2004.5</v>
      </c>
    </row>
    <row r="519" spans="1:13" s="121" customFormat="1" ht="54" customHeight="1" x14ac:dyDescent="0.35">
      <c r="A519" s="11"/>
      <c r="B519" s="518" t="s">
        <v>76</v>
      </c>
      <c r="C519" s="23" t="s">
        <v>425</v>
      </c>
      <c r="D519" s="10" t="s">
        <v>224</v>
      </c>
      <c r="E519" s="10" t="s">
        <v>39</v>
      </c>
      <c r="F519" s="696" t="s">
        <v>39</v>
      </c>
      <c r="G519" s="697" t="s">
        <v>45</v>
      </c>
      <c r="H519" s="697" t="s">
        <v>39</v>
      </c>
      <c r="I519" s="698" t="s">
        <v>456</v>
      </c>
      <c r="J519" s="10" t="s">
        <v>77</v>
      </c>
      <c r="K519" s="24">
        <f>48791.9+13761.8+1797.7+137</f>
        <v>64488.399999999994</v>
      </c>
      <c r="L519" s="24">
        <f>M519-K519</f>
        <v>0</v>
      </c>
      <c r="M519" s="24">
        <f>48791.9+13761.8+1797.7+137</f>
        <v>64488.399999999994</v>
      </c>
    </row>
    <row r="520" spans="1:13" s="121" customFormat="1" ht="36" customHeight="1" x14ac:dyDescent="0.35">
      <c r="A520" s="11"/>
      <c r="B520" s="518" t="s">
        <v>656</v>
      </c>
      <c r="C520" s="23" t="s">
        <v>425</v>
      </c>
      <c r="D520" s="10" t="s">
        <v>224</v>
      </c>
      <c r="E520" s="10" t="s">
        <v>39</v>
      </c>
      <c r="F520" s="696" t="s">
        <v>39</v>
      </c>
      <c r="G520" s="697" t="s">
        <v>45</v>
      </c>
      <c r="H520" s="697" t="s">
        <v>39</v>
      </c>
      <c r="I520" s="698" t="s">
        <v>664</v>
      </c>
      <c r="J520" s="10"/>
      <c r="K520" s="24">
        <f>K521</f>
        <v>40386.799999999996</v>
      </c>
      <c r="L520" s="24">
        <f>L521</f>
        <v>0</v>
      </c>
      <c r="M520" s="24">
        <f>M521</f>
        <v>40386.799999999996</v>
      </c>
    </row>
    <row r="521" spans="1:13" s="121" customFormat="1" ht="54" customHeight="1" x14ac:dyDescent="0.35">
      <c r="A521" s="11"/>
      <c r="B521" s="518" t="s">
        <v>76</v>
      </c>
      <c r="C521" s="23" t="s">
        <v>425</v>
      </c>
      <c r="D521" s="10" t="s">
        <v>224</v>
      </c>
      <c r="E521" s="10" t="s">
        <v>39</v>
      </c>
      <c r="F521" s="696" t="s">
        <v>39</v>
      </c>
      <c r="G521" s="697" t="s">
        <v>45</v>
      </c>
      <c r="H521" s="697" t="s">
        <v>39</v>
      </c>
      <c r="I521" s="698" t="s">
        <v>664</v>
      </c>
      <c r="J521" s="10" t="s">
        <v>77</v>
      </c>
      <c r="K521" s="24">
        <f>39175.1+1211.7</f>
        <v>40386.799999999996</v>
      </c>
      <c r="L521" s="24">
        <f>M521-K521</f>
        <v>0</v>
      </c>
      <c r="M521" s="24">
        <f>39175.1+1211.7</f>
        <v>40386.799999999996</v>
      </c>
    </row>
    <row r="522" spans="1:13" s="121" customFormat="1" ht="90" customHeight="1" x14ac:dyDescent="0.35">
      <c r="A522" s="11"/>
      <c r="B522" s="518" t="s">
        <v>550</v>
      </c>
      <c r="C522" s="23" t="s">
        <v>425</v>
      </c>
      <c r="D522" s="10" t="s">
        <v>224</v>
      </c>
      <c r="E522" s="10" t="s">
        <v>39</v>
      </c>
      <c r="F522" s="696" t="s">
        <v>39</v>
      </c>
      <c r="G522" s="697" t="s">
        <v>45</v>
      </c>
      <c r="H522" s="697" t="s">
        <v>39</v>
      </c>
      <c r="I522" s="698" t="s">
        <v>549</v>
      </c>
      <c r="J522" s="10"/>
      <c r="K522" s="24">
        <f>SUM(K523:K525)</f>
        <v>15819.5</v>
      </c>
      <c r="L522" s="24">
        <f>SUM(L523:L525)</f>
        <v>0</v>
      </c>
      <c r="M522" s="24">
        <f>SUM(M523:M525)</f>
        <v>15819.5</v>
      </c>
    </row>
    <row r="523" spans="1:13" s="121" customFormat="1" ht="54" customHeight="1" x14ac:dyDescent="0.35">
      <c r="A523" s="11"/>
      <c r="B523" s="518" t="s">
        <v>55</v>
      </c>
      <c r="C523" s="23" t="s">
        <v>425</v>
      </c>
      <c r="D523" s="10" t="s">
        <v>224</v>
      </c>
      <c r="E523" s="10" t="s">
        <v>39</v>
      </c>
      <c r="F523" s="696" t="s">
        <v>39</v>
      </c>
      <c r="G523" s="697" t="s">
        <v>45</v>
      </c>
      <c r="H523" s="697" t="s">
        <v>39</v>
      </c>
      <c r="I523" s="698" t="s">
        <v>549</v>
      </c>
      <c r="J523" s="10" t="s">
        <v>56</v>
      </c>
      <c r="K523" s="24">
        <v>115.4</v>
      </c>
      <c r="L523" s="24">
        <f>M523-K523</f>
        <v>0</v>
      </c>
      <c r="M523" s="24">
        <v>115.4</v>
      </c>
    </row>
    <row r="524" spans="1:13" s="121" customFormat="1" ht="36" customHeight="1" x14ac:dyDescent="0.35">
      <c r="A524" s="11"/>
      <c r="B524" s="518" t="s">
        <v>120</v>
      </c>
      <c r="C524" s="23" t="s">
        <v>425</v>
      </c>
      <c r="D524" s="10" t="s">
        <v>224</v>
      </c>
      <c r="E524" s="10" t="s">
        <v>39</v>
      </c>
      <c r="F524" s="696" t="s">
        <v>39</v>
      </c>
      <c r="G524" s="697" t="s">
        <v>45</v>
      </c>
      <c r="H524" s="697" t="s">
        <v>39</v>
      </c>
      <c r="I524" s="698" t="s">
        <v>549</v>
      </c>
      <c r="J524" s="10" t="s">
        <v>121</v>
      </c>
      <c r="K524" s="24">
        <v>102.2</v>
      </c>
      <c r="L524" s="24">
        <f>M524-K524</f>
        <v>0</v>
      </c>
      <c r="M524" s="24">
        <v>102.2</v>
      </c>
    </row>
    <row r="525" spans="1:13" s="121" customFormat="1" ht="54" customHeight="1" x14ac:dyDescent="0.35">
      <c r="A525" s="11"/>
      <c r="B525" s="518" t="s">
        <v>76</v>
      </c>
      <c r="C525" s="23" t="s">
        <v>425</v>
      </c>
      <c r="D525" s="10" t="s">
        <v>224</v>
      </c>
      <c r="E525" s="10" t="s">
        <v>39</v>
      </c>
      <c r="F525" s="696" t="s">
        <v>39</v>
      </c>
      <c r="G525" s="697" t="s">
        <v>45</v>
      </c>
      <c r="H525" s="697" t="s">
        <v>39</v>
      </c>
      <c r="I525" s="698" t="s">
        <v>549</v>
      </c>
      <c r="J525" s="10" t="s">
        <v>77</v>
      </c>
      <c r="K525" s="24">
        <v>15601.9</v>
      </c>
      <c r="L525" s="24">
        <f>M525-K525</f>
        <v>0</v>
      </c>
      <c r="M525" s="24">
        <v>15601.9</v>
      </c>
    </row>
    <row r="526" spans="1:13" s="121" customFormat="1" ht="36" customHeight="1" x14ac:dyDescent="0.35">
      <c r="A526" s="11"/>
      <c r="B526" s="518" t="s">
        <v>663</v>
      </c>
      <c r="C526" s="23" t="s">
        <v>425</v>
      </c>
      <c r="D526" s="10" t="s">
        <v>224</v>
      </c>
      <c r="E526" s="10" t="s">
        <v>39</v>
      </c>
      <c r="F526" s="696" t="s">
        <v>39</v>
      </c>
      <c r="G526" s="697" t="s">
        <v>45</v>
      </c>
      <c r="H526" s="697" t="s">
        <v>657</v>
      </c>
      <c r="I526" s="698" t="s">
        <v>44</v>
      </c>
      <c r="J526" s="10"/>
      <c r="K526" s="24">
        <f>K527+K530</f>
        <v>5656.9</v>
      </c>
      <c r="L526" s="24">
        <f>L527+L530</f>
        <v>0</v>
      </c>
      <c r="M526" s="24">
        <f>M527+M530</f>
        <v>5656.9</v>
      </c>
    </row>
    <row r="527" spans="1:13" s="121" customFormat="1" ht="90" customHeight="1" x14ac:dyDescent="0.35">
      <c r="A527" s="11"/>
      <c r="B527" s="518" t="s">
        <v>676</v>
      </c>
      <c r="C527" s="23" t="s">
        <v>425</v>
      </c>
      <c r="D527" s="10" t="s">
        <v>224</v>
      </c>
      <c r="E527" s="10" t="s">
        <v>39</v>
      </c>
      <c r="F527" s="696" t="s">
        <v>39</v>
      </c>
      <c r="G527" s="697" t="s">
        <v>45</v>
      </c>
      <c r="H527" s="697" t="s">
        <v>657</v>
      </c>
      <c r="I527" s="698" t="s">
        <v>675</v>
      </c>
      <c r="J527" s="10"/>
      <c r="K527" s="24">
        <f>K528+K529</f>
        <v>5560</v>
      </c>
      <c r="L527" s="24">
        <f>L528+L529</f>
        <v>0</v>
      </c>
      <c r="M527" s="24">
        <f>M528+M529</f>
        <v>5560</v>
      </c>
    </row>
    <row r="528" spans="1:13" s="121" customFormat="1" ht="108" customHeight="1" x14ac:dyDescent="0.35">
      <c r="A528" s="11"/>
      <c r="B528" s="518" t="s">
        <v>49</v>
      </c>
      <c r="C528" s="23" t="s">
        <v>425</v>
      </c>
      <c r="D528" s="10" t="s">
        <v>224</v>
      </c>
      <c r="E528" s="10" t="s">
        <v>39</v>
      </c>
      <c r="F528" s="696" t="s">
        <v>39</v>
      </c>
      <c r="G528" s="697" t="s">
        <v>45</v>
      </c>
      <c r="H528" s="697" t="s">
        <v>657</v>
      </c>
      <c r="I528" s="698" t="s">
        <v>675</v>
      </c>
      <c r="J528" s="10" t="s">
        <v>50</v>
      </c>
      <c r="K528" s="24">
        <v>406.82925</v>
      </c>
      <c r="L528" s="24">
        <f t="shared" ref="L528:L529" si="72">M528-K528</f>
        <v>0</v>
      </c>
      <c r="M528" s="24">
        <v>406.82925</v>
      </c>
    </row>
    <row r="529" spans="1:13" s="121" customFormat="1" ht="54" customHeight="1" x14ac:dyDescent="0.35">
      <c r="A529" s="11"/>
      <c r="B529" s="518" t="s">
        <v>76</v>
      </c>
      <c r="C529" s="23" t="s">
        <v>425</v>
      </c>
      <c r="D529" s="10" t="s">
        <v>224</v>
      </c>
      <c r="E529" s="10" t="s">
        <v>39</v>
      </c>
      <c r="F529" s="696" t="s">
        <v>39</v>
      </c>
      <c r="G529" s="697" t="s">
        <v>45</v>
      </c>
      <c r="H529" s="697" t="s">
        <v>657</v>
      </c>
      <c r="I529" s="698" t="s">
        <v>675</v>
      </c>
      <c r="J529" s="10" t="s">
        <v>77</v>
      </c>
      <c r="K529" s="24">
        <v>5153.1707500000002</v>
      </c>
      <c r="L529" s="24">
        <f t="shared" si="72"/>
        <v>0</v>
      </c>
      <c r="M529" s="24">
        <v>5153.1707500000002</v>
      </c>
    </row>
    <row r="530" spans="1:13" s="121" customFormat="1" ht="108" customHeight="1" x14ac:dyDescent="0.35">
      <c r="A530" s="11"/>
      <c r="B530" s="518" t="s">
        <v>659</v>
      </c>
      <c r="C530" s="23" t="s">
        <v>425</v>
      </c>
      <c r="D530" s="10" t="s">
        <v>224</v>
      </c>
      <c r="E530" s="10" t="s">
        <v>39</v>
      </c>
      <c r="F530" s="696" t="s">
        <v>39</v>
      </c>
      <c r="G530" s="697" t="s">
        <v>45</v>
      </c>
      <c r="H530" s="697" t="s">
        <v>657</v>
      </c>
      <c r="I530" s="698" t="s">
        <v>658</v>
      </c>
      <c r="J530" s="10"/>
      <c r="K530" s="24">
        <f t="shared" ref="K530:M530" si="73">K531</f>
        <v>96.9</v>
      </c>
      <c r="L530" s="24">
        <f t="shared" si="73"/>
        <v>0</v>
      </c>
      <c r="M530" s="24">
        <f t="shared" si="73"/>
        <v>96.9</v>
      </c>
    </row>
    <row r="531" spans="1:13" s="121" customFormat="1" ht="54" customHeight="1" x14ac:dyDescent="0.35">
      <c r="A531" s="11"/>
      <c r="B531" s="518" t="s">
        <v>76</v>
      </c>
      <c r="C531" s="23" t="s">
        <v>425</v>
      </c>
      <c r="D531" s="10" t="s">
        <v>224</v>
      </c>
      <c r="E531" s="10" t="s">
        <v>39</v>
      </c>
      <c r="F531" s="696" t="s">
        <v>39</v>
      </c>
      <c r="G531" s="697" t="s">
        <v>45</v>
      </c>
      <c r="H531" s="697" t="s">
        <v>657</v>
      </c>
      <c r="I531" s="698" t="s">
        <v>658</v>
      </c>
      <c r="J531" s="10" t="s">
        <v>77</v>
      </c>
      <c r="K531" s="24">
        <f>93.9+3</f>
        <v>96.9</v>
      </c>
      <c r="L531" s="24">
        <f>M531-K531</f>
        <v>0</v>
      </c>
      <c r="M531" s="24">
        <f>93.9+3</f>
        <v>96.9</v>
      </c>
    </row>
    <row r="532" spans="1:13" s="125" customFormat="1" ht="54" customHeight="1" x14ac:dyDescent="0.35">
      <c r="A532" s="11"/>
      <c r="B532" s="518" t="s">
        <v>212</v>
      </c>
      <c r="C532" s="23" t="s">
        <v>425</v>
      </c>
      <c r="D532" s="10" t="s">
        <v>224</v>
      </c>
      <c r="E532" s="10" t="s">
        <v>39</v>
      </c>
      <c r="F532" s="696" t="s">
        <v>39</v>
      </c>
      <c r="G532" s="697" t="s">
        <v>30</v>
      </c>
      <c r="H532" s="697" t="s">
        <v>43</v>
      </c>
      <c r="I532" s="698" t="s">
        <v>44</v>
      </c>
      <c r="J532" s="10"/>
      <c r="K532" s="24">
        <f t="shared" ref="K532:M533" si="74">K533</f>
        <v>2222.1999999999998</v>
      </c>
      <c r="L532" s="24">
        <f t="shared" si="74"/>
        <v>0</v>
      </c>
      <c r="M532" s="24">
        <f t="shared" si="74"/>
        <v>2222.1999999999998</v>
      </c>
    </row>
    <row r="533" spans="1:13" s="125" customFormat="1" ht="36" customHeight="1" x14ac:dyDescent="0.35">
      <c r="A533" s="11"/>
      <c r="B533" s="518" t="s">
        <v>282</v>
      </c>
      <c r="C533" s="23" t="s">
        <v>425</v>
      </c>
      <c r="D533" s="10" t="s">
        <v>224</v>
      </c>
      <c r="E533" s="10" t="s">
        <v>39</v>
      </c>
      <c r="F533" s="696" t="s">
        <v>39</v>
      </c>
      <c r="G533" s="697" t="s">
        <v>30</v>
      </c>
      <c r="H533" s="697" t="s">
        <v>37</v>
      </c>
      <c r="I533" s="698" t="s">
        <v>44</v>
      </c>
      <c r="J533" s="10"/>
      <c r="K533" s="24">
        <f t="shared" si="74"/>
        <v>2222.1999999999998</v>
      </c>
      <c r="L533" s="24">
        <f t="shared" si="74"/>
        <v>0</v>
      </c>
      <c r="M533" s="24">
        <f t="shared" si="74"/>
        <v>2222.1999999999998</v>
      </c>
    </row>
    <row r="534" spans="1:13" s="125" customFormat="1" ht="252" customHeight="1" x14ac:dyDescent="0.35">
      <c r="A534" s="11"/>
      <c r="B534" s="518" t="s">
        <v>435</v>
      </c>
      <c r="C534" s="23" t="s">
        <v>425</v>
      </c>
      <c r="D534" s="10" t="s">
        <v>224</v>
      </c>
      <c r="E534" s="10" t="s">
        <v>39</v>
      </c>
      <c r="F534" s="696" t="s">
        <v>39</v>
      </c>
      <c r="G534" s="697" t="s">
        <v>30</v>
      </c>
      <c r="H534" s="697" t="s">
        <v>37</v>
      </c>
      <c r="I534" s="698" t="s">
        <v>346</v>
      </c>
      <c r="J534" s="10"/>
      <c r="K534" s="24">
        <f>K535</f>
        <v>2222.1999999999998</v>
      </c>
      <c r="L534" s="24">
        <f>L535</f>
        <v>0</v>
      </c>
      <c r="M534" s="24">
        <f>M535</f>
        <v>2222.1999999999998</v>
      </c>
    </row>
    <row r="535" spans="1:13" s="125" customFormat="1" ht="54" customHeight="1" x14ac:dyDescent="0.35">
      <c r="A535" s="11"/>
      <c r="B535" s="518" t="s">
        <v>76</v>
      </c>
      <c r="C535" s="23" t="s">
        <v>425</v>
      </c>
      <c r="D535" s="10" t="s">
        <v>224</v>
      </c>
      <c r="E535" s="10" t="s">
        <v>39</v>
      </c>
      <c r="F535" s="696" t="s">
        <v>39</v>
      </c>
      <c r="G535" s="697" t="s">
        <v>30</v>
      </c>
      <c r="H535" s="697" t="s">
        <v>37</v>
      </c>
      <c r="I535" s="698" t="s">
        <v>346</v>
      </c>
      <c r="J535" s="10" t="s">
        <v>77</v>
      </c>
      <c r="K535" s="24">
        <f>2214+8.2</f>
        <v>2222.1999999999998</v>
      </c>
      <c r="L535" s="24">
        <f>M535-K535</f>
        <v>0</v>
      </c>
      <c r="M535" s="24">
        <f>2214+8.2</f>
        <v>2222.1999999999998</v>
      </c>
    </row>
    <row r="536" spans="1:13" s="125" customFormat="1" ht="18" customHeight="1" x14ac:dyDescent="0.35">
      <c r="A536" s="11"/>
      <c r="B536" s="518" t="s">
        <v>349</v>
      </c>
      <c r="C536" s="23" t="s">
        <v>425</v>
      </c>
      <c r="D536" s="10" t="s">
        <v>224</v>
      </c>
      <c r="E536" s="10" t="s">
        <v>63</v>
      </c>
      <c r="F536" s="696"/>
      <c r="G536" s="697"/>
      <c r="H536" s="697"/>
      <c r="I536" s="698"/>
      <c r="J536" s="10"/>
      <c r="K536" s="24">
        <f>K537+K562</f>
        <v>77886.047000000006</v>
      </c>
      <c r="L536" s="24">
        <f>L537+L562</f>
        <v>595.40000000000146</v>
      </c>
      <c r="M536" s="24">
        <f>M537+M562</f>
        <v>78481.447</v>
      </c>
    </row>
    <row r="537" spans="1:13" s="125" customFormat="1" ht="54" customHeight="1" x14ac:dyDescent="0.35">
      <c r="A537" s="11"/>
      <c r="B537" s="587" t="s">
        <v>205</v>
      </c>
      <c r="C537" s="23" t="s">
        <v>425</v>
      </c>
      <c r="D537" s="10" t="s">
        <v>224</v>
      </c>
      <c r="E537" s="10" t="s">
        <v>63</v>
      </c>
      <c r="F537" s="696" t="s">
        <v>39</v>
      </c>
      <c r="G537" s="697" t="s">
        <v>42</v>
      </c>
      <c r="H537" s="697" t="s">
        <v>43</v>
      </c>
      <c r="I537" s="698" t="s">
        <v>44</v>
      </c>
      <c r="J537" s="10"/>
      <c r="K537" s="24">
        <f t="shared" ref="K537:M538" si="75">K538</f>
        <v>77314.447</v>
      </c>
      <c r="L537" s="24">
        <f t="shared" si="75"/>
        <v>595.40000000000146</v>
      </c>
      <c r="M537" s="24">
        <f t="shared" si="75"/>
        <v>77909.846999999994</v>
      </c>
    </row>
    <row r="538" spans="1:13" s="125" customFormat="1" ht="18" customHeight="1" x14ac:dyDescent="0.35">
      <c r="A538" s="11"/>
      <c r="B538" s="518" t="s">
        <v>210</v>
      </c>
      <c r="C538" s="23" t="s">
        <v>425</v>
      </c>
      <c r="D538" s="10" t="s">
        <v>224</v>
      </c>
      <c r="E538" s="10" t="s">
        <v>63</v>
      </c>
      <c r="F538" s="696" t="s">
        <v>39</v>
      </c>
      <c r="G538" s="697" t="s">
        <v>89</v>
      </c>
      <c r="H538" s="697" t="s">
        <v>43</v>
      </c>
      <c r="I538" s="698" t="s">
        <v>44</v>
      </c>
      <c r="J538" s="10"/>
      <c r="K538" s="24">
        <f t="shared" si="75"/>
        <v>77314.447</v>
      </c>
      <c r="L538" s="24">
        <f t="shared" si="75"/>
        <v>595.40000000000146</v>
      </c>
      <c r="M538" s="24">
        <f t="shared" si="75"/>
        <v>77909.846999999994</v>
      </c>
    </row>
    <row r="539" spans="1:13" s="125" customFormat="1" ht="36" customHeight="1" x14ac:dyDescent="0.35">
      <c r="A539" s="11"/>
      <c r="B539" s="518" t="s">
        <v>276</v>
      </c>
      <c r="C539" s="23" t="s">
        <v>425</v>
      </c>
      <c r="D539" s="10" t="s">
        <v>224</v>
      </c>
      <c r="E539" s="10" t="s">
        <v>63</v>
      </c>
      <c r="F539" s="696" t="s">
        <v>39</v>
      </c>
      <c r="G539" s="697" t="s">
        <v>89</v>
      </c>
      <c r="H539" s="697" t="s">
        <v>37</v>
      </c>
      <c r="I539" s="698" t="s">
        <v>44</v>
      </c>
      <c r="J539" s="10"/>
      <c r="K539" s="24">
        <f>K540+K555+K547+K557+K550+K552+K559+K545</f>
        <v>77314.447</v>
      </c>
      <c r="L539" s="24">
        <f>L540+L555+L547+L557+L550+L552+L559+L545</f>
        <v>595.40000000000146</v>
      </c>
      <c r="M539" s="24">
        <f>M540+M555+M547+M557+M550+M552+M559+M545</f>
        <v>77909.846999999994</v>
      </c>
    </row>
    <row r="540" spans="1:13" s="125" customFormat="1" ht="36" customHeight="1" x14ac:dyDescent="0.35">
      <c r="A540" s="11"/>
      <c r="B540" s="551" t="s">
        <v>466</v>
      </c>
      <c r="C540" s="23" t="s">
        <v>425</v>
      </c>
      <c r="D540" s="10" t="s">
        <v>224</v>
      </c>
      <c r="E540" s="10" t="s">
        <v>63</v>
      </c>
      <c r="F540" s="696" t="s">
        <v>39</v>
      </c>
      <c r="G540" s="697" t="s">
        <v>89</v>
      </c>
      <c r="H540" s="697" t="s">
        <v>37</v>
      </c>
      <c r="I540" s="698" t="s">
        <v>91</v>
      </c>
      <c r="J540" s="10"/>
      <c r="K540" s="24">
        <f>SUM(K541:K544)</f>
        <v>51588.947</v>
      </c>
      <c r="L540" s="24">
        <f>SUM(L541:L544)</f>
        <v>580.40000000000146</v>
      </c>
      <c r="M540" s="24">
        <f>SUM(M541:M544)</f>
        <v>52169.347000000002</v>
      </c>
    </row>
    <row r="541" spans="1:13" s="125" customFormat="1" ht="108" customHeight="1" x14ac:dyDescent="0.35">
      <c r="A541" s="11"/>
      <c r="B541" s="518" t="s">
        <v>49</v>
      </c>
      <c r="C541" s="23" t="s">
        <v>425</v>
      </c>
      <c r="D541" s="10" t="s">
        <v>224</v>
      </c>
      <c r="E541" s="10" t="s">
        <v>63</v>
      </c>
      <c r="F541" s="696" t="s">
        <v>39</v>
      </c>
      <c r="G541" s="697" t="s">
        <v>89</v>
      </c>
      <c r="H541" s="697" t="s">
        <v>37</v>
      </c>
      <c r="I541" s="698" t="s">
        <v>91</v>
      </c>
      <c r="J541" s="10" t="s">
        <v>50</v>
      </c>
      <c r="K541" s="24">
        <f>21555.1+591.8-6302.3</f>
        <v>15844.599999999999</v>
      </c>
      <c r="L541" s="24">
        <f>M541-K541</f>
        <v>0</v>
      </c>
      <c r="M541" s="24">
        <f>21555.1+591.8-6302.3</f>
        <v>15844.599999999999</v>
      </c>
    </row>
    <row r="542" spans="1:13" s="125" customFormat="1" ht="54" customHeight="1" x14ac:dyDescent="0.35">
      <c r="A542" s="11"/>
      <c r="B542" s="518" t="s">
        <v>55</v>
      </c>
      <c r="C542" s="23" t="s">
        <v>425</v>
      </c>
      <c r="D542" s="10" t="s">
        <v>224</v>
      </c>
      <c r="E542" s="10" t="s">
        <v>63</v>
      </c>
      <c r="F542" s="696" t="s">
        <v>39</v>
      </c>
      <c r="G542" s="697" t="s">
        <v>89</v>
      </c>
      <c r="H542" s="697" t="s">
        <v>37</v>
      </c>
      <c r="I542" s="698" t="s">
        <v>91</v>
      </c>
      <c r="J542" s="10" t="s">
        <v>56</v>
      </c>
      <c r="K542" s="24">
        <f>2892.5+0.547-1154.92093-0.1+76</f>
        <v>1814.0260700000001</v>
      </c>
      <c r="L542" s="24">
        <f>M542-K542</f>
        <v>0</v>
      </c>
      <c r="M542" s="24">
        <f>2892.5+0.547-1154.92093-0.1+76</f>
        <v>1814.0260700000001</v>
      </c>
    </row>
    <row r="543" spans="1:13" s="125" customFormat="1" ht="54" customHeight="1" x14ac:dyDescent="0.35">
      <c r="A543" s="11"/>
      <c r="B543" s="518" t="s">
        <v>76</v>
      </c>
      <c r="C543" s="23" t="s">
        <v>425</v>
      </c>
      <c r="D543" s="10" t="s">
        <v>224</v>
      </c>
      <c r="E543" s="10" t="s">
        <v>63</v>
      </c>
      <c r="F543" s="696" t="s">
        <v>39</v>
      </c>
      <c r="G543" s="697" t="s">
        <v>89</v>
      </c>
      <c r="H543" s="697" t="s">
        <v>37</v>
      </c>
      <c r="I543" s="698" t="s">
        <v>91</v>
      </c>
      <c r="J543" s="10" t="s">
        <v>77</v>
      </c>
      <c r="K543" s="24">
        <f>24622.4+1273.5+7524.42093+238.1+70</f>
        <v>33728.42093</v>
      </c>
      <c r="L543" s="24">
        <f>M543-K543</f>
        <v>580.40000000000146</v>
      </c>
      <c r="M543" s="24">
        <f>24622.4+1273.5+7524.42093+238.1+70+580.4</f>
        <v>34308.820930000002</v>
      </c>
    </row>
    <row r="544" spans="1:13" s="125" customFormat="1" ht="18" customHeight="1" x14ac:dyDescent="0.35">
      <c r="A544" s="11"/>
      <c r="B544" s="518" t="s">
        <v>57</v>
      </c>
      <c r="C544" s="23" t="s">
        <v>425</v>
      </c>
      <c r="D544" s="10" t="s">
        <v>224</v>
      </c>
      <c r="E544" s="10" t="s">
        <v>63</v>
      </c>
      <c r="F544" s="696" t="s">
        <v>39</v>
      </c>
      <c r="G544" s="697" t="s">
        <v>89</v>
      </c>
      <c r="H544" s="697" t="s">
        <v>37</v>
      </c>
      <c r="I544" s="698" t="s">
        <v>91</v>
      </c>
      <c r="J544" s="10" t="s">
        <v>58</v>
      </c>
      <c r="K544" s="24">
        <f>112-67.2+0.1+157</f>
        <v>201.9</v>
      </c>
      <c r="L544" s="24">
        <f>M544-K544</f>
        <v>0</v>
      </c>
      <c r="M544" s="24">
        <f>112-67.2+0.1+157</f>
        <v>201.9</v>
      </c>
    </row>
    <row r="545" spans="1:13" s="125" customFormat="1" ht="18" customHeight="1" x14ac:dyDescent="0.35">
      <c r="A545" s="11"/>
      <c r="B545" s="518" t="s">
        <v>467</v>
      </c>
      <c r="C545" s="23" t="s">
        <v>425</v>
      </c>
      <c r="D545" s="10" t="s">
        <v>224</v>
      </c>
      <c r="E545" s="10" t="s">
        <v>63</v>
      </c>
      <c r="F545" s="696" t="s">
        <v>39</v>
      </c>
      <c r="G545" s="697" t="s">
        <v>89</v>
      </c>
      <c r="H545" s="697" t="s">
        <v>37</v>
      </c>
      <c r="I545" s="698" t="s">
        <v>381</v>
      </c>
      <c r="J545" s="10"/>
      <c r="K545" s="24">
        <f>K546</f>
        <v>498</v>
      </c>
      <c r="L545" s="24">
        <f>L546</f>
        <v>0</v>
      </c>
      <c r="M545" s="24">
        <f>M546</f>
        <v>498</v>
      </c>
    </row>
    <row r="546" spans="1:13" s="125" customFormat="1" ht="54" customHeight="1" x14ac:dyDescent="0.35">
      <c r="A546" s="11"/>
      <c r="B546" s="518" t="s">
        <v>76</v>
      </c>
      <c r="C546" s="23" t="s">
        <v>425</v>
      </c>
      <c r="D546" s="10" t="s">
        <v>224</v>
      </c>
      <c r="E546" s="10" t="s">
        <v>63</v>
      </c>
      <c r="F546" s="696" t="s">
        <v>39</v>
      </c>
      <c r="G546" s="697" t="s">
        <v>89</v>
      </c>
      <c r="H546" s="697" t="s">
        <v>37</v>
      </c>
      <c r="I546" s="698" t="s">
        <v>381</v>
      </c>
      <c r="J546" s="10" t="s">
        <v>77</v>
      </c>
      <c r="K546" s="24">
        <f>222.9+275.1</f>
        <v>498</v>
      </c>
      <c r="L546" s="24">
        <f>M546-K546</f>
        <v>0</v>
      </c>
      <c r="M546" s="24">
        <f>222.9+275.1</f>
        <v>498</v>
      </c>
    </row>
    <row r="547" spans="1:13" s="125" customFormat="1" ht="54" customHeight="1" x14ac:dyDescent="0.35">
      <c r="A547" s="11"/>
      <c r="B547" s="518" t="s">
        <v>207</v>
      </c>
      <c r="C547" s="23" t="s">
        <v>425</v>
      </c>
      <c r="D547" s="10" t="s">
        <v>224</v>
      </c>
      <c r="E547" s="10" t="s">
        <v>63</v>
      </c>
      <c r="F547" s="696" t="s">
        <v>39</v>
      </c>
      <c r="G547" s="697" t="s">
        <v>89</v>
      </c>
      <c r="H547" s="697" t="s">
        <v>37</v>
      </c>
      <c r="I547" s="698" t="s">
        <v>273</v>
      </c>
      <c r="J547" s="10"/>
      <c r="K547" s="24">
        <f>K549+K548</f>
        <v>5240.0000000000009</v>
      </c>
      <c r="L547" s="24">
        <f>L549+L548</f>
        <v>0</v>
      </c>
      <c r="M547" s="24">
        <f>M549+M548</f>
        <v>5240.0000000000009</v>
      </c>
    </row>
    <row r="548" spans="1:13" s="125" customFormat="1" ht="54" customHeight="1" x14ac:dyDescent="0.35">
      <c r="A548" s="11"/>
      <c r="B548" s="518" t="s">
        <v>55</v>
      </c>
      <c r="C548" s="23" t="s">
        <v>425</v>
      </c>
      <c r="D548" s="10" t="s">
        <v>224</v>
      </c>
      <c r="E548" s="10" t="s">
        <v>63</v>
      </c>
      <c r="F548" s="696" t="s">
        <v>39</v>
      </c>
      <c r="G548" s="697" t="s">
        <v>89</v>
      </c>
      <c r="H548" s="697" t="s">
        <v>37</v>
      </c>
      <c r="I548" s="698" t="s">
        <v>273</v>
      </c>
      <c r="J548" s="10" t="s">
        <v>56</v>
      </c>
      <c r="K548" s="24">
        <f>2014.8+52.6-1033.7+8.9</f>
        <v>1042.6000000000001</v>
      </c>
      <c r="L548" s="24">
        <f>M548-K548</f>
        <v>0</v>
      </c>
      <c r="M548" s="24">
        <f>2014.8+52.6-1033.7+8.9</f>
        <v>1042.6000000000001</v>
      </c>
    </row>
    <row r="549" spans="1:13" s="125" customFormat="1" ht="54" customHeight="1" x14ac:dyDescent="0.35">
      <c r="A549" s="11"/>
      <c r="B549" s="587" t="s">
        <v>76</v>
      </c>
      <c r="C549" s="23" t="s">
        <v>425</v>
      </c>
      <c r="D549" s="10" t="s">
        <v>224</v>
      </c>
      <c r="E549" s="10" t="s">
        <v>63</v>
      </c>
      <c r="F549" s="696" t="s">
        <v>39</v>
      </c>
      <c r="G549" s="697" t="s">
        <v>89</v>
      </c>
      <c r="H549" s="697" t="s">
        <v>37</v>
      </c>
      <c r="I549" s="698" t="s">
        <v>273</v>
      </c>
      <c r="J549" s="10" t="s">
        <v>77</v>
      </c>
      <c r="K549" s="24">
        <f>3022.2+78.9+1033.7+27.3+35.3</f>
        <v>4197.4000000000005</v>
      </c>
      <c r="L549" s="24">
        <f>M549-K549</f>
        <v>0</v>
      </c>
      <c r="M549" s="24">
        <f>3022.2+78.9+1033.7+27.3+35.3</f>
        <v>4197.4000000000005</v>
      </c>
    </row>
    <row r="550" spans="1:13" s="125" customFormat="1" ht="36" customHeight="1" x14ac:dyDescent="0.35">
      <c r="A550" s="11"/>
      <c r="B550" s="518" t="s">
        <v>208</v>
      </c>
      <c r="C550" s="23" t="s">
        <v>425</v>
      </c>
      <c r="D550" s="10" t="s">
        <v>224</v>
      </c>
      <c r="E550" s="10" t="s">
        <v>63</v>
      </c>
      <c r="F550" s="696" t="s">
        <v>39</v>
      </c>
      <c r="G550" s="697" t="s">
        <v>89</v>
      </c>
      <c r="H550" s="697" t="s">
        <v>37</v>
      </c>
      <c r="I550" s="698" t="s">
        <v>274</v>
      </c>
      <c r="J550" s="10"/>
      <c r="K550" s="24">
        <f>K551</f>
        <v>637.70000000000005</v>
      </c>
      <c r="L550" s="24">
        <f>L551</f>
        <v>15</v>
      </c>
      <c r="M550" s="24">
        <f>M551</f>
        <v>652.70000000000005</v>
      </c>
    </row>
    <row r="551" spans="1:13" s="125" customFormat="1" ht="54" customHeight="1" x14ac:dyDescent="0.35">
      <c r="A551" s="11"/>
      <c r="B551" s="587" t="s">
        <v>76</v>
      </c>
      <c r="C551" s="23" t="s">
        <v>425</v>
      </c>
      <c r="D551" s="10" t="s">
        <v>224</v>
      </c>
      <c r="E551" s="10" t="s">
        <v>63</v>
      </c>
      <c r="F551" s="696" t="s">
        <v>39</v>
      </c>
      <c r="G551" s="697" t="s">
        <v>89</v>
      </c>
      <c r="H551" s="697" t="s">
        <v>37</v>
      </c>
      <c r="I551" s="698" t="s">
        <v>274</v>
      </c>
      <c r="J551" s="10" t="s">
        <v>77</v>
      </c>
      <c r="K551" s="24">
        <f>17+90+323.3+207.4</f>
        <v>637.70000000000005</v>
      </c>
      <c r="L551" s="24">
        <f>M551-K551</f>
        <v>15</v>
      </c>
      <c r="M551" s="24">
        <f>17+90+323.3+207.4+15</f>
        <v>652.70000000000005</v>
      </c>
    </row>
    <row r="552" spans="1:13" s="125" customFormat="1" ht="54" customHeight="1" x14ac:dyDescent="0.35">
      <c r="A552" s="11"/>
      <c r="B552" s="587" t="s">
        <v>530</v>
      </c>
      <c r="C552" s="23" t="s">
        <v>425</v>
      </c>
      <c r="D552" s="10" t="s">
        <v>224</v>
      </c>
      <c r="E552" s="10" t="s">
        <v>63</v>
      </c>
      <c r="F552" s="696" t="s">
        <v>39</v>
      </c>
      <c r="G552" s="697" t="s">
        <v>89</v>
      </c>
      <c r="H552" s="697" t="s">
        <v>37</v>
      </c>
      <c r="I552" s="698" t="s">
        <v>529</v>
      </c>
      <c r="J552" s="10"/>
      <c r="K552" s="24">
        <f>SUM(K553:K554)</f>
        <v>6127.5</v>
      </c>
      <c r="L552" s="24">
        <f>SUM(L553:L554)</f>
        <v>0</v>
      </c>
      <c r="M552" s="24">
        <f>SUM(M553:M554)</f>
        <v>6127.5</v>
      </c>
    </row>
    <row r="553" spans="1:13" s="125" customFormat="1" ht="54" customHeight="1" x14ac:dyDescent="0.35">
      <c r="A553" s="11"/>
      <c r="B553" s="587" t="s">
        <v>76</v>
      </c>
      <c r="C553" s="23" t="s">
        <v>425</v>
      </c>
      <c r="D553" s="10" t="s">
        <v>224</v>
      </c>
      <c r="E553" s="10" t="s">
        <v>63</v>
      </c>
      <c r="F553" s="696" t="s">
        <v>39</v>
      </c>
      <c r="G553" s="697" t="s">
        <v>89</v>
      </c>
      <c r="H553" s="697" t="s">
        <v>37</v>
      </c>
      <c r="I553" s="698" t="s">
        <v>529</v>
      </c>
      <c r="J553" s="10" t="s">
        <v>77</v>
      </c>
      <c r="K553" s="24">
        <f>5775.1+297.5</f>
        <v>6072.6</v>
      </c>
      <c r="L553" s="24">
        <f>M553-K553</f>
        <v>0</v>
      </c>
      <c r="M553" s="24">
        <f>5775.1+297.5</f>
        <v>6072.6</v>
      </c>
    </row>
    <row r="554" spans="1:13" s="125" customFormat="1" ht="18" customHeight="1" x14ac:dyDescent="0.35">
      <c r="A554" s="11"/>
      <c r="B554" s="518" t="s">
        <v>57</v>
      </c>
      <c r="C554" s="23" t="s">
        <v>425</v>
      </c>
      <c r="D554" s="10" t="s">
        <v>224</v>
      </c>
      <c r="E554" s="10" t="s">
        <v>63</v>
      </c>
      <c r="F554" s="696" t="s">
        <v>39</v>
      </c>
      <c r="G554" s="697" t="s">
        <v>89</v>
      </c>
      <c r="H554" s="697" t="s">
        <v>37</v>
      </c>
      <c r="I554" s="698" t="s">
        <v>529</v>
      </c>
      <c r="J554" s="10" t="s">
        <v>58</v>
      </c>
      <c r="K554" s="24">
        <f>56-1.1</f>
        <v>54.9</v>
      </c>
      <c r="L554" s="24">
        <f>M554-K554</f>
        <v>0</v>
      </c>
      <c r="M554" s="24">
        <f>56-1.1</f>
        <v>54.9</v>
      </c>
    </row>
    <row r="555" spans="1:13" s="125" customFormat="1" ht="180" customHeight="1" x14ac:dyDescent="0.35">
      <c r="A555" s="11"/>
      <c r="B555" s="518" t="s">
        <v>268</v>
      </c>
      <c r="C555" s="23" t="s">
        <v>425</v>
      </c>
      <c r="D555" s="10" t="s">
        <v>224</v>
      </c>
      <c r="E555" s="10" t="s">
        <v>63</v>
      </c>
      <c r="F555" s="696" t="s">
        <v>39</v>
      </c>
      <c r="G555" s="697" t="s">
        <v>89</v>
      </c>
      <c r="H555" s="697" t="s">
        <v>37</v>
      </c>
      <c r="I555" s="698" t="s">
        <v>269</v>
      </c>
      <c r="J555" s="10"/>
      <c r="K555" s="24">
        <f>K556</f>
        <v>85.6</v>
      </c>
      <c r="L555" s="24">
        <f>L556</f>
        <v>0</v>
      </c>
      <c r="M555" s="24">
        <f>M556</f>
        <v>85.6</v>
      </c>
    </row>
    <row r="556" spans="1:13" s="125" customFormat="1" ht="54" customHeight="1" x14ac:dyDescent="0.35">
      <c r="A556" s="11"/>
      <c r="B556" s="518" t="s">
        <v>76</v>
      </c>
      <c r="C556" s="23" t="s">
        <v>425</v>
      </c>
      <c r="D556" s="10" t="s">
        <v>224</v>
      </c>
      <c r="E556" s="10" t="s">
        <v>63</v>
      </c>
      <c r="F556" s="696" t="s">
        <v>39</v>
      </c>
      <c r="G556" s="697" t="s">
        <v>89</v>
      </c>
      <c r="H556" s="697" t="s">
        <v>37</v>
      </c>
      <c r="I556" s="698" t="s">
        <v>269</v>
      </c>
      <c r="J556" s="10" t="s">
        <v>77</v>
      </c>
      <c r="K556" s="24">
        <v>85.6</v>
      </c>
      <c r="L556" s="24">
        <f>M556-K556</f>
        <v>0</v>
      </c>
      <c r="M556" s="24">
        <v>85.6</v>
      </c>
    </row>
    <row r="557" spans="1:13" s="125" customFormat="1" ht="108" customHeight="1" x14ac:dyDescent="0.35">
      <c r="A557" s="11"/>
      <c r="B557" s="518" t="s">
        <v>345</v>
      </c>
      <c r="C557" s="23" t="s">
        <v>425</v>
      </c>
      <c r="D557" s="10" t="s">
        <v>224</v>
      </c>
      <c r="E557" s="10" t="s">
        <v>63</v>
      </c>
      <c r="F557" s="696" t="s">
        <v>39</v>
      </c>
      <c r="G557" s="697" t="s">
        <v>89</v>
      </c>
      <c r="H557" s="697" t="s">
        <v>37</v>
      </c>
      <c r="I557" s="698" t="s">
        <v>270</v>
      </c>
      <c r="J557" s="10"/>
      <c r="K557" s="24">
        <f>K558</f>
        <v>11036.7</v>
      </c>
      <c r="L557" s="24">
        <f>L558</f>
        <v>0</v>
      </c>
      <c r="M557" s="24">
        <f>M558</f>
        <v>11036.7</v>
      </c>
    </row>
    <row r="558" spans="1:13" s="125" customFormat="1" ht="54" customHeight="1" x14ac:dyDescent="0.35">
      <c r="A558" s="11"/>
      <c r="B558" s="518" t="s">
        <v>76</v>
      </c>
      <c r="C558" s="23" t="s">
        <v>425</v>
      </c>
      <c r="D558" s="10" t="s">
        <v>224</v>
      </c>
      <c r="E558" s="10" t="s">
        <v>63</v>
      </c>
      <c r="F558" s="696" t="s">
        <v>39</v>
      </c>
      <c r="G558" s="697" t="s">
        <v>89</v>
      </c>
      <c r="H558" s="697" t="s">
        <v>37</v>
      </c>
      <c r="I558" s="698" t="s">
        <v>270</v>
      </c>
      <c r="J558" s="10" t="s">
        <v>77</v>
      </c>
      <c r="K558" s="24">
        <f>11000+36.7</f>
        <v>11036.7</v>
      </c>
      <c r="L558" s="24">
        <f>M558-K558</f>
        <v>0</v>
      </c>
      <c r="M558" s="24">
        <f>11000+36.7</f>
        <v>11036.7</v>
      </c>
    </row>
    <row r="559" spans="1:13" s="125" customFormat="1" ht="54" customHeight="1" x14ac:dyDescent="0.35">
      <c r="A559" s="11"/>
      <c r="B559" s="601" t="s">
        <v>697</v>
      </c>
      <c r="C559" s="23" t="s">
        <v>425</v>
      </c>
      <c r="D559" s="10" t="s">
        <v>224</v>
      </c>
      <c r="E559" s="10" t="s">
        <v>63</v>
      </c>
      <c r="F559" s="696" t="s">
        <v>39</v>
      </c>
      <c r="G559" s="697" t="s">
        <v>89</v>
      </c>
      <c r="H559" s="697" t="s">
        <v>37</v>
      </c>
      <c r="I559" s="698" t="s">
        <v>696</v>
      </c>
      <c r="J559" s="10"/>
      <c r="K559" s="24">
        <f>K560+K561</f>
        <v>2100</v>
      </c>
      <c r="L559" s="24">
        <f>L560+L561</f>
        <v>0</v>
      </c>
      <c r="M559" s="24">
        <f>M560+M561</f>
        <v>2100</v>
      </c>
    </row>
    <row r="560" spans="1:13" s="125" customFormat="1" ht="54" customHeight="1" x14ac:dyDescent="0.35">
      <c r="A560" s="11"/>
      <c r="B560" s="601" t="s">
        <v>55</v>
      </c>
      <c r="C560" s="23" t="s">
        <v>425</v>
      </c>
      <c r="D560" s="10" t="s">
        <v>224</v>
      </c>
      <c r="E560" s="10" t="s">
        <v>63</v>
      </c>
      <c r="F560" s="696" t="s">
        <v>39</v>
      </c>
      <c r="G560" s="697" t="s">
        <v>89</v>
      </c>
      <c r="H560" s="697" t="s">
        <v>37</v>
      </c>
      <c r="I560" s="698" t="s">
        <v>696</v>
      </c>
      <c r="J560" s="10" t="s">
        <v>56</v>
      </c>
      <c r="K560" s="24">
        <v>400</v>
      </c>
      <c r="L560" s="24">
        <f>M560-K560</f>
        <v>0</v>
      </c>
      <c r="M560" s="24">
        <v>400</v>
      </c>
    </row>
    <row r="561" spans="1:13" s="125" customFormat="1" ht="54" customHeight="1" x14ac:dyDescent="0.35">
      <c r="A561" s="11"/>
      <c r="B561" s="601" t="s">
        <v>76</v>
      </c>
      <c r="C561" s="23" t="s">
        <v>425</v>
      </c>
      <c r="D561" s="10" t="s">
        <v>224</v>
      </c>
      <c r="E561" s="10" t="s">
        <v>63</v>
      </c>
      <c r="F561" s="696" t="s">
        <v>39</v>
      </c>
      <c r="G561" s="697" t="s">
        <v>89</v>
      </c>
      <c r="H561" s="697" t="s">
        <v>37</v>
      </c>
      <c r="I561" s="698" t="s">
        <v>696</v>
      </c>
      <c r="J561" s="10" t="s">
        <v>77</v>
      </c>
      <c r="K561" s="24">
        <f>500+1200</f>
        <v>1700</v>
      </c>
      <c r="L561" s="24">
        <f>M561-K561</f>
        <v>0</v>
      </c>
      <c r="M561" s="24">
        <f>500+1200</f>
        <v>1700</v>
      </c>
    </row>
    <row r="562" spans="1:13" s="125" customFormat="1" ht="54" customHeight="1" x14ac:dyDescent="0.35">
      <c r="A562" s="11"/>
      <c r="B562" s="515" t="s">
        <v>80</v>
      </c>
      <c r="C562" s="225" t="s">
        <v>425</v>
      </c>
      <c r="D562" s="28" t="s">
        <v>224</v>
      </c>
      <c r="E562" s="28" t="s">
        <v>63</v>
      </c>
      <c r="F562" s="217" t="s">
        <v>81</v>
      </c>
      <c r="G562" s="218" t="s">
        <v>42</v>
      </c>
      <c r="H562" s="218" t="s">
        <v>43</v>
      </c>
      <c r="I562" s="219" t="s">
        <v>44</v>
      </c>
      <c r="J562" s="28"/>
      <c r="K562" s="220">
        <f t="shared" ref="K562:M564" si="76">K563</f>
        <v>571.6</v>
      </c>
      <c r="L562" s="220">
        <f t="shared" si="76"/>
        <v>0</v>
      </c>
      <c r="M562" s="220">
        <f t="shared" si="76"/>
        <v>571.6</v>
      </c>
    </row>
    <row r="563" spans="1:13" s="125" customFormat="1" ht="36" customHeight="1" x14ac:dyDescent="0.35">
      <c r="A563" s="11"/>
      <c r="B563" s="515" t="s">
        <v>125</v>
      </c>
      <c r="C563" s="225" t="s">
        <v>425</v>
      </c>
      <c r="D563" s="28" t="s">
        <v>224</v>
      </c>
      <c r="E563" s="28" t="s">
        <v>63</v>
      </c>
      <c r="F563" s="217" t="s">
        <v>81</v>
      </c>
      <c r="G563" s="218" t="s">
        <v>89</v>
      </c>
      <c r="H563" s="218" t="s">
        <v>43</v>
      </c>
      <c r="I563" s="219" t="s">
        <v>44</v>
      </c>
      <c r="J563" s="28"/>
      <c r="K563" s="220">
        <f t="shared" si="76"/>
        <v>571.6</v>
      </c>
      <c r="L563" s="220">
        <f t="shared" si="76"/>
        <v>0</v>
      </c>
      <c r="M563" s="220">
        <f t="shared" si="76"/>
        <v>571.6</v>
      </c>
    </row>
    <row r="564" spans="1:13" s="125" customFormat="1" ht="36" customHeight="1" x14ac:dyDescent="0.35">
      <c r="A564" s="11"/>
      <c r="B564" s="515" t="s">
        <v>271</v>
      </c>
      <c r="C564" s="225" t="s">
        <v>425</v>
      </c>
      <c r="D564" s="28" t="s">
        <v>224</v>
      </c>
      <c r="E564" s="28" t="s">
        <v>63</v>
      </c>
      <c r="F564" s="217" t="s">
        <v>81</v>
      </c>
      <c r="G564" s="218" t="s">
        <v>89</v>
      </c>
      <c r="H564" s="218" t="s">
        <v>37</v>
      </c>
      <c r="I564" s="219" t="s">
        <v>44</v>
      </c>
      <c r="J564" s="28"/>
      <c r="K564" s="220">
        <f t="shared" si="76"/>
        <v>571.6</v>
      </c>
      <c r="L564" s="220">
        <f t="shared" si="76"/>
        <v>0</v>
      </c>
      <c r="M564" s="220">
        <f t="shared" si="76"/>
        <v>571.6</v>
      </c>
    </row>
    <row r="565" spans="1:13" s="125" customFormat="1" ht="18" customHeight="1" x14ac:dyDescent="0.35">
      <c r="A565" s="11"/>
      <c r="B565" s="515" t="s">
        <v>429</v>
      </c>
      <c r="C565" s="225" t="s">
        <v>425</v>
      </c>
      <c r="D565" s="28" t="s">
        <v>224</v>
      </c>
      <c r="E565" s="28" t="s">
        <v>63</v>
      </c>
      <c r="F565" s="217" t="s">
        <v>81</v>
      </c>
      <c r="G565" s="218" t="s">
        <v>89</v>
      </c>
      <c r="H565" s="218" t="s">
        <v>37</v>
      </c>
      <c r="I565" s="219" t="s">
        <v>430</v>
      </c>
      <c r="J565" s="28"/>
      <c r="K565" s="220">
        <f>K566</f>
        <v>571.6</v>
      </c>
      <c r="L565" s="220">
        <f>L566</f>
        <v>0</v>
      </c>
      <c r="M565" s="220">
        <f>M566</f>
        <v>571.6</v>
      </c>
    </row>
    <row r="566" spans="1:13" s="125" customFormat="1" ht="54" customHeight="1" x14ac:dyDescent="0.35">
      <c r="A566" s="11"/>
      <c r="B566" s="518" t="s">
        <v>76</v>
      </c>
      <c r="C566" s="225" t="s">
        <v>425</v>
      </c>
      <c r="D566" s="28" t="s">
        <v>224</v>
      </c>
      <c r="E566" s="28" t="s">
        <v>63</v>
      </c>
      <c r="F566" s="217" t="s">
        <v>81</v>
      </c>
      <c r="G566" s="218" t="s">
        <v>89</v>
      </c>
      <c r="H566" s="218" t="s">
        <v>37</v>
      </c>
      <c r="I566" s="219" t="s">
        <v>430</v>
      </c>
      <c r="J566" s="10" t="s">
        <v>77</v>
      </c>
      <c r="K566" s="220">
        <f>543+28.6</f>
        <v>571.6</v>
      </c>
      <c r="L566" s="24">
        <f>M566-K566</f>
        <v>0</v>
      </c>
      <c r="M566" s="220">
        <f>543+28.6</f>
        <v>571.6</v>
      </c>
    </row>
    <row r="567" spans="1:13" s="125" customFormat="1" ht="18" customHeight="1" x14ac:dyDescent="0.35">
      <c r="A567" s="11"/>
      <c r="B567" s="518" t="s">
        <v>186</v>
      </c>
      <c r="C567" s="23" t="s">
        <v>425</v>
      </c>
      <c r="D567" s="10" t="s">
        <v>224</v>
      </c>
      <c r="E567" s="10" t="s">
        <v>79</v>
      </c>
      <c r="F567" s="696"/>
      <c r="G567" s="697"/>
      <c r="H567" s="697"/>
      <c r="I567" s="698"/>
      <c r="J567" s="10"/>
      <c r="K567" s="24">
        <f>K568</f>
        <v>79227.743000000002</v>
      </c>
      <c r="L567" s="24">
        <f>L568</f>
        <v>10508.000000000002</v>
      </c>
      <c r="M567" s="24">
        <f>M568</f>
        <v>89735.743000000002</v>
      </c>
    </row>
    <row r="568" spans="1:13" s="125" customFormat="1" ht="54" customHeight="1" x14ac:dyDescent="0.35">
      <c r="A568" s="11"/>
      <c r="B568" s="518" t="s">
        <v>205</v>
      </c>
      <c r="C568" s="23" t="s">
        <v>425</v>
      </c>
      <c r="D568" s="10" t="s">
        <v>224</v>
      </c>
      <c r="E568" s="10" t="s">
        <v>79</v>
      </c>
      <c r="F568" s="696" t="s">
        <v>39</v>
      </c>
      <c r="G568" s="697" t="s">
        <v>42</v>
      </c>
      <c r="H568" s="697" t="s">
        <v>43</v>
      </c>
      <c r="I568" s="698" t="s">
        <v>44</v>
      </c>
      <c r="J568" s="10"/>
      <c r="K568" s="24">
        <f>K573+K569</f>
        <v>79227.743000000002</v>
      </c>
      <c r="L568" s="24">
        <f>L573+L569</f>
        <v>10508.000000000002</v>
      </c>
      <c r="M568" s="24">
        <f>M573+M569</f>
        <v>89735.743000000002</v>
      </c>
    </row>
    <row r="569" spans="1:13" s="125" customFormat="1" ht="18" customHeight="1" x14ac:dyDescent="0.35">
      <c r="A569" s="11"/>
      <c r="B569" s="518" t="s">
        <v>210</v>
      </c>
      <c r="C569" s="23" t="s">
        <v>425</v>
      </c>
      <c r="D569" s="10" t="s">
        <v>224</v>
      </c>
      <c r="E569" s="10" t="s">
        <v>79</v>
      </c>
      <c r="F569" s="696" t="s">
        <v>39</v>
      </c>
      <c r="G569" s="697" t="s">
        <v>89</v>
      </c>
      <c r="H569" s="697" t="s">
        <v>43</v>
      </c>
      <c r="I569" s="698" t="s">
        <v>44</v>
      </c>
      <c r="J569" s="10"/>
      <c r="K569" s="24">
        <f t="shared" ref="K569:M571" si="77">K570</f>
        <v>72</v>
      </c>
      <c r="L569" s="24">
        <f t="shared" si="77"/>
        <v>0</v>
      </c>
      <c r="M569" s="24">
        <f t="shared" si="77"/>
        <v>72</v>
      </c>
    </row>
    <row r="570" spans="1:13" s="125" customFormat="1" ht="18" customHeight="1" x14ac:dyDescent="0.35">
      <c r="A570" s="11"/>
      <c r="B570" s="518" t="s">
        <v>277</v>
      </c>
      <c r="C570" s="23" t="s">
        <v>425</v>
      </c>
      <c r="D570" s="10" t="s">
        <v>224</v>
      </c>
      <c r="E570" s="10" t="s">
        <v>79</v>
      </c>
      <c r="F570" s="696" t="s">
        <v>39</v>
      </c>
      <c r="G570" s="697" t="s">
        <v>89</v>
      </c>
      <c r="H570" s="697" t="s">
        <v>39</v>
      </c>
      <c r="I570" s="698" t="s">
        <v>44</v>
      </c>
      <c r="J570" s="10"/>
      <c r="K570" s="24">
        <f t="shared" si="77"/>
        <v>72</v>
      </c>
      <c r="L570" s="24">
        <f t="shared" si="77"/>
        <v>0</v>
      </c>
      <c r="M570" s="24">
        <f t="shared" si="77"/>
        <v>72</v>
      </c>
    </row>
    <row r="571" spans="1:13" s="125" customFormat="1" ht="36" customHeight="1" x14ac:dyDescent="0.35">
      <c r="A571" s="11"/>
      <c r="B571" s="518" t="s">
        <v>278</v>
      </c>
      <c r="C571" s="23" t="s">
        <v>425</v>
      </c>
      <c r="D571" s="10" t="s">
        <v>224</v>
      </c>
      <c r="E571" s="10" t="s">
        <v>79</v>
      </c>
      <c r="F571" s="696" t="s">
        <v>39</v>
      </c>
      <c r="G571" s="697" t="s">
        <v>89</v>
      </c>
      <c r="H571" s="697" t="s">
        <v>39</v>
      </c>
      <c r="I571" s="698" t="s">
        <v>279</v>
      </c>
      <c r="J571" s="10"/>
      <c r="K571" s="24">
        <f t="shared" si="77"/>
        <v>72</v>
      </c>
      <c r="L571" s="24">
        <f t="shared" si="77"/>
        <v>0</v>
      </c>
      <c r="M571" s="24">
        <f t="shared" si="77"/>
        <v>72</v>
      </c>
    </row>
    <row r="572" spans="1:13" s="125" customFormat="1" ht="36" customHeight="1" x14ac:dyDescent="0.35">
      <c r="A572" s="11"/>
      <c r="B572" s="518" t="s">
        <v>120</v>
      </c>
      <c r="C572" s="23" t="s">
        <v>425</v>
      </c>
      <c r="D572" s="10" t="s">
        <v>224</v>
      </c>
      <c r="E572" s="10" t="s">
        <v>79</v>
      </c>
      <c r="F572" s="696" t="s">
        <v>39</v>
      </c>
      <c r="G572" s="697" t="s">
        <v>89</v>
      </c>
      <c r="H572" s="697" t="s">
        <v>39</v>
      </c>
      <c r="I572" s="698" t="s">
        <v>279</v>
      </c>
      <c r="J572" s="10" t="s">
        <v>121</v>
      </c>
      <c r="K572" s="24">
        <f>60+12</f>
        <v>72</v>
      </c>
      <c r="L572" s="24">
        <f>M572-K572</f>
        <v>0</v>
      </c>
      <c r="M572" s="24">
        <f>60+12</f>
        <v>72</v>
      </c>
    </row>
    <row r="573" spans="1:13" s="125" customFormat="1" ht="54" customHeight="1" x14ac:dyDescent="0.35">
      <c r="A573" s="11"/>
      <c r="B573" s="518" t="s">
        <v>212</v>
      </c>
      <c r="C573" s="23" t="s">
        <v>425</v>
      </c>
      <c r="D573" s="10" t="s">
        <v>224</v>
      </c>
      <c r="E573" s="10" t="s">
        <v>79</v>
      </c>
      <c r="F573" s="696" t="s">
        <v>39</v>
      </c>
      <c r="G573" s="697" t="s">
        <v>30</v>
      </c>
      <c r="H573" s="697" t="s">
        <v>43</v>
      </c>
      <c r="I573" s="698" t="s">
        <v>44</v>
      </c>
      <c r="J573" s="10"/>
      <c r="K573" s="24">
        <f>K574+K592</f>
        <v>79155.743000000002</v>
      </c>
      <c r="L573" s="24">
        <f>L574+L592</f>
        <v>10508.000000000002</v>
      </c>
      <c r="M573" s="24">
        <f>M574+M592</f>
        <v>89663.743000000002</v>
      </c>
    </row>
    <row r="574" spans="1:13" s="125" customFormat="1" ht="36" customHeight="1" x14ac:dyDescent="0.35">
      <c r="A574" s="11"/>
      <c r="B574" s="518" t="s">
        <v>282</v>
      </c>
      <c r="C574" s="23" t="s">
        <v>425</v>
      </c>
      <c r="D574" s="10" t="s">
        <v>224</v>
      </c>
      <c r="E574" s="10" t="s">
        <v>79</v>
      </c>
      <c r="F574" s="696" t="s">
        <v>39</v>
      </c>
      <c r="G574" s="697" t="s">
        <v>30</v>
      </c>
      <c r="H574" s="697" t="s">
        <v>37</v>
      </c>
      <c r="I574" s="698" t="s">
        <v>44</v>
      </c>
      <c r="J574" s="10"/>
      <c r="K574" s="24">
        <f>K575+K579+K589+K584+K587</f>
        <v>71424.043000000005</v>
      </c>
      <c r="L574" s="24">
        <f>L575+L579+L589+L584+L587</f>
        <v>10508.000000000002</v>
      </c>
      <c r="M574" s="24">
        <f>M575+M579+M589+M584+M587</f>
        <v>81932.043000000005</v>
      </c>
    </row>
    <row r="575" spans="1:13" s="125" customFormat="1" ht="36" customHeight="1" x14ac:dyDescent="0.35">
      <c r="A575" s="11"/>
      <c r="B575" s="518" t="s">
        <v>47</v>
      </c>
      <c r="C575" s="23" t="s">
        <v>425</v>
      </c>
      <c r="D575" s="10" t="s">
        <v>224</v>
      </c>
      <c r="E575" s="10" t="s">
        <v>79</v>
      </c>
      <c r="F575" s="696" t="s">
        <v>39</v>
      </c>
      <c r="G575" s="697" t="s">
        <v>30</v>
      </c>
      <c r="H575" s="697" t="s">
        <v>37</v>
      </c>
      <c r="I575" s="698" t="s">
        <v>48</v>
      </c>
      <c r="J575" s="10"/>
      <c r="K575" s="24">
        <f>K576+K577+K578</f>
        <v>9491.2309999999998</v>
      </c>
      <c r="L575" s="24">
        <f>L576+L577+L578</f>
        <v>2926.6000000000004</v>
      </c>
      <c r="M575" s="24">
        <f>M576+M577+M578</f>
        <v>12417.831</v>
      </c>
    </row>
    <row r="576" spans="1:13" s="125" customFormat="1" ht="108" customHeight="1" x14ac:dyDescent="0.35">
      <c r="A576" s="11"/>
      <c r="B576" s="518" t="s">
        <v>49</v>
      </c>
      <c r="C576" s="23" t="s">
        <v>425</v>
      </c>
      <c r="D576" s="10" t="s">
        <v>224</v>
      </c>
      <c r="E576" s="10" t="s">
        <v>79</v>
      </c>
      <c r="F576" s="696" t="s">
        <v>39</v>
      </c>
      <c r="G576" s="697" t="s">
        <v>30</v>
      </c>
      <c r="H576" s="697" t="s">
        <v>37</v>
      </c>
      <c r="I576" s="698" t="s">
        <v>48</v>
      </c>
      <c r="J576" s="10" t="s">
        <v>50</v>
      </c>
      <c r="K576" s="24">
        <f>11475.4-2926.6</f>
        <v>8548.7999999999993</v>
      </c>
      <c r="L576" s="24">
        <f>M576-K576</f>
        <v>2926.6000000000004</v>
      </c>
      <c r="M576" s="24">
        <f>11475.4-2926.6+2926.6</f>
        <v>11475.4</v>
      </c>
    </row>
    <row r="577" spans="1:13" s="125" customFormat="1" ht="54" customHeight="1" x14ac:dyDescent="0.35">
      <c r="A577" s="11"/>
      <c r="B577" s="518" t="s">
        <v>55</v>
      </c>
      <c r="C577" s="23" t="s">
        <v>425</v>
      </c>
      <c r="D577" s="10" t="s">
        <v>224</v>
      </c>
      <c r="E577" s="10" t="s">
        <v>79</v>
      </c>
      <c r="F577" s="696" t="s">
        <v>39</v>
      </c>
      <c r="G577" s="697" t="s">
        <v>30</v>
      </c>
      <c r="H577" s="697" t="s">
        <v>37</v>
      </c>
      <c r="I577" s="698" t="s">
        <v>48</v>
      </c>
      <c r="J577" s="10" t="s">
        <v>56</v>
      </c>
      <c r="K577" s="24">
        <f>923.8+1.631</f>
        <v>925.43099999999993</v>
      </c>
      <c r="L577" s="24">
        <f>M577-K577</f>
        <v>0</v>
      </c>
      <c r="M577" s="24">
        <f>923.8+1.631</f>
        <v>925.43099999999993</v>
      </c>
    </row>
    <row r="578" spans="1:13" s="125" customFormat="1" ht="18" customHeight="1" x14ac:dyDescent="0.35">
      <c r="A578" s="11"/>
      <c r="B578" s="518" t="s">
        <v>57</v>
      </c>
      <c r="C578" s="23" t="s">
        <v>425</v>
      </c>
      <c r="D578" s="10" t="s">
        <v>224</v>
      </c>
      <c r="E578" s="10" t="s">
        <v>79</v>
      </c>
      <c r="F578" s="696" t="s">
        <v>39</v>
      </c>
      <c r="G578" s="697" t="s">
        <v>30</v>
      </c>
      <c r="H578" s="697" t="s">
        <v>37</v>
      </c>
      <c r="I578" s="698" t="s">
        <v>48</v>
      </c>
      <c r="J578" s="10" t="s">
        <v>58</v>
      </c>
      <c r="K578" s="24">
        <v>17</v>
      </c>
      <c r="L578" s="24">
        <f>M578-K578</f>
        <v>0</v>
      </c>
      <c r="M578" s="24">
        <v>17</v>
      </c>
    </row>
    <row r="579" spans="1:13" s="125" customFormat="1" ht="36" customHeight="1" x14ac:dyDescent="0.35">
      <c r="A579" s="11"/>
      <c r="B579" s="551" t="s">
        <v>466</v>
      </c>
      <c r="C579" s="23" t="s">
        <v>425</v>
      </c>
      <c r="D579" s="10" t="s">
        <v>224</v>
      </c>
      <c r="E579" s="10" t="s">
        <v>79</v>
      </c>
      <c r="F579" s="696" t="s">
        <v>39</v>
      </c>
      <c r="G579" s="697" t="s">
        <v>30</v>
      </c>
      <c r="H579" s="697" t="s">
        <v>37</v>
      </c>
      <c r="I579" s="698" t="s">
        <v>91</v>
      </c>
      <c r="J579" s="10"/>
      <c r="K579" s="24">
        <f>K580+K581+K583+K582</f>
        <v>54057.812000000005</v>
      </c>
      <c r="L579" s="24">
        <f>L580+L581+L583+L582</f>
        <v>7581.4000000000015</v>
      </c>
      <c r="M579" s="24">
        <f>M580+M581+M583+M582</f>
        <v>61639.212</v>
      </c>
    </row>
    <row r="580" spans="1:13" s="125" customFormat="1" ht="108" customHeight="1" x14ac:dyDescent="0.35">
      <c r="A580" s="11"/>
      <c r="B580" s="518" t="s">
        <v>49</v>
      </c>
      <c r="C580" s="23" t="s">
        <v>425</v>
      </c>
      <c r="D580" s="10" t="s">
        <v>224</v>
      </c>
      <c r="E580" s="10" t="s">
        <v>79</v>
      </c>
      <c r="F580" s="696" t="s">
        <v>39</v>
      </c>
      <c r="G580" s="697" t="s">
        <v>30</v>
      </c>
      <c r="H580" s="697" t="s">
        <v>37</v>
      </c>
      <c r="I580" s="698" t="s">
        <v>91</v>
      </c>
      <c r="J580" s="10" t="s">
        <v>50</v>
      </c>
      <c r="K580" s="24">
        <f>36731.8+619.3-209.9+209.9-7581.4</f>
        <v>29769.700000000004</v>
      </c>
      <c r="L580" s="24">
        <f>M580-K580</f>
        <v>7581.4000000000015</v>
      </c>
      <c r="M580" s="24">
        <f>36731.8+619.3-209.9+209.9-7581.4+7581.4</f>
        <v>37351.100000000006</v>
      </c>
    </row>
    <row r="581" spans="1:13" s="125" customFormat="1" ht="54" customHeight="1" x14ac:dyDescent="0.35">
      <c r="A581" s="11"/>
      <c r="B581" s="518" t="s">
        <v>55</v>
      </c>
      <c r="C581" s="23" t="s">
        <v>425</v>
      </c>
      <c r="D581" s="10" t="s">
        <v>224</v>
      </c>
      <c r="E581" s="10" t="s">
        <v>79</v>
      </c>
      <c r="F581" s="696" t="s">
        <v>39</v>
      </c>
      <c r="G581" s="697" t="s">
        <v>30</v>
      </c>
      <c r="H581" s="697" t="s">
        <v>37</v>
      </c>
      <c r="I581" s="698" t="s">
        <v>91</v>
      </c>
      <c r="J581" s="10" t="s">
        <v>56</v>
      </c>
      <c r="K581" s="24">
        <f>4235.7+13.612</f>
        <v>4249.3119999999999</v>
      </c>
      <c r="L581" s="24">
        <f>M581-K581</f>
        <v>0</v>
      </c>
      <c r="M581" s="24">
        <f>4235.7+13.612</f>
        <v>4249.3119999999999</v>
      </c>
    </row>
    <row r="582" spans="1:13" s="125" customFormat="1" ht="54" customHeight="1" x14ac:dyDescent="0.35">
      <c r="A582" s="11"/>
      <c r="B582" s="518" t="s">
        <v>76</v>
      </c>
      <c r="C582" s="23" t="s">
        <v>425</v>
      </c>
      <c r="D582" s="10" t="s">
        <v>224</v>
      </c>
      <c r="E582" s="10" t="s">
        <v>79</v>
      </c>
      <c r="F582" s="696" t="s">
        <v>39</v>
      </c>
      <c r="G582" s="697" t="s">
        <v>30</v>
      </c>
      <c r="H582" s="697" t="s">
        <v>37</v>
      </c>
      <c r="I582" s="698" t="s">
        <v>91</v>
      </c>
      <c r="J582" s="10" t="s">
        <v>77</v>
      </c>
      <c r="K582" s="24">
        <f>20085.9-52.8</f>
        <v>20033.100000000002</v>
      </c>
      <c r="L582" s="24">
        <f>M582-K582</f>
        <v>0</v>
      </c>
      <c r="M582" s="24">
        <f>20085.9-52.8</f>
        <v>20033.100000000002</v>
      </c>
    </row>
    <row r="583" spans="1:13" s="125" customFormat="1" ht="18" customHeight="1" x14ac:dyDescent="0.35">
      <c r="A583" s="11"/>
      <c r="B583" s="518" t="s">
        <v>57</v>
      </c>
      <c r="C583" s="23" t="s">
        <v>425</v>
      </c>
      <c r="D583" s="10" t="s">
        <v>224</v>
      </c>
      <c r="E583" s="10" t="s">
        <v>79</v>
      </c>
      <c r="F583" s="696" t="s">
        <v>39</v>
      </c>
      <c r="G583" s="697" t="s">
        <v>30</v>
      </c>
      <c r="H583" s="697" t="s">
        <v>37</v>
      </c>
      <c r="I583" s="698" t="s">
        <v>91</v>
      </c>
      <c r="J583" s="10" t="s">
        <v>58</v>
      </c>
      <c r="K583" s="24">
        <v>5.7</v>
      </c>
      <c r="L583" s="24">
        <f>M583-K583</f>
        <v>0</v>
      </c>
      <c r="M583" s="24">
        <v>5.7</v>
      </c>
    </row>
    <row r="584" spans="1:13" s="125" customFormat="1" ht="36" customHeight="1" x14ac:dyDescent="0.35">
      <c r="A584" s="11"/>
      <c r="B584" s="518" t="s">
        <v>208</v>
      </c>
      <c r="C584" s="23" t="s">
        <v>425</v>
      </c>
      <c r="D584" s="10" t="s">
        <v>224</v>
      </c>
      <c r="E584" s="10" t="s">
        <v>79</v>
      </c>
      <c r="F584" s="696" t="s">
        <v>39</v>
      </c>
      <c r="G584" s="697" t="s">
        <v>30</v>
      </c>
      <c r="H584" s="697" t="s">
        <v>37</v>
      </c>
      <c r="I584" s="698" t="s">
        <v>274</v>
      </c>
      <c r="J584" s="10"/>
      <c r="K584" s="24">
        <f>K585+K586</f>
        <v>311.7</v>
      </c>
      <c r="L584" s="24">
        <f>L585+L586</f>
        <v>0</v>
      </c>
      <c r="M584" s="24">
        <f>M585+M586</f>
        <v>311.7</v>
      </c>
    </row>
    <row r="585" spans="1:13" s="125" customFormat="1" ht="54" customHeight="1" x14ac:dyDescent="0.35">
      <c r="A585" s="11"/>
      <c r="B585" s="518" t="s">
        <v>55</v>
      </c>
      <c r="C585" s="23" t="s">
        <v>425</v>
      </c>
      <c r="D585" s="10" t="s">
        <v>224</v>
      </c>
      <c r="E585" s="10" t="s">
        <v>79</v>
      </c>
      <c r="F585" s="696" t="s">
        <v>39</v>
      </c>
      <c r="G585" s="697" t="s">
        <v>30</v>
      </c>
      <c r="H585" s="697" t="s">
        <v>37</v>
      </c>
      <c r="I585" s="698" t="s">
        <v>274</v>
      </c>
      <c r="J585" s="10" t="s">
        <v>56</v>
      </c>
      <c r="K585" s="24">
        <v>10</v>
      </c>
      <c r="L585" s="24">
        <f>M585-K585</f>
        <v>0</v>
      </c>
      <c r="M585" s="24">
        <v>10</v>
      </c>
    </row>
    <row r="586" spans="1:13" s="125" customFormat="1" ht="54" customHeight="1" x14ac:dyDescent="0.35">
      <c r="A586" s="11"/>
      <c r="B586" s="518" t="s">
        <v>76</v>
      </c>
      <c r="C586" s="23" t="s">
        <v>425</v>
      </c>
      <c r="D586" s="10" t="s">
        <v>224</v>
      </c>
      <c r="E586" s="10" t="s">
        <v>79</v>
      </c>
      <c r="F586" s="696" t="s">
        <v>39</v>
      </c>
      <c r="G586" s="697" t="s">
        <v>30</v>
      </c>
      <c r="H586" s="697" t="s">
        <v>37</v>
      </c>
      <c r="I586" s="698" t="s">
        <v>274</v>
      </c>
      <c r="J586" s="10" t="s">
        <v>77</v>
      </c>
      <c r="K586" s="24">
        <f>52.8+248.9</f>
        <v>301.7</v>
      </c>
      <c r="L586" s="24">
        <f>M586-K586</f>
        <v>0</v>
      </c>
      <c r="M586" s="24">
        <f>52.8+248.9</f>
        <v>301.7</v>
      </c>
    </row>
    <row r="587" spans="1:13" s="125" customFormat="1" ht="54" customHeight="1" x14ac:dyDescent="0.35">
      <c r="A587" s="11"/>
      <c r="B587" s="518" t="s">
        <v>581</v>
      </c>
      <c r="C587" s="23" t="s">
        <v>425</v>
      </c>
      <c r="D587" s="10" t="s">
        <v>224</v>
      </c>
      <c r="E587" s="10" t="s">
        <v>79</v>
      </c>
      <c r="F587" s="696" t="s">
        <v>39</v>
      </c>
      <c r="G587" s="697" t="s">
        <v>30</v>
      </c>
      <c r="H587" s="697" t="s">
        <v>37</v>
      </c>
      <c r="I587" s="698" t="s">
        <v>580</v>
      </c>
      <c r="J587" s="10"/>
      <c r="K587" s="24">
        <f>K588</f>
        <v>518.6</v>
      </c>
      <c r="L587" s="24">
        <f>L588</f>
        <v>0</v>
      </c>
      <c r="M587" s="24">
        <f>M588</f>
        <v>518.6</v>
      </c>
    </row>
    <row r="588" spans="1:13" s="125" customFormat="1" ht="54" customHeight="1" x14ac:dyDescent="0.35">
      <c r="A588" s="11"/>
      <c r="B588" s="518" t="s">
        <v>76</v>
      </c>
      <c r="C588" s="23" t="s">
        <v>425</v>
      </c>
      <c r="D588" s="10" t="s">
        <v>224</v>
      </c>
      <c r="E588" s="10" t="s">
        <v>79</v>
      </c>
      <c r="F588" s="696" t="s">
        <v>39</v>
      </c>
      <c r="G588" s="697" t="s">
        <v>30</v>
      </c>
      <c r="H588" s="697" t="s">
        <v>37</v>
      </c>
      <c r="I588" s="698" t="s">
        <v>580</v>
      </c>
      <c r="J588" s="10" t="s">
        <v>77</v>
      </c>
      <c r="K588" s="24">
        <v>518.6</v>
      </c>
      <c r="L588" s="24">
        <f>M588-K588</f>
        <v>0</v>
      </c>
      <c r="M588" s="24">
        <v>518.6</v>
      </c>
    </row>
    <row r="589" spans="1:13" s="125" customFormat="1" ht="108" customHeight="1" x14ac:dyDescent="0.35">
      <c r="A589" s="11"/>
      <c r="B589" s="518" t="s">
        <v>345</v>
      </c>
      <c r="C589" s="23" t="s">
        <v>425</v>
      </c>
      <c r="D589" s="10" t="s">
        <v>224</v>
      </c>
      <c r="E589" s="10" t="s">
        <v>79</v>
      </c>
      <c r="F589" s="696" t="s">
        <v>39</v>
      </c>
      <c r="G589" s="697" t="s">
        <v>30</v>
      </c>
      <c r="H589" s="697" t="s">
        <v>37</v>
      </c>
      <c r="I589" s="698" t="s">
        <v>270</v>
      </c>
      <c r="J589" s="10"/>
      <c r="K589" s="24">
        <f>K590+K591</f>
        <v>7044.7000000000007</v>
      </c>
      <c r="L589" s="24">
        <f>L590+L591</f>
        <v>0</v>
      </c>
      <c r="M589" s="24">
        <f>M590+M591</f>
        <v>7044.7000000000007</v>
      </c>
    </row>
    <row r="590" spans="1:13" s="125" customFormat="1" ht="108" customHeight="1" x14ac:dyDescent="0.35">
      <c r="A590" s="11"/>
      <c r="B590" s="518" t="s">
        <v>49</v>
      </c>
      <c r="C590" s="23" t="s">
        <v>425</v>
      </c>
      <c r="D590" s="10" t="s">
        <v>224</v>
      </c>
      <c r="E590" s="10" t="s">
        <v>79</v>
      </c>
      <c r="F590" s="696" t="s">
        <v>39</v>
      </c>
      <c r="G590" s="697" t="s">
        <v>30</v>
      </c>
      <c r="H590" s="697" t="s">
        <v>37</v>
      </c>
      <c r="I590" s="698" t="s">
        <v>270</v>
      </c>
      <c r="J590" s="10" t="s">
        <v>50</v>
      </c>
      <c r="K590" s="24">
        <v>6762.6</v>
      </c>
      <c r="L590" s="24">
        <f>M590-K590</f>
        <v>0</v>
      </c>
      <c r="M590" s="24">
        <v>6762.6</v>
      </c>
    </row>
    <row r="591" spans="1:13" s="125" customFormat="1" ht="54" customHeight="1" x14ac:dyDescent="0.35">
      <c r="A591" s="11"/>
      <c r="B591" s="518" t="s">
        <v>55</v>
      </c>
      <c r="C591" s="23" t="s">
        <v>425</v>
      </c>
      <c r="D591" s="10" t="s">
        <v>224</v>
      </c>
      <c r="E591" s="10" t="s">
        <v>79</v>
      </c>
      <c r="F591" s="696" t="s">
        <v>39</v>
      </c>
      <c r="G591" s="697" t="s">
        <v>30</v>
      </c>
      <c r="H591" s="697" t="s">
        <v>37</v>
      </c>
      <c r="I591" s="698" t="s">
        <v>270</v>
      </c>
      <c r="J591" s="10" t="s">
        <v>56</v>
      </c>
      <c r="K591" s="24">
        <f>266.5+15.6</f>
        <v>282.10000000000002</v>
      </c>
      <c r="L591" s="24">
        <f>M591-K591</f>
        <v>0</v>
      </c>
      <c r="M591" s="24">
        <f>266.5+15.6</f>
        <v>282.10000000000002</v>
      </c>
    </row>
    <row r="592" spans="1:13" s="125" customFormat="1" ht="54" customHeight="1" x14ac:dyDescent="0.35">
      <c r="A592" s="11"/>
      <c r="B592" s="515" t="s">
        <v>281</v>
      </c>
      <c r="C592" s="225" t="s">
        <v>425</v>
      </c>
      <c r="D592" s="28" t="s">
        <v>224</v>
      </c>
      <c r="E592" s="28" t="s">
        <v>79</v>
      </c>
      <c r="F592" s="217" t="s">
        <v>39</v>
      </c>
      <c r="G592" s="218" t="s">
        <v>30</v>
      </c>
      <c r="H592" s="218" t="s">
        <v>39</v>
      </c>
      <c r="I592" s="219" t="s">
        <v>44</v>
      </c>
      <c r="J592" s="28"/>
      <c r="K592" s="220">
        <f>K593+K595</f>
        <v>7731.7</v>
      </c>
      <c r="L592" s="220">
        <f>L593+L595</f>
        <v>0</v>
      </c>
      <c r="M592" s="220">
        <f>M593+M595</f>
        <v>7731.7</v>
      </c>
    </row>
    <row r="593" spans="1:13" s="125" customFormat="1" ht="36" customHeight="1" x14ac:dyDescent="0.35">
      <c r="A593" s="11"/>
      <c r="B593" s="515" t="s">
        <v>472</v>
      </c>
      <c r="C593" s="225" t="s">
        <v>425</v>
      </c>
      <c r="D593" s="28" t="s">
        <v>224</v>
      </c>
      <c r="E593" s="28" t="s">
        <v>79</v>
      </c>
      <c r="F593" s="217" t="s">
        <v>39</v>
      </c>
      <c r="G593" s="218" t="s">
        <v>30</v>
      </c>
      <c r="H593" s="218" t="s">
        <v>39</v>
      </c>
      <c r="I593" s="219" t="s">
        <v>471</v>
      </c>
      <c r="J593" s="28"/>
      <c r="K593" s="220">
        <f>K594</f>
        <v>2157</v>
      </c>
      <c r="L593" s="220">
        <f>L594</f>
        <v>0</v>
      </c>
      <c r="M593" s="220">
        <f>M594</f>
        <v>2157</v>
      </c>
    </row>
    <row r="594" spans="1:13" s="125" customFormat="1" ht="54" customHeight="1" x14ac:dyDescent="0.35">
      <c r="A594" s="11"/>
      <c r="B594" s="515" t="s">
        <v>76</v>
      </c>
      <c r="C594" s="225" t="s">
        <v>425</v>
      </c>
      <c r="D594" s="28" t="s">
        <v>224</v>
      </c>
      <c r="E594" s="28" t="s">
        <v>79</v>
      </c>
      <c r="F594" s="217" t="s">
        <v>39</v>
      </c>
      <c r="G594" s="218" t="s">
        <v>30</v>
      </c>
      <c r="H594" s="218" t="s">
        <v>39</v>
      </c>
      <c r="I594" s="219" t="s">
        <v>471</v>
      </c>
      <c r="J594" s="28" t="s">
        <v>77</v>
      </c>
      <c r="K594" s="220">
        <f>2107.5+49.5</f>
        <v>2157</v>
      </c>
      <c r="L594" s="24">
        <f>M594-K594</f>
        <v>0</v>
      </c>
      <c r="M594" s="220">
        <f>2107.5+49.5</f>
        <v>2157</v>
      </c>
    </row>
    <row r="595" spans="1:13" s="125" customFormat="1" ht="108" customHeight="1" x14ac:dyDescent="0.35">
      <c r="A595" s="11"/>
      <c r="B595" s="515" t="s">
        <v>441</v>
      </c>
      <c r="C595" s="225" t="s">
        <v>425</v>
      </c>
      <c r="D595" s="28" t="s">
        <v>224</v>
      </c>
      <c r="E595" s="28" t="s">
        <v>79</v>
      </c>
      <c r="F595" s="217" t="s">
        <v>39</v>
      </c>
      <c r="G595" s="218" t="s">
        <v>30</v>
      </c>
      <c r="H595" s="218" t="s">
        <v>39</v>
      </c>
      <c r="I595" s="219" t="s">
        <v>440</v>
      </c>
      <c r="J595" s="28"/>
      <c r="K595" s="220">
        <f>K596</f>
        <v>5574.7</v>
      </c>
      <c r="L595" s="220">
        <f>L596</f>
        <v>0</v>
      </c>
      <c r="M595" s="220">
        <f>M596</f>
        <v>5574.7</v>
      </c>
    </row>
    <row r="596" spans="1:13" s="125" customFormat="1" ht="54" customHeight="1" x14ac:dyDescent="0.35">
      <c r="A596" s="11"/>
      <c r="B596" s="515" t="s">
        <v>76</v>
      </c>
      <c r="C596" s="225" t="s">
        <v>425</v>
      </c>
      <c r="D596" s="28" t="s">
        <v>224</v>
      </c>
      <c r="E596" s="28" t="s">
        <v>79</v>
      </c>
      <c r="F596" s="217" t="s">
        <v>39</v>
      </c>
      <c r="G596" s="218" t="s">
        <v>30</v>
      </c>
      <c r="H596" s="218" t="s">
        <v>39</v>
      </c>
      <c r="I596" s="219" t="s">
        <v>440</v>
      </c>
      <c r="J596" s="28" t="s">
        <v>77</v>
      </c>
      <c r="K596" s="220">
        <v>5574.7</v>
      </c>
      <c r="L596" s="24">
        <f>M596-K596</f>
        <v>0</v>
      </c>
      <c r="M596" s="220">
        <v>5574.7</v>
      </c>
    </row>
    <row r="597" spans="1:13" s="125" customFormat="1" ht="18" customHeight="1" x14ac:dyDescent="0.35">
      <c r="A597" s="11"/>
      <c r="B597" s="567" t="s">
        <v>119</v>
      </c>
      <c r="C597" s="23" t="s">
        <v>425</v>
      </c>
      <c r="D597" s="10" t="s">
        <v>104</v>
      </c>
      <c r="E597" s="10"/>
      <c r="F597" s="696"/>
      <c r="G597" s="697"/>
      <c r="H597" s="697"/>
      <c r="I597" s="698"/>
      <c r="J597" s="10"/>
      <c r="K597" s="24">
        <f>K598+K604</f>
        <v>7212.9</v>
      </c>
      <c r="L597" s="24">
        <f>L598+L604</f>
        <v>0</v>
      </c>
      <c r="M597" s="24">
        <f>M598+M604</f>
        <v>7212.9</v>
      </c>
    </row>
    <row r="598" spans="1:13" s="125" customFormat="1" ht="18" x14ac:dyDescent="0.35">
      <c r="A598" s="11"/>
      <c r="B598" s="518" t="s">
        <v>735</v>
      </c>
      <c r="C598" s="23" t="s">
        <v>425</v>
      </c>
      <c r="D598" s="10" t="s">
        <v>104</v>
      </c>
      <c r="E598" s="10" t="s">
        <v>63</v>
      </c>
      <c r="F598" s="696"/>
      <c r="G598" s="697"/>
      <c r="H598" s="697"/>
      <c r="I598" s="698"/>
      <c r="J598" s="10"/>
      <c r="K598" s="24">
        <f>K599+K611</f>
        <v>920</v>
      </c>
      <c r="L598" s="24">
        <f>L599+L611</f>
        <v>0</v>
      </c>
      <c r="M598" s="24">
        <f>M599+M611</f>
        <v>920</v>
      </c>
    </row>
    <row r="599" spans="1:13" s="125" customFormat="1" ht="54" x14ac:dyDescent="0.35">
      <c r="A599" s="11"/>
      <c r="B599" s="570" t="s">
        <v>295</v>
      </c>
      <c r="C599" s="23" t="s">
        <v>425</v>
      </c>
      <c r="D599" s="10" t="s">
        <v>104</v>
      </c>
      <c r="E599" s="10" t="s">
        <v>63</v>
      </c>
      <c r="F599" s="696" t="s">
        <v>79</v>
      </c>
      <c r="G599" s="697" t="s">
        <v>42</v>
      </c>
      <c r="H599" s="697" t="s">
        <v>43</v>
      </c>
      <c r="I599" s="698" t="s">
        <v>44</v>
      </c>
      <c r="J599" s="10"/>
      <c r="K599" s="24">
        <f t="shared" ref="K599:M602" si="78">K600</f>
        <v>920</v>
      </c>
      <c r="L599" s="24">
        <f t="shared" si="78"/>
        <v>0</v>
      </c>
      <c r="M599" s="24">
        <f t="shared" si="78"/>
        <v>920</v>
      </c>
    </row>
    <row r="600" spans="1:13" s="125" customFormat="1" ht="36" x14ac:dyDescent="0.35">
      <c r="A600" s="11"/>
      <c r="B600" s="518" t="s">
        <v>339</v>
      </c>
      <c r="C600" s="23" t="s">
        <v>425</v>
      </c>
      <c r="D600" s="10" t="s">
        <v>104</v>
      </c>
      <c r="E600" s="10" t="s">
        <v>63</v>
      </c>
      <c r="F600" s="696" t="s">
        <v>79</v>
      </c>
      <c r="G600" s="697" t="s">
        <v>45</v>
      </c>
      <c r="H600" s="697" t="s">
        <v>43</v>
      </c>
      <c r="I600" s="698" t="s">
        <v>44</v>
      </c>
      <c r="J600" s="10"/>
      <c r="K600" s="24">
        <f t="shared" si="78"/>
        <v>920</v>
      </c>
      <c r="L600" s="24">
        <f t="shared" si="78"/>
        <v>0</v>
      </c>
      <c r="M600" s="24">
        <f t="shared" si="78"/>
        <v>920</v>
      </c>
    </row>
    <row r="601" spans="1:13" s="125" customFormat="1" ht="54" x14ac:dyDescent="0.35">
      <c r="A601" s="11"/>
      <c r="B601" s="518" t="s">
        <v>733</v>
      </c>
      <c r="C601" s="23" t="s">
        <v>425</v>
      </c>
      <c r="D601" s="10" t="s">
        <v>104</v>
      </c>
      <c r="E601" s="10" t="s">
        <v>63</v>
      </c>
      <c r="F601" s="696" t="s">
        <v>79</v>
      </c>
      <c r="G601" s="697" t="s">
        <v>45</v>
      </c>
      <c r="H601" s="697" t="s">
        <v>224</v>
      </c>
      <c r="I601" s="698" t="s">
        <v>44</v>
      </c>
      <c r="J601" s="10"/>
      <c r="K601" s="24">
        <f t="shared" si="78"/>
        <v>920</v>
      </c>
      <c r="L601" s="24">
        <f t="shared" si="78"/>
        <v>0</v>
      </c>
      <c r="M601" s="24">
        <f t="shared" si="78"/>
        <v>920</v>
      </c>
    </row>
    <row r="602" spans="1:13" s="125" customFormat="1" ht="72" x14ac:dyDescent="0.35">
      <c r="A602" s="11"/>
      <c r="B602" s="518" t="s">
        <v>734</v>
      </c>
      <c r="C602" s="23" t="s">
        <v>425</v>
      </c>
      <c r="D602" s="10" t="s">
        <v>104</v>
      </c>
      <c r="E602" s="10" t="s">
        <v>63</v>
      </c>
      <c r="F602" s="696" t="s">
        <v>79</v>
      </c>
      <c r="G602" s="697" t="s">
        <v>45</v>
      </c>
      <c r="H602" s="697" t="s">
        <v>224</v>
      </c>
      <c r="I602" s="698" t="s">
        <v>732</v>
      </c>
      <c r="J602" s="10"/>
      <c r="K602" s="24">
        <f t="shared" si="78"/>
        <v>920</v>
      </c>
      <c r="L602" s="24">
        <f t="shared" si="78"/>
        <v>0</v>
      </c>
      <c r="M602" s="24">
        <f t="shared" si="78"/>
        <v>920</v>
      </c>
    </row>
    <row r="603" spans="1:13" s="125" customFormat="1" ht="36" x14ac:dyDescent="0.35">
      <c r="A603" s="11"/>
      <c r="B603" s="525" t="s">
        <v>120</v>
      </c>
      <c r="C603" s="23" t="s">
        <v>425</v>
      </c>
      <c r="D603" s="10" t="s">
        <v>104</v>
      </c>
      <c r="E603" s="10" t="s">
        <v>63</v>
      </c>
      <c r="F603" s="696" t="s">
        <v>79</v>
      </c>
      <c r="G603" s="697" t="s">
        <v>45</v>
      </c>
      <c r="H603" s="697" t="s">
        <v>224</v>
      </c>
      <c r="I603" s="698" t="s">
        <v>732</v>
      </c>
      <c r="J603" s="10" t="s">
        <v>121</v>
      </c>
      <c r="K603" s="24">
        <f>591.2+98.8+230</f>
        <v>920</v>
      </c>
      <c r="L603" s="24">
        <f>M603-K603</f>
        <v>0</v>
      </c>
      <c r="M603" s="24">
        <f>591.2+98.8+230</f>
        <v>920</v>
      </c>
    </row>
    <row r="604" spans="1:13" s="125" customFormat="1" ht="18" x14ac:dyDescent="0.35">
      <c r="A604" s="11"/>
      <c r="B604" s="567" t="s">
        <v>193</v>
      </c>
      <c r="C604" s="23" t="s">
        <v>425</v>
      </c>
      <c r="D604" s="10" t="s">
        <v>104</v>
      </c>
      <c r="E604" s="10" t="s">
        <v>52</v>
      </c>
      <c r="F604" s="696"/>
      <c r="G604" s="697"/>
      <c r="H604" s="697"/>
      <c r="I604" s="698"/>
      <c r="J604" s="10"/>
      <c r="K604" s="24">
        <f t="shared" ref="K604:M604" si="79">K605</f>
        <v>6292.9</v>
      </c>
      <c r="L604" s="24">
        <f t="shared" si="79"/>
        <v>0</v>
      </c>
      <c r="M604" s="24">
        <f t="shared" si="79"/>
        <v>6292.9</v>
      </c>
    </row>
    <row r="605" spans="1:13" s="125" customFormat="1" ht="54" customHeight="1" x14ac:dyDescent="0.35">
      <c r="A605" s="11"/>
      <c r="B605" s="518" t="s">
        <v>205</v>
      </c>
      <c r="C605" s="23" t="s">
        <v>425</v>
      </c>
      <c r="D605" s="10" t="s">
        <v>104</v>
      </c>
      <c r="E605" s="10" t="s">
        <v>52</v>
      </c>
      <c r="F605" s="696" t="s">
        <v>39</v>
      </c>
      <c r="G605" s="697" t="s">
        <v>42</v>
      </c>
      <c r="H605" s="697" t="s">
        <v>43</v>
      </c>
      <c r="I605" s="698" t="s">
        <v>44</v>
      </c>
      <c r="J605" s="10"/>
      <c r="K605" s="24">
        <f t="shared" ref="K605:M607" si="80">K606</f>
        <v>6292.9</v>
      </c>
      <c r="L605" s="24">
        <f t="shared" si="80"/>
        <v>0</v>
      </c>
      <c r="M605" s="24">
        <f t="shared" si="80"/>
        <v>6292.9</v>
      </c>
    </row>
    <row r="606" spans="1:13" s="125" customFormat="1" ht="36" customHeight="1" x14ac:dyDescent="0.35">
      <c r="A606" s="11"/>
      <c r="B606" s="518" t="s">
        <v>206</v>
      </c>
      <c r="C606" s="23" t="s">
        <v>425</v>
      </c>
      <c r="D606" s="10" t="s">
        <v>104</v>
      </c>
      <c r="E606" s="10" t="s">
        <v>52</v>
      </c>
      <c r="F606" s="696" t="s">
        <v>39</v>
      </c>
      <c r="G606" s="697" t="s">
        <v>45</v>
      </c>
      <c r="H606" s="697" t="s">
        <v>43</v>
      </c>
      <c r="I606" s="698" t="s">
        <v>44</v>
      </c>
      <c r="J606" s="10"/>
      <c r="K606" s="24">
        <f t="shared" si="80"/>
        <v>6292.9</v>
      </c>
      <c r="L606" s="24">
        <f t="shared" si="80"/>
        <v>0</v>
      </c>
      <c r="M606" s="24">
        <f t="shared" si="80"/>
        <v>6292.9</v>
      </c>
    </row>
    <row r="607" spans="1:13" s="125" customFormat="1" ht="36" customHeight="1" x14ac:dyDescent="0.35">
      <c r="A607" s="11"/>
      <c r="B607" s="518" t="s">
        <v>267</v>
      </c>
      <c r="C607" s="23" t="s">
        <v>425</v>
      </c>
      <c r="D607" s="10" t="s">
        <v>104</v>
      </c>
      <c r="E607" s="10" t="s">
        <v>52</v>
      </c>
      <c r="F607" s="696" t="s">
        <v>39</v>
      </c>
      <c r="G607" s="697" t="s">
        <v>45</v>
      </c>
      <c r="H607" s="697" t="s">
        <v>37</v>
      </c>
      <c r="I607" s="698" t="s">
        <v>44</v>
      </c>
      <c r="J607" s="10"/>
      <c r="K607" s="24">
        <f t="shared" si="80"/>
        <v>6292.9</v>
      </c>
      <c r="L607" s="24">
        <f t="shared" si="80"/>
        <v>0</v>
      </c>
      <c r="M607" s="24">
        <f t="shared" si="80"/>
        <v>6292.9</v>
      </c>
    </row>
    <row r="608" spans="1:13" s="125" customFormat="1" ht="126" customHeight="1" x14ac:dyDescent="0.35">
      <c r="A608" s="11"/>
      <c r="B608" s="518" t="s">
        <v>283</v>
      </c>
      <c r="C608" s="23" t="s">
        <v>425</v>
      </c>
      <c r="D608" s="10" t="s">
        <v>104</v>
      </c>
      <c r="E608" s="10" t="s">
        <v>52</v>
      </c>
      <c r="F608" s="696" t="s">
        <v>39</v>
      </c>
      <c r="G608" s="697" t="s">
        <v>45</v>
      </c>
      <c r="H608" s="697" t="s">
        <v>37</v>
      </c>
      <c r="I608" s="698" t="s">
        <v>284</v>
      </c>
      <c r="J608" s="10"/>
      <c r="K608" s="24">
        <f>K609+K610</f>
        <v>6292.9</v>
      </c>
      <c r="L608" s="24">
        <f>L609+L610</f>
        <v>0</v>
      </c>
      <c r="M608" s="24">
        <f>M609+M610</f>
        <v>6292.9</v>
      </c>
    </row>
    <row r="609" spans="1:13" s="125" customFormat="1" ht="54" customHeight="1" x14ac:dyDescent="0.35">
      <c r="A609" s="11"/>
      <c r="B609" s="518" t="s">
        <v>55</v>
      </c>
      <c r="C609" s="23" t="s">
        <v>425</v>
      </c>
      <c r="D609" s="10" t="s">
        <v>104</v>
      </c>
      <c r="E609" s="10" t="s">
        <v>52</v>
      </c>
      <c r="F609" s="696" t="s">
        <v>39</v>
      </c>
      <c r="G609" s="697" t="s">
        <v>45</v>
      </c>
      <c r="H609" s="697" t="s">
        <v>37</v>
      </c>
      <c r="I609" s="698" t="s">
        <v>284</v>
      </c>
      <c r="J609" s="10" t="s">
        <v>56</v>
      </c>
      <c r="K609" s="24">
        <v>92.9</v>
      </c>
      <c r="L609" s="24">
        <f>M609-K609</f>
        <v>0</v>
      </c>
      <c r="M609" s="24">
        <v>92.9</v>
      </c>
    </row>
    <row r="610" spans="1:13" s="125" customFormat="1" ht="36" customHeight="1" x14ac:dyDescent="0.35">
      <c r="A610" s="11"/>
      <c r="B610" s="525" t="s">
        <v>120</v>
      </c>
      <c r="C610" s="23" t="s">
        <v>425</v>
      </c>
      <c r="D610" s="10" t="s">
        <v>104</v>
      </c>
      <c r="E610" s="10" t="s">
        <v>52</v>
      </c>
      <c r="F610" s="696" t="s">
        <v>39</v>
      </c>
      <c r="G610" s="697" t="s">
        <v>45</v>
      </c>
      <c r="H610" s="697" t="s">
        <v>37</v>
      </c>
      <c r="I610" s="698" t="s">
        <v>284</v>
      </c>
      <c r="J610" s="10" t="s">
        <v>121</v>
      </c>
      <c r="K610" s="24">
        <v>6200</v>
      </c>
      <c r="L610" s="24">
        <f>M610-K610</f>
        <v>0</v>
      </c>
      <c r="M610" s="24">
        <v>6200</v>
      </c>
    </row>
    <row r="611" spans="1:13" s="141" customFormat="1" ht="18" customHeight="1" x14ac:dyDescent="0.35">
      <c r="A611" s="640"/>
      <c r="B611" s="562"/>
      <c r="C611" s="164"/>
      <c r="D611" s="165"/>
      <c r="E611" s="165"/>
      <c r="F611" s="166"/>
      <c r="G611" s="167"/>
      <c r="H611" s="167"/>
      <c r="I611" s="168"/>
      <c r="J611" s="165"/>
      <c r="K611" s="140"/>
      <c r="L611" s="140"/>
      <c r="M611" s="140"/>
    </row>
    <row r="612" spans="1:13" s="121" customFormat="1" ht="52.2" customHeight="1" x14ac:dyDescent="0.3">
      <c r="A612" s="120">
        <v>6</v>
      </c>
      <c r="B612" s="588" t="s">
        <v>9</v>
      </c>
      <c r="C612" s="18" t="s">
        <v>314</v>
      </c>
      <c r="D612" s="19"/>
      <c r="E612" s="19"/>
      <c r="F612" s="20"/>
      <c r="G612" s="21"/>
      <c r="H612" s="21"/>
      <c r="I612" s="22"/>
      <c r="J612" s="19"/>
      <c r="K612" s="32">
        <f>K620+K642+K613</f>
        <v>137506.1</v>
      </c>
      <c r="L612" s="32">
        <f>L620+L642+L613</f>
        <v>4677.899999999996</v>
      </c>
      <c r="M612" s="32">
        <f>M620+M642+M613</f>
        <v>142184</v>
      </c>
    </row>
    <row r="613" spans="1:13" s="121" customFormat="1" ht="18" customHeight="1" x14ac:dyDescent="0.35">
      <c r="A613" s="120"/>
      <c r="B613" s="518" t="s">
        <v>36</v>
      </c>
      <c r="C613" s="23" t="s">
        <v>314</v>
      </c>
      <c r="D613" s="28" t="s">
        <v>37</v>
      </c>
      <c r="E613" s="19"/>
      <c r="F613" s="20"/>
      <c r="G613" s="21"/>
      <c r="H613" s="21"/>
      <c r="I613" s="22"/>
      <c r="J613" s="19"/>
      <c r="K613" s="220">
        <f>K614</f>
        <v>54.1</v>
      </c>
      <c r="L613" s="220">
        <f>L614</f>
        <v>0</v>
      </c>
      <c r="M613" s="220">
        <f>M614</f>
        <v>54.1</v>
      </c>
    </row>
    <row r="614" spans="1:13" s="121" customFormat="1" ht="18" customHeight="1" x14ac:dyDescent="0.35">
      <c r="A614" s="120"/>
      <c r="B614" s="518" t="s">
        <v>70</v>
      </c>
      <c r="C614" s="23" t="s">
        <v>314</v>
      </c>
      <c r="D614" s="28" t="s">
        <v>37</v>
      </c>
      <c r="E614" s="28" t="s">
        <v>71</v>
      </c>
      <c r="F614" s="20"/>
      <c r="G614" s="21"/>
      <c r="H614" s="21"/>
      <c r="I614" s="22"/>
      <c r="J614" s="19"/>
      <c r="K614" s="220">
        <f>K616</f>
        <v>54.1</v>
      </c>
      <c r="L614" s="220">
        <f>L616</f>
        <v>0</v>
      </c>
      <c r="M614" s="220">
        <f>M616</f>
        <v>54.1</v>
      </c>
    </row>
    <row r="615" spans="1:13" s="121" customFormat="1" ht="54" customHeight="1" x14ac:dyDescent="0.35">
      <c r="A615" s="120"/>
      <c r="B615" s="568" t="s">
        <v>213</v>
      </c>
      <c r="C615" s="23" t="s">
        <v>314</v>
      </c>
      <c r="D615" s="10" t="s">
        <v>37</v>
      </c>
      <c r="E615" s="10" t="s">
        <v>71</v>
      </c>
      <c r="F615" s="696" t="s">
        <v>63</v>
      </c>
      <c r="G615" s="697" t="s">
        <v>42</v>
      </c>
      <c r="H615" s="697" t="s">
        <v>43</v>
      </c>
      <c r="I615" s="698" t="s">
        <v>44</v>
      </c>
      <c r="J615" s="19"/>
      <c r="K615" s="220">
        <f t="shared" ref="K615:M616" si="81">K616</f>
        <v>54.1</v>
      </c>
      <c r="L615" s="220">
        <f t="shared" si="81"/>
        <v>0</v>
      </c>
      <c r="M615" s="220">
        <f t="shared" si="81"/>
        <v>54.1</v>
      </c>
    </row>
    <row r="616" spans="1:13" s="121" customFormat="1" ht="54" customHeight="1" x14ac:dyDescent="0.35">
      <c r="A616" s="120"/>
      <c r="B616" s="518" t="s">
        <v>216</v>
      </c>
      <c r="C616" s="23" t="s">
        <v>314</v>
      </c>
      <c r="D616" s="28" t="s">
        <v>37</v>
      </c>
      <c r="E616" s="28" t="s">
        <v>71</v>
      </c>
      <c r="F616" s="217" t="s">
        <v>63</v>
      </c>
      <c r="G616" s="218" t="s">
        <v>30</v>
      </c>
      <c r="H616" s="218" t="s">
        <v>43</v>
      </c>
      <c r="I616" s="219" t="s">
        <v>44</v>
      </c>
      <c r="J616" s="19"/>
      <c r="K616" s="220">
        <f t="shared" si="81"/>
        <v>54.1</v>
      </c>
      <c r="L616" s="220">
        <f t="shared" si="81"/>
        <v>0</v>
      </c>
      <c r="M616" s="220">
        <f t="shared" si="81"/>
        <v>54.1</v>
      </c>
    </row>
    <row r="617" spans="1:13" s="121" customFormat="1" ht="36" customHeight="1" x14ac:dyDescent="0.35">
      <c r="A617" s="120"/>
      <c r="B617" s="518" t="s">
        <v>351</v>
      </c>
      <c r="C617" s="23" t="s">
        <v>314</v>
      </c>
      <c r="D617" s="28" t="s">
        <v>37</v>
      </c>
      <c r="E617" s="28" t="s">
        <v>71</v>
      </c>
      <c r="F617" s="217" t="s">
        <v>63</v>
      </c>
      <c r="G617" s="218" t="s">
        <v>30</v>
      </c>
      <c r="H617" s="218" t="s">
        <v>39</v>
      </c>
      <c r="I617" s="219" t="s">
        <v>44</v>
      </c>
      <c r="J617" s="19"/>
      <c r="K617" s="220">
        <f t="shared" ref="K617:M618" si="82">K618</f>
        <v>54.1</v>
      </c>
      <c r="L617" s="220">
        <f t="shared" si="82"/>
        <v>0</v>
      </c>
      <c r="M617" s="220">
        <f t="shared" si="82"/>
        <v>54.1</v>
      </c>
    </row>
    <row r="618" spans="1:13" s="121" customFormat="1" ht="54" customHeight="1" x14ac:dyDescent="0.35">
      <c r="A618" s="120"/>
      <c r="B618" s="518" t="s">
        <v>352</v>
      </c>
      <c r="C618" s="23" t="s">
        <v>314</v>
      </c>
      <c r="D618" s="28" t="s">
        <v>37</v>
      </c>
      <c r="E618" s="28" t="s">
        <v>71</v>
      </c>
      <c r="F618" s="217" t="s">
        <v>63</v>
      </c>
      <c r="G618" s="218" t="s">
        <v>30</v>
      </c>
      <c r="H618" s="218" t="s">
        <v>39</v>
      </c>
      <c r="I618" s="219" t="s">
        <v>105</v>
      </c>
      <c r="J618" s="19"/>
      <c r="K618" s="220">
        <f t="shared" si="82"/>
        <v>54.1</v>
      </c>
      <c r="L618" s="220">
        <f t="shared" si="82"/>
        <v>0</v>
      </c>
      <c r="M618" s="220">
        <f t="shared" si="82"/>
        <v>54.1</v>
      </c>
    </row>
    <row r="619" spans="1:13" s="121" customFormat="1" ht="54" customHeight="1" x14ac:dyDescent="0.35">
      <c r="A619" s="120"/>
      <c r="B619" s="518" t="s">
        <v>55</v>
      </c>
      <c r="C619" s="23" t="s">
        <v>314</v>
      </c>
      <c r="D619" s="28" t="s">
        <v>37</v>
      </c>
      <c r="E619" s="28" t="s">
        <v>71</v>
      </c>
      <c r="F619" s="217" t="s">
        <v>63</v>
      </c>
      <c r="G619" s="218" t="s">
        <v>30</v>
      </c>
      <c r="H619" s="218" t="s">
        <v>39</v>
      </c>
      <c r="I619" s="219" t="s">
        <v>105</v>
      </c>
      <c r="J619" s="28" t="s">
        <v>56</v>
      </c>
      <c r="K619" s="220">
        <v>54.1</v>
      </c>
      <c r="L619" s="24">
        <f>M619-K619</f>
        <v>0</v>
      </c>
      <c r="M619" s="220">
        <v>54.1</v>
      </c>
    </row>
    <row r="620" spans="1:13" s="7" customFormat="1" ht="18" customHeight="1" x14ac:dyDescent="0.35">
      <c r="A620" s="11"/>
      <c r="B620" s="568" t="s">
        <v>179</v>
      </c>
      <c r="C620" s="23" t="s">
        <v>314</v>
      </c>
      <c r="D620" s="10" t="s">
        <v>224</v>
      </c>
      <c r="E620" s="10"/>
      <c r="F620" s="696"/>
      <c r="G620" s="697"/>
      <c r="H620" s="697"/>
      <c r="I620" s="698"/>
      <c r="J620" s="10"/>
      <c r="K620" s="24">
        <f>K621+K633</f>
        <v>73556.600000000006</v>
      </c>
      <c r="L620" s="24">
        <f>L621+L633</f>
        <v>3048.799999999997</v>
      </c>
      <c r="M620" s="24">
        <f>M621+M633</f>
        <v>76605.400000000009</v>
      </c>
    </row>
    <row r="621" spans="1:13" s="121" customFormat="1" ht="18" customHeight="1" x14ac:dyDescent="0.35">
      <c r="A621" s="11"/>
      <c r="B621" s="568" t="s">
        <v>349</v>
      </c>
      <c r="C621" s="23" t="s">
        <v>314</v>
      </c>
      <c r="D621" s="10" t="s">
        <v>224</v>
      </c>
      <c r="E621" s="10" t="s">
        <v>63</v>
      </c>
      <c r="F621" s="696"/>
      <c r="G621" s="697"/>
      <c r="H621" s="697"/>
      <c r="I621" s="698"/>
      <c r="J621" s="10"/>
      <c r="K621" s="24">
        <f t="shared" ref="K621:M622" si="83">K622</f>
        <v>72806</v>
      </c>
      <c r="L621" s="24">
        <f t="shared" si="83"/>
        <v>3048.799999999997</v>
      </c>
      <c r="M621" s="24">
        <f t="shared" si="83"/>
        <v>75854.8</v>
      </c>
    </row>
    <row r="622" spans="1:13" s="121" customFormat="1" ht="54" customHeight="1" x14ac:dyDescent="0.35">
      <c r="A622" s="11"/>
      <c r="B622" s="568" t="s">
        <v>213</v>
      </c>
      <c r="C622" s="23" t="s">
        <v>314</v>
      </c>
      <c r="D622" s="10" t="s">
        <v>224</v>
      </c>
      <c r="E622" s="10" t="s">
        <v>63</v>
      </c>
      <c r="F622" s="696" t="s">
        <v>63</v>
      </c>
      <c r="G622" s="697" t="s">
        <v>42</v>
      </c>
      <c r="H622" s="697" t="s">
        <v>43</v>
      </c>
      <c r="I622" s="698" t="s">
        <v>44</v>
      </c>
      <c r="J622" s="10"/>
      <c r="K622" s="24">
        <f t="shared" si="83"/>
        <v>72806</v>
      </c>
      <c r="L622" s="24">
        <f t="shared" si="83"/>
        <v>3048.799999999997</v>
      </c>
      <c r="M622" s="24">
        <f t="shared" si="83"/>
        <v>75854.8</v>
      </c>
    </row>
    <row r="623" spans="1:13" s="121" customFormat="1" ht="72" customHeight="1" x14ac:dyDescent="0.35">
      <c r="A623" s="11"/>
      <c r="B623" s="568" t="s">
        <v>214</v>
      </c>
      <c r="C623" s="23" t="s">
        <v>314</v>
      </c>
      <c r="D623" s="10" t="s">
        <v>224</v>
      </c>
      <c r="E623" s="10" t="s">
        <v>63</v>
      </c>
      <c r="F623" s="696" t="s">
        <v>63</v>
      </c>
      <c r="G623" s="697" t="s">
        <v>45</v>
      </c>
      <c r="H623" s="697" t="s">
        <v>43</v>
      </c>
      <c r="I623" s="698" t="s">
        <v>44</v>
      </c>
      <c r="J623" s="10"/>
      <c r="K623" s="24">
        <f>K624</f>
        <v>72806</v>
      </c>
      <c r="L623" s="24">
        <f>L624</f>
        <v>3048.799999999997</v>
      </c>
      <c r="M623" s="24">
        <f>M624</f>
        <v>75854.8</v>
      </c>
    </row>
    <row r="624" spans="1:13" s="121" customFormat="1" ht="36" customHeight="1" x14ac:dyDescent="0.35">
      <c r="A624" s="11"/>
      <c r="B624" s="568" t="s">
        <v>276</v>
      </c>
      <c r="C624" s="23" t="s">
        <v>314</v>
      </c>
      <c r="D624" s="10" t="s">
        <v>224</v>
      </c>
      <c r="E624" s="10" t="s">
        <v>63</v>
      </c>
      <c r="F624" s="696" t="s">
        <v>63</v>
      </c>
      <c r="G624" s="697" t="s">
        <v>45</v>
      </c>
      <c r="H624" s="697" t="s">
        <v>37</v>
      </c>
      <c r="I624" s="698" t="s">
        <v>44</v>
      </c>
      <c r="J624" s="10"/>
      <c r="K624" s="24">
        <f>K625+K629+K627+K631</f>
        <v>72806</v>
      </c>
      <c r="L624" s="24">
        <f>L625+L629+L627+L631</f>
        <v>3048.799999999997</v>
      </c>
      <c r="M624" s="24">
        <f>M625+M629+M627+M631</f>
        <v>75854.8</v>
      </c>
    </row>
    <row r="625" spans="1:13" s="121" customFormat="1" ht="36" customHeight="1" x14ac:dyDescent="0.35">
      <c r="A625" s="11"/>
      <c r="B625" s="551" t="s">
        <v>466</v>
      </c>
      <c r="C625" s="23" t="s">
        <v>314</v>
      </c>
      <c r="D625" s="10" t="s">
        <v>224</v>
      </c>
      <c r="E625" s="10" t="s">
        <v>63</v>
      </c>
      <c r="F625" s="696" t="s">
        <v>63</v>
      </c>
      <c r="G625" s="697" t="s">
        <v>45</v>
      </c>
      <c r="H625" s="697" t="s">
        <v>37</v>
      </c>
      <c r="I625" s="698" t="s">
        <v>91</v>
      </c>
      <c r="J625" s="10"/>
      <c r="K625" s="24">
        <f>K626</f>
        <v>58741.5</v>
      </c>
      <c r="L625" s="24">
        <f>L626</f>
        <v>504.19999999999709</v>
      </c>
      <c r="M625" s="24">
        <f>M626</f>
        <v>59245.7</v>
      </c>
    </row>
    <row r="626" spans="1:13" s="7" customFormat="1" ht="54" customHeight="1" x14ac:dyDescent="0.35">
      <c r="A626" s="11"/>
      <c r="B626" s="525" t="s">
        <v>76</v>
      </c>
      <c r="C626" s="23" t="s">
        <v>314</v>
      </c>
      <c r="D626" s="10" t="s">
        <v>224</v>
      </c>
      <c r="E626" s="10" t="s">
        <v>63</v>
      </c>
      <c r="F626" s="696" t="s">
        <v>63</v>
      </c>
      <c r="G626" s="697" t="s">
        <v>45</v>
      </c>
      <c r="H626" s="697" t="s">
        <v>37</v>
      </c>
      <c r="I626" s="698" t="s">
        <v>91</v>
      </c>
      <c r="J626" s="10" t="s">
        <v>77</v>
      </c>
      <c r="K626" s="24">
        <f>56997.1+186.2+126.9+1050.4+292.9+88</f>
        <v>58741.5</v>
      </c>
      <c r="L626" s="24">
        <f>M626-K626</f>
        <v>504.19999999999709</v>
      </c>
      <c r="M626" s="24">
        <f>56997.1+186.2+126.9+1050.4+292.9+88+504.2</f>
        <v>59245.7</v>
      </c>
    </row>
    <row r="627" spans="1:13" s="7" customFormat="1" ht="18" customHeight="1" x14ac:dyDescent="0.35">
      <c r="A627" s="11"/>
      <c r="B627" s="525" t="s">
        <v>467</v>
      </c>
      <c r="C627" s="23" t="s">
        <v>314</v>
      </c>
      <c r="D627" s="10" t="s">
        <v>224</v>
      </c>
      <c r="E627" s="10" t="s">
        <v>63</v>
      </c>
      <c r="F627" s="696" t="s">
        <v>63</v>
      </c>
      <c r="G627" s="697" t="s">
        <v>45</v>
      </c>
      <c r="H627" s="697" t="s">
        <v>37</v>
      </c>
      <c r="I627" s="698" t="s">
        <v>381</v>
      </c>
      <c r="J627" s="10"/>
      <c r="K627" s="24">
        <f>K628</f>
        <v>6735</v>
      </c>
      <c r="L627" s="24">
        <f>L628</f>
        <v>0</v>
      </c>
      <c r="M627" s="24">
        <f>M628</f>
        <v>6735</v>
      </c>
    </row>
    <row r="628" spans="1:13" s="7" customFormat="1" ht="54" customHeight="1" x14ac:dyDescent="0.35">
      <c r="A628" s="11"/>
      <c r="B628" s="525" t="s">
        <v>76</v>
      </c>
      <c r="C628" s="23" t="s">
        <v>314</v>
      </c>
      <c r="D628" s="10" t="s">
        <v>224</v>
      </c>
      <c r="E628" s="10" t="s">
        <v>63</v>
      </c>
      <c r="F628" s="696" t="s">
        <v>63</v>
      </c>
      <c r="G628" s="697" t="s">
        <v>45</v>
      </c>
      <c r="H628" s="697" t="s">
        <v>37</v>
      </c>
      <c r="I628" s="698" t="s">
        <v>381</v>
      </c>
      <c r="J628" s="10" t="s">
        <v>77</v>
      </c>
      <c r="K628" s="24">
        <f>3380.6+28.4+2046.7+127.1-318.5+1470.7</f>
        <v>6735</v>
      </c>
      <c r="L628" s="24">
        <f>M628-K628</f>
        <v>0</v>
      </c>
      <c r="M628" s="24">
        <f>3380.6+28.4+2046.7+127.1-318.5+1470.7</f>
        <v>6735</v>
      </c>
    </row>
    <row r="629" spans="1:13" s="7" customFormat="1" ht="36" customHeight="1" x14ac:dyDescent="0.35">
      <c r="A629" s="11"/>
      <c r="B629" s="525" t="s">
        <v>315</v>
      </c>
      <c r="C629" s="23" t="s">
        <v>314</v>
      </c>
      <c r="D629" s="10" t="s">
        <v>224</v>
      </c>
      <c r="E629" s="10" t="s">
        <v>63</v>
      </c>
      <c r="F629" s="696" t="s">
        <v>63</v>
      </c>
      <c r="G629" s="697" t="s">
        <v>45</v>
      </c>
      <c r="H629" s="697" t="s">
        <v>37</v>
      </c>
      <c r="I629" s="698" t="s">
        <v>316</v>
      </c>
      <c r="J629" s="10"/>
      <c r="K629" s="24">
        <f>K630</f>
        <v>6579.5</v>
      </c>
      <c r="L629" s="24">
        <f>L630</f>
        <v>0</v>
      </c>
      <c r="M629" s="24">
        <f>M630</f>
        <v>6579.5</v>
      </c>
    </row>
    <row r="630" spans="1:13" s="7" customFormat="1" ht="54" customHeight="1" x14ac:dyDescent="0.35">
      <c r="A630" s="11"/>
      <c r="B630" s="525" t="s">
        <v>76</v>
      </c>
      <c r="C630" s="23" t="s">
        <v>314</v>
      </c>
      <c r="D630" s="10" t="s">
        <v>224</v>
      </c>
      <c r="E630" s="10" t="s">
        <v>63</v>
      </c>
      <c r="F630" s="696" t="s">
        <v>63</v>
      </c>
      <c r="G630" s="697" t="s">
        <v>45</v>
      </c>
      <c r="H630" s="697" t="s">
        <v>37</v>
      </c>
      <c r="I630" s="698" t="s">
        <v>316</v>
      </c>
      <c r="J630" s="10" t="s">
        <v>77</v>
      </c>
      <c r="K630" s="24">
        <f>5517+600+12.6+131.4+318.5</f>
        <v>6579.5</v>
      </c>
      <c r="L630" s="24">
        <f>M630-K630</f>
        <v>0</v>
      </c>
      <c r="M630" s="24">
        <f>5517+600+12.6+131.4+318.5</f>
        <v>6579.5</v>
      </c>
    </row>
    <row r="631" spans="1:13" s="7" customFormat="1" ht="54" customHeight="1" x14ac:dyDescent="0.35">
      <c r="A631" s="11"/>
      <c r="B631" s="601" t="s">
        <v>697</v>
      </c>
      <c r="C631" s="23" t="s">
        <v>314</v>
      </c>
      <c r="D631" s="10" t="s">
        <v>224</v>
      </c>
      <c r="E631" s="10" t="s">
        <v>63</v>
      </c>
      <c r="F631" s="696" t="s">
        <v>63</v>
      </c>
      <c r="G631" s="697" t="s">
        <v>45</v>
      </c>
      <c r="H631" s="697" t="s">
        <v>37</v>
      </c>
      <c r="I631" s="698" t="s">
        <v>696</v>
      </c>
      <c r="J631" s="10"/>
      <c r="K631" s="24">
        <f>K632</f>
        <v>750</v>
      </c>
      <c r="L631" s="24">
        <f>L632</f>
        <v>2544.6</v>
      </c>
      <c r="M631" s="24">
        <f>M632</f>
        <v>3294.6</v>
      </c>
    </row>
    <row r="632" spans="1:13" s="7" customFormat="1" ht="54" customHeight="1" x14ac:dyDescent="0.35">
      <c r="A632" s="11"/>
      <c r="B632" s="525" t="s">
        <v>76</v>
      </c>
      <c r="C632" s="23" t="s">
        <v>314</v>
      </c>
      <c r="D632" s="10" t="s">
        <v>224</v>
      </c>
      <c r="E632" s="10" t="s">
        <v>63</v>
      </c>
      <c r="F632" s="696" t="s">
        <v>63</v>
      </c>
      <c r="G632" s="697" t="s">
        <v>45</v>
      </c>
      <c r="H632" s="697" t="s">
        <v>37</v>
      </c>
      <c r="I632" s="698" t="s">
        <v>696</v>
      </c>
      <c r="J632" s="10" t="s">
        <v>77</v>
      </c>
      <c r="K632" s="24">
        <v>750</v>
      </c>
      <c r="L632" s="24">
        <f>M632-K632</f>
        <v>2544.6</v>
      </c>
      <c r="M632" s="24">
        <f>750+2544.6</f>
        <v>3294.6</v>
      </c>
    </row>
    <row r="633" spans="1:13" s="7" customFormat="1" ht="18" customHeight="1" x14ac:dyDescent="0.35">
      <c r="A633" s="11"/>
      <c r="B633" s="518" t="s">
        <v>186</v>
      </c>
      <c r="C633" s="23" t="s">
        <v>314</v>
      </c>
      <c r="D633" s="10" t="s">
        <v>224</v>
      </c>
      <c r="E633" s="10" t="s">
        <v>79</v>
      </c>
      <c r="F633" s="696"/>
      <c r="G633" s="697"/>
      <c r="H633" s="697"/>
      <c r="I633" s="698"/>
      <c r="J633" s="10"/>
      <c r="K633" s="24">
        <f t="shared" ref="K633:M637" si="84">K634</f>
        <v>750.6</v>
      </c>
      <c r="L633" s="24">
        <f t="shared" si="84"/>
        <v>0</v>
      </c>
      <c r="M633" s="24">
        <f t="shared" si="84"/>
        <v>750.6</v>
      </c>
    </row>
    <row r="634" spans="1:13" s="7" customFormat="1" ht="54" customHeight="1" x14ac:dyDescent="0.35">
      <c r="A634" s="11"/>
      <c r="B634" s="568" t="s">
        <v>213</v>
      </c>
      <c r="C634" s="23" t="s">
        <v>314</v>
      </c>
      <c r="D634" s="10" t="s">
        <v>224</v>
      </c>
      <c r="E634" s="10" t="s">
        <v>79</v>
      </c>
      <c r="F634" s="696" t="s">
        <v>63</v>
      </c>
      <c r="G634" s="697" t="s">
        <v>42</v>
      </c>
      <c r="H634" s="697" t="s">
        <v>43</v>
      </c>
      <c r="I634" s="698" t="s">
        <v>44</v>
      </c>
      <c r="J634" s="10"/>
      <c r="K634" s="24">
        <f t="shared" si="84"/>
        <v>750.6</v>
      </c>
      <c r="L634" s="24">
        <f t="shared" si="84"/>
        <v>0</v>
      </c>
      <c r="M634" s="24">
        <f t="shared" si="84"/>
        <v>750.6</v>
      </c>
    </row>
    <row r="635" spans="1:13" s="7" customFormat="1" ht="72" customHeight="1" x14ac:dyDescent="0.35">
      <c r="A635" s="11"/>
      <c r="B635" s="568" t="s">
        <v>214</v>
      </c>
      <c r="C635" s="23" t="s">
        <v>314</v>
      </c>
      <c r="D635" s="10" t="s">
        <v>224</v>
      </c>
      <c r="E635" s="10" t="s">
        <v>79</v>
      </c>
      <c r="F635" s="696" t="s">
        <v>63</v>
      </c>
      <c r="G635" s="697" t="s">
        <v>45</v>
      </c>
      <c r="H635" s="697" t="s">
        <v>43</v>
      </c>
      <c r="I635" s="698" t="s">
        <v>44</v>
      </c>
      <c r="J635" s="10"/>
      <c r="K635" s="24">
        <f>K636+K639</f>
        <v>750.6</v>
      </c>
      <c r="L635" s="24">
        <f>L636+L639</f>
        <v>0</v>
      </c>
      <c r="M635" s="24">
        <f>M636+M639</f>
        <v>750.6</v>
      </c>
    </row>
    <row r="636" spans="1:13" s="7" customFormat="1" ht="18" customHeight="1" x14ac:dyDescent="0.35">
      <c r="A636" s="11"/>
      <c r="B636" s="525" t="s">
        <v>277</v>
      </c>
      <c r="C636" s="23" t="s">
        <v>314</v>
      </c>
      <c r="D636" s="10" t="s">
        <v>224</v>
      </c>
      <c r="E636" s="10" t="s">
        <v>79</v>
      </c>
      <c r="F636" s="696" t="s">
        <v>63</v>
      </c>
      <c r="G636" s="697" t="s">
        <v>45</v>
      </c>
      <c r="H636" s="697" t="s">
        <v>39</v>
      </c>
      <c r="I636" s="698" t="s">
        <v>44</v>
      </c>
      <c r="J636" s="10"/>
      <c r="K636" s="24">
        <f t="shared" si="84"/>
        <v>450</v>
      </c>
      <c r="L636" s="24">
        <f t="shared" si="84"/>
        <v>0</v>
      </c>
      <c r="M636" s="24">
        <f t="shared" si="84"/>
        <v>450</v>
      </c>
    </row>
    <row r="637" spans="1:13" s="7" customFormat="1" ht="36" customHeight="1" x14ac:dyDescent="0.35">
      <c r="A637" s="11"/>
      <c r="B637" s="525" t="s">
        <v>211</v>
      </c>
      <c r="C637" s="23" t="s">
        <v>314</v>
      </c>
      <c r="D637" s="10" t="s">
        <v>224</v>
      </c>
      <c r="E637" s="10" t="s">
        <v>79</v>
      </c>
      <c r="F637" s="696" t="s">
        <v>63</v>
      </c>
      <c r="G637" s="697" t="s">
        <v>45</v>
      </c>
      <c r="H637" s="697" t="s">
        <v>39</v>
      </c>
      <c r="I637" s="698" t="s">
        <v>279</v>
      </c>
      <c r="J637" s="10"/>
      <c r="K637" s="24">
        <f t="shared" si="84"/>
        <v>450</v>
      </c>
      <c r="L637" s="24">
        <f t="shared" si="84"/>
        <v>0</v>
      </c>
      <c r="M637" s="24">
        <f t="shared" si="84"/>
        <v>450</v>
      </c>
    </row>
    <row r="638" spans="1:13" s="7" customFormat="1" ht="36" customHeight="1" x14ac:dyDescent="0.35">
      <c r="A638" s="11"/>
      <c r="B638" s="525" t="s">
        <v>120</v>
      </c>
      <c r="C638" s="23" t="s">
        <v>314</v>
      </c>
      <c r="D638" s="10" t="s">
        <v>224</v>
      </c>
      <c r="E638" s="10" t="s">
        <v>79</v>
      </c>
      <c r="F638" s="696" t="s">
        <v>63</v>
      </c>
      <c r="G638" s="697" t="s">
        <v>45</v>
      </c>
      <c r="H638" s="697" t="s">
        <v>39</v>
      </c>
      <c r="I638" s="698" t="s">
        <v>279</v>
      </c>
      <c r="J638" s="10" t="s">
        <v>121</v>
      </c>
      <c r="K638" s="24">
        <f>375+75</f>
        <v>450</v>
      </c>
      <c r="L638" s="24">
        <f>M638-K638</f>
        <v>0</v>
      </c>
      <c r="M638" s="24">
        <f>375+75</f>
        <v>450</v>
      </c>
    </row>
    <row r="639" spans="1:13" s="7" customFormat="1" ht="54" customHeight="1" x14ac:dyDescent="0.35">
      <c r="A639" s="11"/>
      <c r="B639" s="525" t="s">
        <v>281</v>
      </c>
      <c r="C639" s="23" t="s">
        <v>314</v>
      </c>
      <c r="D639" s="10" t="s">
        <v>224</v>
      </c>
      <c r="E639" s="10" t="s">
        <v>79</v>
      </c>
      <c r="F639" s="696" t="s">
        <v>63</v>
      </c>
      <c r="G639" s="697" t="s">
        <v>45</v>
      </c>
      <c r="H639" s="697" t="s">
        <v>65</v>
      </c>
      <c r="I639" s="698" t="s">
        <v>44</v>
      </c>
      <c r="J639" s="10"/>
      <c r="K639" s="24">
        <f t="shared" ref="K639:M640" si="85">K640</f>
        <v>300.60000000000002</v>
      </c>
      <c r="L639" s="24">
        <f t="shared" si="85"/>
        <v>0</v>
      </c>
      <c r="M639" s="24">
        <f t="shared" si="85"/>
        <v>300.60000000000002</v>
      </c>
    </row>
    <row r="640" spans="1:13" s="7" customFormat="1" ht="36" customHeight="1" x14ac:dyDescent="0.35">
      <c r="A640" s="11"/>
      <c r="B640" s="525" t="s">
        <v>472</v>
      </c>
      <c r="C640" s="23" t="s">
        <v>314</v>
      </c>
      <c r="D640" s="10" t="s">
        <v>224</v>
      </c>
      <c r="E640" s="10" t="s">
        <v>79</v>
      </c>
      <c r="F640" s="696" t="s">
        <v>63</v>
      </c>
      <c r="G640" s="697" t="s">
        <v>45</v>
      </c>
      <c r="H640" s="697" t="s">
        <v>65</v>
      </c>
      <c r="I640" s="698" t="s">
        <v>471</v>
      </c>
      <c r="J640" s="10"/>
      <c r="K640" s="24">
        <f t="shared" si="85"/>
        <v>300.60000000000002</v>
      </c>
      <c r="L640" s="24">
        <f t="shared" si="85"/>
        <v>0</v>
      </c>
      <c r="M640" s="24">
        <f t="shared" si="85"/>
        <v>300.60000000000002</v>
      </c>
    </row>
    <row r="641" spans="1:13" s="7" customFormat="1" ht="54" customHeight="1" x14ac:dyDescent="0.35">
      <c r="A641" s="11"/>
      <c r="B641" s="525" t="s">
        <v>76</v>
      </c>
      <c r="C641" s="23" t="s">
        <v>314</v>
      </c>
      <c r="D641" s="10" t="s">
        <v>224</v>
      </c>
      <c r="E641" s="10" t="s">
        <v>79</v>
      </c>
      <c r="F641" s="696" t="s">
        <v>63</v>
      </c>
      <c r="G641" s="697" t="s">
        <v>45</v>
      </c>
      <c r="H641" s="697" t="s">
        <v>65</v>
      </c>
      <c r="I641" s="698" t="s">
        <v>471</v>
      </c>
      <c r="J641" s="10" t="s">
        <v>77</v>
      </c>
      <c r="K641" s="24">
        <v>300.60000000000002</v>
      </c>
      <c r="L641" s="24">
        <f>M641-K641</f>
        <v>0</v>
      </c>
      <c r="M641" s="24">
        <v>300.60000000000002</v>
      </c>
    </row>
    <row r="642" spans="1:13" s="7" customFormat="1" ht="18" customHeight="1" x14ac:dyDescent="0.35">
      <c r="A642" s="11"/>
      <c r="B642" s="518" t="s">
        <v>188</v>
      </c>
      <c r="C642" s="23" t="s">
        <v>314</v>
      </c>
      <c r="D642" s="10" t="s">
        <v>226</v>
      </c>
      <c r="E642" s="10"/>
      <c r="F642" s="696"/>
      <c r="G642" s="697"/>
      <c r="H642" s="697"/>
      <c r="I642" s="698"/>
      <c r="J642" s="10"/>
      <c r="K642" s="24">
        <f>K643+K677</f>
        <v>63895.399999999994</v>
      </c>
      <c r="L642" s="24">
        <f>L643+L677</f>
        <v>1629.0999999999992</v>
      </c>
      <c r="M642" s="24">
        <f>M643+M677</f>
        <v>65524.499999999993</v>
      </c>
    </row>
    <row r="643" spans="1:13" s="7" customFormat="1" ht="18" customHeight="1" x14ac:dyDescent="0.35">
      <c r="A643" s="11"/>
      <c r="B643" s="518" t="s">
        <v>190</v>
      </c>
      <c r="C643" s="23" t="s">
        <v>314</v>
      </c>
      <c r="D643" s="10" t="s">
        <v>226</v>
      </c>
      <c r="E643" s="10" t="s">
        <v>37</v>
      </c>
      <c r="F643" s="696"/>
      <c r="G643" s="697"/>
      <c r="H643" s="697"/>
      <c r="I643" s="698"/>
      <c r="J643" s="10"/>
      <c r="K643" s="24">
        <f>K644</f>
        <v>51700.399999999994</v>
      </c>
      <c r="L643" s="24">
        <f>L644</f>
        <v>1629.0999999999992</v>
      </c>
      <c r="M643" s="24">
        <f>M644</f>
        <v>53329.499999999993</v>
      </c>
    </row>
    <row r="644" spans="1:13" s="7" customFormat="1" ht="54" customHeight="1" x14ac:dyDescent="0.35">
      <c r="A644" s="11"/>
      <c r="B644" s="568" t="s">
        <v>213</v>
      </c>
      <c r="C644" s="23" t="s">
        <v>314</v>
      </c>
      <c r="D644" s="10" t="s">
        <v>226</v>
      </c>
      <c r="E644" s="10" t="s">
        <v>37</v>
      </c>
      <c r="F644" s="696" t="s">
        <v>63</v>
      </c>
      <c r="G644" s="697" t="s">
        <v>42</v>
      </c>
      <c r="H644" s="697" t="s">
        <v>43</v>
      </c>
      <c r="I644" s="698" t="s">
        <v>44</v>
      </c>
      <c r="J644" s="10"/>
      <c r="K644" s="24">
        <f>K645+K670</f>
        <v>51700.399999999994</v>
      </c>
      <c r="L644" s="24">
        <f>L645+L670</f>
        <v>1629.0999999999992</v>
      </c>
      <c r="M644" s="24">
        <f>M645+M670</f>
        <v>53329.499999999993</v>
      </c>
    </row>
    <row r="645" spans="1:13" s="7" customFormat="1" ht="72" customHeight="1" x14ac:dyDescent="0.35">
      <c r="A645" s="11"/>
      <c r="B645" s="568" t="s">
        <v>214</v>
      </c>
      <c r="C645" s="23" t="s">
        <v>314</v>
      </c>
      <c r="D645" s="10" t="s">
        <v>226</v>
      </c>
      <c r="E645" s="10" t="s">
        <v>37</v>
      </c>
      <c r="F645" s="27" t="s">
        <v>63</v>
      </c>
      <c r="G645" s="98" t="s">
        <v>45</v>
      </c>
      <c r="H645" s="98" t="s">
        <v>43</v>
      </c>
      <c r="I645" s="99" t="s">
        <v>44</v>
      </c>
      <c r="J645" s="100"/>
      <c r="K645" s="24">
        <f>K646+K659</f>
        <v>49610.2</v>
      </c>
      <c r="L645" s="24">
        <f>L646+L659</f>
        <v>1629.0999999999992</v>
      </c>
      <c r="M645" s="24">
        <f>M646+M659</f>
        <v>51239.299999999996</v>
      </c>
    </row>
    <row r="646" spans="1:13" s="7" customFormat="1" ht="18" customHeight="1" x14ac:dyDescent="0.35">
      <c r="A646" s="11"/>
      <c r="B646" s="518" t="s">
        <v>317</v>
      </c>
      <c r="C646" s="23" t="s">
        <v>314</v>
      </c>
      <c r="D646" s="10" t="s">
        <v>226</v>
      </c>
      <c r="E646" s="10" t="s">
        <v>37</v>
      </c>
      <c r="F646" s="27" t="s">
        <v>63</v>
      </c>
      <c r="G646" s="98" t="s">
        <v>45</v>
      </c>
      <c r="H646" s="98" t="s">
        <v>63</v>
      </c>
      <c r="I646" s="99" t="s">
        <v>44</v>
      </c>
      <c r="J646" s="100"/>
      <c r="K646" s="24">
        <f>K647+K649+K651+K653+K657+K655</f>
        <v>15752.800000000001</v>
      </c>
      <c r="L646" s="24">
        <f>L647+L649+L651+L653+L657+L655</f>
        <v>-130.19999999999999</v>
      </c>
      <c r="M646" s="24">
        <f>M647+M649+M651+M653+M657+M655</f>
        <v>15622.6</v>
      </c>
    </row>
    <row r="647" spans="1:13" s="7" customFormat="1" ht="36" customHeight="1" x14ac:dyDescent="0.35">
      <c r="A647" s="11"/>
      <c r="B647" s="551" t="s">
        <v>466</v>
      </c>
      <c r="C647" s="23" t="s">
        <v>314</v>
      </c>
      <c r="D647" s="10" t="s">
        <v>226</v>
      </c>
      <c r="E647" s="10" t="s">
        <v>37</v>
      </c>
      <c r="F647" s="27" t="s">
        <v>63</v>
      </c>
      <c r="G647" s="98" t="s">
        <v>45</v>
      </c>
      <c r="H647" s="98" t="s">
        <v>63</v>
      </c>
      <c r="I647" s="99" t="s">
        <v>91</v>
      </c>
      <c r="J647" s="100"/>
      <c r="K647" s="24">
        <f>K648</f>
        <v>13384.000000000002</v>
      </c>
      <c r="L647" s="24">
        <f>L648</f>
        <v>-191.5</v>
      </c>
      <c r="M647" s="24">
        <f>M648</f>
        <v>13192.500000000002</v>
      </c>
    </row>
    <row r="648" spans="1:13" s="7" customFormat="1" ht="54" customHeight="1" x14ac:dyDescent="0.35">
      <c r="A648" s="11"/>
      <c r="B648" s="525" t="s">
        <v>76</v>
      </c>
      <c r="C648" s="23" t="s">
        <v>314</v>
      </c>
      <c r="D648" s="10" t="s">
        <v>226</v>
      </c>
      <c r="E648" s="10" t="s">
        <v>37</v>
      </c>
      <c r="F648" s="696" t="s">
        <v>63</v>
      </c>
      <c r="G648" s="697" t="s">
        <v>45</v>
      </c>
      <c r="H648" s="697" t="s">
        <v>63</v>
      </c>
      <c r="I648" s="698" t="s">
        <v>91</v>
      </c>
      <c r="J648" s="10" t="s">
        <v>77</v>
      </c>
      <c r="K648" s="24">
        <f>12748.6+78.6+28+84.6+285.5+77.6+81.1</f>
        <v>13384.000000000002</v>
      </c>
      <c r="L648" s="24">
        <f>M648-K648</f>
        <v>-191.5</v>
      </c>
      <c r="M648" s="24">
        <f>12748.6+78.6+28+84.6+285.5+77.6+81.1-191.5</f>
        <v>13192.500000000002</v>
      </c>
    </row>
    <row r="649" spans="1:13" s="7" customFormat="1" ht="18" customHeight="1" x14ac:dyDescent="0.35">
      <c r="A649" s="11"/>
      <c r="B649" s="524" t="s">
        <v>467</v>
      </c>
      <c r="C649" s="23" t="s">
        <v>314</v>
      </c>
      <c r="D649" s="10" t="s">
        <v>226</v>
      </c>
      <c r="E649" s="10" t="s">
        <v>37</v>
      </c>
      <c r="F649" s="696" t="s">
        <v>63</v>
      </c>
      <c r="G649" s="697" t="s">
        <v>45</v>
      </c>
      <c r="H649" s="697" t="s">
        <v>63</v>
      </c>
      <c r="I649" s="698" t="s">
        <v>381</v>
      </c>
      <c r="J649" s="10"/>
      <c r="K649" s="24">
        <f>K650</f>
        <v>335</v>
      </c>
      <c r="L649" s="24">
        <f>L650</f>
        <v>61.300000000000011</v>
      </c>
      <c r="M649" s="24">
        <f>M650</f>
        <v>396.3</v>
      </c>
    </row>
    <row r="650" spans="1:13" s="7" customFormat="1" ht="54" customHeight="1" x14ac:dyDescent="0.35">
      <c r="A650" s="11"/>
      <c r="B650" s="525" t="s">
        <v>76</v>
      </c>
      <c r="C650" s="23" t="s">
        <v>314</v>
      </c>
      <c r="D650" s="10" t="s">
        <v>226</v>
      </c>
      <c r="E650" s="10" t="s">
        <v>37</v>
      </c>
      <c r="F650" s="696" t="s">
        <v>63</v>
      </c>
      <c r="G650" s="697" t="s">
        <v>45</v>
      </c>
      <c r="H650" s="697" t="s">
        <v>63</v>
      </c>
      <c r="I650" s="698" t="s">
        <v>381</v>
      </c>
      <c r="J650" s="10" t="s">
        <v>77</v>
      </c>
      <c r="K650" s="24">
        <v>335</v>
      </c>
      <c r="L650" s="24">
        <f>M650-K650</f>
        <v>61.300000000000011</v>
      </c>
      <c r="M650" s="24">
        <f>335+61.3</f>
        <v>396.3</v>
      </c>
    </row>
    <row r="651" spans="1:13" s="7" customFormat="1" ht="36" customHeight="1" x14ac:dyDescent="0.35">
      <c r="A651" s="11"/>
      <c r="B651" s="525" t="s">
        <v>315</v>
      </c>
      <c r="C651" s="23" t="s">
        <v>314</v>
      </c>
      <c r="D651" s="10" t="s">
        <v>226</v>
      </c>
      <c r="E651" s="10" t="s">
        <v>37</v>
      </c>
      <c r="F651" s="27" t="s">
        <v>63</v>
      </c>
      <c r="G651" s="98" t="s">
        <v>45</v>
      </c>
      <c r="H651" s="98" t="s">
        <v>63</v>
      </c>
      <c r="I651" s="99" t="s">
        <v>316</v>
      </c>
      <c r="J651" s="100"/>
      <c r="K651" s="24">
        <f>K652</f>
        <v>476.59999999999997</v>
      </c>
      <c r="L651" s="24">
        <f>L652</f>
        <v>0</v>
      </c>
      <c r="M651" s="24">
        <f>M652</f>
        <v>476.59999999999997</v>
      </c>
    </row>
    <row r="652" spans="1:13" s="7" customFormat="1" ht="54" customHeight="1" x14ac:dyDescent="0.35">
      <c r="A652" s="11"/>
      <c r="B652" s="525" t="s">
        <v>76</v>
      </c>
      <c r="C652" s="23" t="s">
        <v>314</v>
      </c>
      <c r="D652" s="10" t="s">
        <v>226</v>
      </c>
      <c r="E652" s="10" t="s">
        <v>37</v>
      </c>
      <c r="F652" s="27" t="s">
        <v>63</v>
      </c>
      <c r="G652" s="98" t="s">
        <v>45</v>
      </c>
      <c r="H652" s="98" t="s">
        <v>63</v>
      </c>
      <c r="I652" s="99" t="s">
        <v>316</v>
      </c>
      <c r="J652" s="100" t="s">
        <v>77</v>
      </c>
      <c r="K652" s="24">
        <f>162.2+314.4</f>
        <v>476.59999999999997</v>
      </c>
      <c r="L652" s="24">
        <f>M652-K652</f>
        <v>0</v>
      </c>
      <c r="M652" s="24">
        <f>162.2+314.4</f>
        <v>476.59999999999997</v>
      </c>
    </row>
    <row r="653" spans="1:13" s="7" customFormat="1" ht="54" customHeight="1" x14ac:dyDescent="0.35">
      <c r="A653" s="11"/>
      <c r="B653" s="525" t="s">
        <v>215</v>
      </c>
      <c r="C653" s="23" t="s">
        <v>314</v>
      </c>
      <c r="D653" s="10" t="s">
        <v>226</v>
      </c>
      <c r="E653" s="10" t="s">
        <v>37</v>
      </c>
      <c r="F653" s="696" t="s">
        <v>63</v>
      </c>
      <c r="G653" s="697" t="s">
        <v>45</v>
      </c>
      <c r="H653" s="697" t="s">
        <v>63</v>
      </c>
      <c r="I653" s="698" t="s">
        <v>318</v>
      </c>
      <c r="J653" s="10"/>
      <c r="K653" s="24">
        <f>K654</f>
        <v>512</v>
      </c>
      <c r="L653" s="24">
        <f>L654</f>
        <v>0</v>
      </c>
      <c r="M653" s="24">
        <f>M654</f>
        <v>512</v>
      </c>
    </row>
    <row r="654" spans="1:13" s="7" customFormat="1" ht="54" customHeight="1" x14ac:dyDescent="0.35">
      <c r="A654" s="11"/>
      <c r="B654" s="525" t="s">
        <v>76</v>
      </c>
      <c r="C654" s="23" t="s">
        <v>314</v>
      </c>
      <c r="D654" s="10" t="s">
        <v>226</v>
      </c>
      <c r="E654" s="10" t="s">
        <v>37</v>
      </c>
      <c r="F654" s="696" t="s">
        <v>63</v>
      </c>
      <c r="G654" s="697" t="s">
        <v>45</v>
      </c>
      <c r="H654" s="697" t="s">
        <v>63</v>
      </c>
      <c r="I654" s="698" t="s">
        <v>318</v>
      </c>
      <c r="J654" s="10" t="s">
        <v>77</v>
      </c>
      <c r="K654" s="24">
        <v>512</v>
      </c>
      <c r="L654" s="24">
        <f>M654-K654</f>
        <v>0</v>
      </c>
      <c r="M654" s="24">
        <v>512</v>
      </c>
    </row>
    <row r="655" spans="1:13" s="7" customFormat="1" ht="54" customHeight="1" x14ac:dyDescent="0.35">
      <c r="A655" s="11"/>
      <c r="B655" s="601" t="s">
        <v>697</v>
      </c>
      <c r="C655" s="23" t="s">
        <v>314</v>
      </c>
      <c r="D655" s="10" t="s">
        <v>226</v>
      </c>
      <c r="E655" s="10" t="s">
        <v>37</v>
      </c>
      <c r="F655" s="696" t="s">
        <v>63</v>
      </c>
      <c r="G655" s="697" t="s">
        <v>45</v>
      </c>
      <c r="H655" s="697" t="s">
        <v>63</v>
      </c>
      <c r="I655" s="698" t="s">
        <v>696</v>
      </c>
      <c r="J655" s="10"/>
      <c r="K655" s="24">
        <f>K656</f>
        <v>493.8</v>
      </c>
      <c r="L655" s="24">
        <f>L656</f>
        <v>0</v>
      </c>
      <c r="M655" s="24">
        <f>M656</f>
        <v>493.8</v>
      </c>
    </row>
    <row r="656" spans="1:13" s="7" customFormat="1" ht="54" customHeight="1" x14ac:dyDescent="0.35">
      <c r="A656" s="11"/>
      <c r="B656" s="525" t="s">
        <v>76</v>
      </c>
      <c r="C656" s="23" t="s">
        <v>314</v>
      </c>
      <c r="D656" s="10" t="s">
        <v>226</v>
      </c>
      <c r="E656" s="10" t="s">
        <v>37</v>
      </c>
      <c r="F656" s="696" t="s">
        <v>63</v>
      </c>
      <c r="G656" s="697" t="s">
        <v>45</v>
      </c>
      <c r="H656" s="697" t="s">
        <v>63</v>
      </c>
      <c r="I656" s="698" t="s">
        <v>696</v>
      </c>
      <c r="J656" s="10" t="s">
        <v>77</v>
      </c>
      <c r="K656" s="24">
        <v>493.8</v>
      </c>
      <c r="L656" s="24">
        <f>M656-K656</f>
        <v>0</v>
      </c>
      <c r="M656" s="24">
        <v>493.8</v>
      </c>
    </row>
    <row r="657" spans="1:13" s="7" customFormat="1" ht="18" customHeight="1" x14ac:dyDescent="0.35">
      <c r="A657" s="11"/>
      <c r="B657" s="525" t="s">
        <v>570</v>
      </c>
      <c r="C657" s="23" t="s">
        <v>314</v>
      </c>
      <c r="D657" s="10" t="s">
        <v>226</v>
      </c>
      <c r="E657" s="10" t="s">
        <v>37</v>
      </c>
      <c r="F657" s="696" t="s">
        <v>63</v>
      </c>
      <c r="G657" s="697" t="s">
        <v>45</v>
      </c>
      <c r="H657" s="697" t="s">
        <v>63</v>
      </c>
      <c r="I657" s="698" t="s">
        <v>569</v>
      </c>
      <c r="J657" s="10"/>
      <c r="K657" s="24">
        <f>K658</f>
        <v>551.4</v>
      </c>
      <c r="L657" s="24">
        <f>L658</f>
        <v>0</v>
      </c>
      <c r="M657" s="24">
        <f>M658</f>
        <v>551.4</v>
      </c>
    </row>
    <row r="658" spans="1:13" s="7" customFormat="1" ht="54" customHeight="1" x14ac:dyDescent="0.35">
      <c r="A658" s="11"/>
      <c r="B658" s="525" t="s">
        <v>76</v>
      </c>
      <c r="C658" s="23" t="s">
        <v>314</v>
      </c>
      <c r="D658" s="10" t="s">
        <v>226</v>
      </c>
      <c r="E658" s="10" t="s">
        <v>37</v>
      </c>
      <c r="F658" s="696" t="s">
        <v>63</v>
      </c>
      <c r="G658" s="697" t="s">
        <v>45</v>
      </c>
      <c r="H658" s="697" t="s">
        <v>63</v>
      </c>
      <c r="I658" s="698" t="s">
        <v>569</v>
      </c>
      <c r="J658" s="10" t="s">
        <v>77</v>
      </c>
      <c r="K658" s="24">
        <f>496.2+55.2</f>
        <v>551.4</v>
      </c>
      <c r="L658" s="24">
        <f>M658-K658</f>
        <v>0</v>
      </c>
      <c r="M658" s="24">
        <f>496.2+55.2</f>
        <v>551.4</v>
      </c>
    </row>
    <row r="659" spans="1:13" s="7" customFormat="1" ht="36" customHeight="1" x14ac:dyDescent="0.35">
      <c r="A659" s="11"/>
      <c r="B659" s="525" t="s">
        <v>319</v>
      </c>
      <c r="C659" s="23" t="s">
        <v>314</v>
      </c>
      <c r="D659" s="10" t="s">
        <v>226</v>
      </c>
      <c r="E659" s="10" t="s">
        <v>37</v>
      </c>
      <c r="F659" s="27" t="s">
        <v>63</v>
      </c>
      <c r="G659" s="98" t="s">
        <v>45</v>
      </c>
      <c r="H659" s="98" t="s">
        <v>52</v>
      </c>
      <c r="I659" s="698" t="s">
        <v>44</v>
      </c>
      <c r="J659" s="10"/>
      <c r="K659" s="24">
        <f>K660+K664+K668+K666</f>
        <v>33857.399999999994</v>
      </c>
      <c r="L659" s="24">
        <f>L660+L664+L668+L666</f>
        <v>1759.2999999999993</v>
      </c>
      <c r="M659" s="24">
        <f>M660+M664+M668+M666</f>
        <v>35616.699999999997</v>
      </c>
    </row>
    <row r="660" spans="1:13" s="7" customFormat="1" ht="36" customHeight="1" x14ac:dyDescent="0.35">
      <c r="A660" s="11"/>
      <c r="B660" s="551" t="s">
        <v>466</v>
      </c>
      <c r="C660" s="23" t="s">
        <v>314</v>
      </c>
      <c r="D660" s="10" t="s">
        <v>226</v>
      </c>
      <c r="E660" s="10" t="s">
        <v>37</v>
      </c>
      <c r="F660" s="27" t="s">
        <v>63</v>
      </c>
      <c r="G660" s="98" t="s">
        <v>45</v>
      </c>
      <c r="H660" s="98" t="s">
        <v>52</v>
      </c>
      <c r="I660" s="99" t="s">
        <v>91</v>
      </c>
      <c r="J660" s="100"/>
      <c r="K660" s="24">
        <f>K661+K662+K663</f>
        <v>14067.9</v>
      </c>
      <c r="L660" s="24">
        <f>L661+L662+L663</f>
        <v>959.29999999999927</v>
      </c>
      <c r="M660" s="24">
        <f>M661+M662+M663</f>
        <v>15027.199999999999</v>
      </c>
    </row>
    <row r="661" spans="1:13" s="7" customFormat="1" ht="108" customHeight="1" x14ac:dyDescent="0.35">
      <c r="A661" s="11"/>
      <c r="B661" s="518" t="s">
        <v>49</v>
      </c>
      <c r="C661" s="23" t="s">
        <v>314</v>
      </c>
      <c r="D661" s="10" t="s">
        <v>226</v>
      </c>
      <c r="E661" s="10" t="s">
        <v>37</v>
      </c>
      <c r="F661" s="696" t="s">
        <v>63</v>
      </c>
      <c r="G661" s="697" t="s">
        <v>45</v>
      </c>
      <c r="H661" s="697" t="s">
        <v>52</v>
      </c>
      <c r="I661" s="698" t="s">
        <v>91</v>
      </c>
      <c r="J661" s="10" t="s">
        <v>50</v>
      </c>
      <c r="K661" s="24">
        <f>12177.3+92.1+526.4</f>
        <v>12795.8</v>
      </c>
      <c r="L661" s="24">
        <f>M661-K661</f>
        <v>959.29999999999927</v>
      </c>
      <c r="M661" s="24">
        <f>12177.3+92.1+526.4+959.3</f>
        <v>13755.099999999999</v>
      </c>
    </row>
    <row r="662" spans="1:13" s="7" customFormat="1" ht="54" customHeight="1" x14ac:dyDescent="0.35">
      <c r="A662" s="11"/>
      <c r="B662" s="518" t="s">
        <v>55</v>
      </c>
      <c r="C662" s="23" t="s">
        <v>314</v>
      </c>
      <c r="D662" s="10" t="s">
        <v>226</v>
      </c>
      <c r="E662" s="10" t="s">
        <v>37</v>
      </c>
      <c r="F662" s="696" t="s">
        <v>63</v>
      </c>
      <c r="G662" s="697" t="s">
        <v>45</v>
      </c>
      <c r="H662" s="697" t="s">
        <v>52</v>
      </c>
      <c r="I662" s="698" t="s">
        <v>91</v>
      </c>
      <c r="J662" s="10" t="s">
        <v>56</v>
      </c>
      <c r="K662" s="24">
        <f>1106.6-6.8+125.3</f>
        <v>1225.0999999999999</v>
      </c>
      <c r="L662" s="24">
        <f>M662-K662</f>
        <v>0</v>
      </c>
      <c r="M662" s="24">
        <f>1106.6-6.8+125.3</f>
        <v>1225.0999999999999</v>
      </c>
    </row>
    <row r="663" spans="1:13" s="7" customFormat="1" ht="18" customHeight="1" x14ac:dyDescent="0.35">
      <c r="A663" s="11"/>
      <c r="B663" s="518" t="s">
        <v>57</v>
      </c>
      <c r="C663" s="23" t="s">
        <v>314</v>
      </c>
      <c r="D663" s="10" t="s">
        <v>226</v>
      </c>
      <c r="E663" s="10" t="s">
        <v>37</v>
      </c>
      <c r="F663" s="696" t="s">
        <v>63</v>
      </c>
      <c r="G663" s="697" t="s">
        <v>45</v>
      </c>
      <c r="H663" s="697" t="s">
        <v>52</v>
      </c>
      <c r="I663" s="698" t="s">
        <v>91</v>
      </c>
      <c r="J663" s="10" t="s">
        <v>58</v>
      </c>
      <c r="K663" s="24">
        <f>40.2+6.8</f>
        <v>47</v>
      </c>
      <c r="L663" s="24">
        <f>M663-K663</f>
        <v>0</v>
      </c>
      <c r="M663" s="24">
        <f>40.2+6.8</f>
        <v>47</v>
      </c>
    </row>
    <row r="664" spans="1:13" s="7" customFormat="1" ht="54" customHeight="1" x14ac:dyDescent="0.35">
      <c r="A664" s="11"/>
      <c r="B664" s="525" t="s">
        <v>76</v>
      </c>
      <c r="C664" s="23" t="s">
        <v>314</v>
      </c>
      <c r="D664" s="10" t="s">
        <v>226</v>
      </c>
      <c r="E664" s="10" t="s">
        <v>37</v>
      </c>
      <c r="F664" s="696" t="s">
        <v>63</v>
      </c>
      <c r="G664" s="697" t="s">
        <v>45</v>
      </c>
      <c r="H664" s="697" t="s">
        <v>52</v>
      </c>
      <c r="I664" s="698" t="s">
        <v>381</v>
      </c>
      <c r="J664" s="10"/>
      <c r="K664" s="24">
        <f>K665</f>
        <v>833.3</v>
      </c>
      <c r="L664" s="24">
        <f>L665</f>
        <v>0</v>
      </c>
      <c r="M664" s="24">
        <f>M665</f>
        <v>833.3</v>
      </c>
    </row>
    <row r="665" spans="1:13" s="7" customFormat="1" ht="54" customHeight="1" x14ac:dyDescent="0.35">
      <c r="A665" s="11"/>
      <c r="B665" s="518" t="s">
        <v>55</v>
      </c>
      <c r="C665" s="23" t="s">
        <v>314</v>
      </c>
      <c r="D665" s="10" t="s">
        <v>226</v>
      </c>
      <c r="E665" s="10" t="s">
        <v>37</v>
      </c>
      <c r="F665" s="696" t="s">
        <v>63</v>
      </c>
      <c r="G665" s="697" t="s">
        <v>45</v>
      </c>
      <c r="H665" s="697" t="s">
        <v>52</v>
      </c>
      <c r="I665" s="698" t="s">
        <v>381</v>
      </c>
      <c r="J665" s="10" t="s">
        <v>56</v>
      </c>
      <c r="K665" s="24">
        <f>735.8+97.5</f>
        <v>833.3</v>
      </c>
      <c r="L665" s="24">
        <f>M665-K665</f>
        <v>0</v>
      </c>
      <c r="M665" s="24">
        <f>735.8+97.5</f>
        <v>833.3</v>
      </c>
    </row>
    <row r="666" spans="1:13" s="7" customFormat="1" ht="54" customHeight="1" x14ac:dyDescent="0.35">
      <c r="A666" s="11"/>
      <c r="B666" s="601" t="s">
        <v>697</v>
      </c>
      <c r="C666" s="23" t="s">
        <v>314</v>
      </c>
      <c r="D666" s="10" t="s">
        <v>226</v>
      </c>
      <c r="E666" s="10" t="s">
        <v>37</v>
      </c>
      <c r="F666" s="696" t="s">
        <v>63</v>
      </c>
      <c r="G666" s="697" t="s">
        <v>45</v>
      </c>
      <c r="H666" s="697" t="s">
        <v>52</v>
      </c>
      <c r="I666" s="698" t="s">
        <v>696</v>
      </c>
      <c r="J666" s="10"/>
      <c r="K666" s="24">
        <f>K667</f>
        <v>856.2</v>
      </c>
      <c r="L666" s="24">
        <f>L667</f>
        <v>800</v>
      </c>
      <c r="M666" s="24">
        <f>M667</f>
        <v>1656.2</v>
      </c>
    </row>
    <row r="667" spans="1:13" s="7" customFormat="1" ht="54" customHeight="1" x14ac:dyDescent="0.35">
      <c r="A667" s="11"/>
      <c r="B667" s="518" t="s">
        <v>55</v>
      </c>
      <c r="C667" s="23" t="s">
        <v>314</v>
      </c>
      <c r="D667" s="10" t="s">
        <v>226</v>
      </c>
      <c r="E667" s="10" t="s">
        <v>37</v>
      </c>
      <c r="F667" s="696" t="s">
        <v>63</v>
      </c>
      <c r="G667" s="697" t="s">
        <v>45</v>
      </c>
      <c r="H667" s="697" t="s">
        <v>52</v>
      </c>
      <c r="I667" s="698" t="s">
        <v>696</v>
      </c>
      <c r="J667" s="10" t="s">
        <v>56</v>
      </c>
      <c r="K667" s="24">
        <v>856.2</v>
      </c>
      <c r="L667" s="24">
        <f>M667-K667</f>
        <v>800</v>
      </c>
      <c r="M667" s="24">
        <f>856.2+800</f>
        <v>1656.2</v>
      </c>
    </row>
    <row r="668" spans="1:13" s="7" customFormat="1" ht="90" customHeight="1" x14ac:dyDescent="0.35">
      <c r="A668" s="11"/>
      <c r="B668" s="601" t="s">
        <v>628</v>
      </c>
      <c r="C668" s="23" t="s">
        <v>314</v>
      </c>
      <c r="D668" s="10" t="s">
        <v>226</v>
      </c>
      <c r="E668" s="10" t="s">
        <v>37</v>
      </c>
      <c r="F668" s="696" t="s">
        <v>63</v>
      </c>
      <c r="G668" s="697" t="s">
        <v>45</v>
      </c>
      <c r="H668" s="697" t="s">
        <v>52</v>
      </c>
      <c r="I668" s="698" t="s">
        <v>629</v>
      </c>
      <c r="J668" s="10"/>
      <c r="K668" s="24">
        <f>K669</f>
        <v>18100</v>
      </c>
      <c r="L668" s="24">
        <f>L669</f>
        <v>0</v>
      </c>
      <c r="M668" s="24">
        <f>M669</f>
        <v>18100</v>
      </c>
    </row>
    <row r="669" spans="1:13" s="7" customFormat="1" ht="54" customHeight="1" x14ac:dyDescent="0.35">
      <c r="A669" s="11"/>
      <c r="B669" s="601" t="s">
        <v>55</v>
      </c>
      <c r="C669" s="23" t="s">
        <v>314</v>
      </c>
      <c r="D669" s="10" t="s">
        <v>226</v>
      </c>
      <c r="E669" s="10" t="s">
        <v>37</v>
      </c>
      <c r="F669" s="696" t="s">
        <v>63</v>
      </c>
      <c r="G669" s="697" t="s">
        <v>45</v>
      </c>
      <c r="H669" s="697" t="s">
        <v>52</v>
      </c>
      <c r="I669" s="698" t="s">
        <v>629</v>
      </c>
      <c r="J669" s="10" t="s">
        <v>56</v>
      </c>
      <c r="K669" s="24">
        <f>16290+1810</f>
        <v>18100</v>
      </c>
      <c r="L669" s="24">
        <f>M669-K669</f>
        <v>0</v>
      </c>
      <c r="M669" s="24">
        <f>16290+1810</f>
        <v>18100</v>
      </c>
    </row>
    <row r="670" spans="1:13" s="7" customFormat="1" ht="54" customHeight="1" x14ac:dyDescent="0.35">
      <c r="A670" s="11"/>
      <c r="B670" s="518" t="s">
        <v>327</v>
      </c>
      <c r="C670" s="23" t="s">
        <v>314</v>
      </c>
      <c r="D670" s="10" t="s">
        <v>226</v>
      </c>
      <c r="E670" s="10" t="s">
        <v>37</v>
      </c>
      <c r="F670" s="27" t="s">
        <v>63</v>
      </c>
      <c r="G670" s="98" t="s">
        <v>89</v>
      </c>
      <c r="H670" s="98" t="s">
        <v>43</v>
      </c>
      <c r="I670" s="698" t="s">
        <v>44</v>
      </c>
      <c r="J670" s="10"/>
      <c r="K670" s="24">
        <f>K671</f>
        <v>2090.2000000000003</v>
      </c>
      <c r="L670" s="24">
        <f>L671</f>
        <v>0</v>
      </c>
      <c r="M670" s="24">
        <f>M671</f>
        <v>2090.2000000000003</v>
      </c>
    </row>
    <row r="671" spans="1:13" s="7" customFormat="1" ht="90" customHeight="1" x14ac:dyDescent="0.35">
      <c r="A671" s="11"/>
      <c r="B671" s="525" t="s">
        <v>320</v>
      </c>
      <c r="C671" s="23" t="s">
        <v>314</v>
      </c>
      <c r="D671" s="10" t="s">
        <v>226</v>
      </c>
      <c r="E671" s="10" t="s">
        <v>37</v>
      </c>
      <c r="F671" s="27" t="s">
        <v>63</v>
      </c>
      <c r="G671" s="98" t="s">
        <v>89</v>
      </c>
      <c r="H671" s="98" t="s">
        <v>63</v>
      </c>
      <c r="I671" s="698" t="s">
        <v>44</v>
      </c>
      <c r="J671" s="10"/>
      <c r="K671" s="24">
        <f>K672+K675</f>
        <v>2090.2000000000003</v>
      </c>
      <c r="L671" s="24">
        <f>L672+L675</f>
        <v>0</v>
      </c>
      <c r="M671" s="24">
        <f>M672+M675</f>
        <v>2090.2000000000003</v>
      </c>
    </row>
    <row r="672" spans="1:13" s="7" customFormat="1" ht="36" customHeight="1" x14ac:dyDescent="0.35">
      <c r="A672" s="11"/>
      <c r="B672" s="525" t="s">
        <v>315</v>
      </c>
      <c r="C672" s="23" t="s">
        <v>314</v>
      </c>
      <c r="D672" s="10" t="s">
        <v>226</v>
      </c>
      <c r="E672" s="10" t="s">
        <v>37</v>
      </c>
      <c r="F672" s="27" t="s">
        <v>63</v>
      </c>
      <c r="G672" s="98" t="s">
        <v>89</v>
      </c>
      <c r="H672" s="98" t="s">
        <v>63</v>
      </c>
      <c r="I672" s="99" t="s">
        <v>316</v>
      </c>
      <c r="J672" s="100"/>
      <c r="K672" s="24">
        <f>K674+K673</f>
        <v>2048.0940000000001</v>
      </c>
      <c r="L672" s="24">
        <f>L674+L673</f>
        <v>0</v>
      </c>
      <c r="M672" s="24">
        <f>M674+M673</f>
        <v>2048.0940000000001</v>
      </c>
    </row>
    <row r="673" spans="1:13" s="7" customFormat="1" ht="54" customHeight="1" x14ac:dyDescent="0.35">
      <c r="A673" s="11"/>
      <c r="B673" s="525" t="s">
        <v>55</v>
      </c>
      <c r="C673" s="23" t="s">
        <v>314</v>
      </c>
      <c r="D673" s="10" t="s">
        <v>226</v>
      </c>
      <c r="E673" s="10" t="s">
        <v>37</v>
      </c>
      <c r="F673" s="27" t="s">
        <v>63</v>
      </c>
      <c r="G673" s="98" t="s">
        <v>89</v>
      </c>
      <c r="H673" s="98" t="s">
        <v>63</v>
      </c>
      <c r="I673" s="99" t="s">
        <v>316</v>
      </c>
      <c r="J673" s="100" t="s">
        <v>56</v>
      </c>
      <c r="K673" s="24">
        <f>377.8+9.9+854+360</f>
        <v>1601.7</v>
      </c>
      <c r="L673" s="24">
        <f>M673-K673</f>
        <v>0</v>
      </c>
      <c r="M673" s="24">
        <f>377.8+9.9+854+360</f>
        <v>1601.7</v>
      </c>
    </row>
    <row r="674" spans="1:13" s="7" customFormat="1" ht="54" customHeight="1" x14ac:dyDescent="0.35">
      <c r="A674" s="11"/>
      <c r="B674" s="525" t="s">
        <v>76</v>
      </c>
      <c r="C674" s="23" t="s">
        <v>314</v>
      </c>
      <c r="D674" s="10" t="s">
        <v>226</v>
      </c>
      <c r="E674" s="10" t="s">
        <v>37</v>
      </c>
      <c r="F674" s="696" t="s">
        <v>63</v>
      </c>
      <c r="G674" s="697" t="s">
        <v>89</v>
      </c>
      <c r="H674" s="697" t="s">
        <v>63</v>
      </c>
      <c r="I674" s="698" t="s">
        <v>316</v>
      </c>
      <c r="J674" s="10" t="s">
        <v>77</v>
      </c>
      <c r="K674" s="24">
        <f>17.9-0.006+428.5</f>
        <v>446.39400000000001</v>
      </c>
      <c r="L674" s="24">
        <f>M674-K674</f>
        <v>0</v>
      </c>
      <c r="M674" s="24">
        <f>17.9-0.006+428.5</f>
        <v>446.39400000000001</v>
      </c>
    </row>
    <row r="675" spans="1:13" s="7" customFormat="1" ht="54" customHeight="1" x14ac:dyDescent="0.35">
      <c r="A675" s="11"/>
      <c r="B675" s="525" t="s">
        <v>412</v>
      </c>
      <c r="C675" s="23" t="s">
        <v>314</v>
      </c>
      <c r="D675" s="10" t="s">
        <v>226</v>
      </c>
      <c r="E675" s="10" t="s">
        <v>37</v>
      </c>
      <c r="F675" s="696" t="s">
        <v>63</v>
      </c>
      <c r="G675" s="697" t="s">
        <v>89</v>
      </c>
      <c r="H675" s="697" t="s">
        <v>63</v>
      </c>
      <c r="I675" s="698" t="s">
        <v>413</v>
      </c>
      <c r="J675" s="10"/>
      <c r="K675" s="24">
        <f>K676</f>
        <v>42.106000000000002</v>
      </c>
      <c r="L675" s="24">
        <f>L676</f>
        <v>0</v>
      </c>
      <c r="M675" s="24">
        <f>M676</f>
        <v>42.106000000000002</v>
      </c>
    </row>
    <row r="676" spans="1:13" s="7" customFormat="1" ht="54" customHeight="1" x14ac:dyDescent="0.35">
      <c r="A676" s="11"/>
      <c r="B676" s="525" t="s">
        <v>76</v>
      </c>
      <c r="C676" s="23" t="s">
        <v>314</v>
      </c>
      <c r="D676" s="10" t="s">
        <v>226</v>
      </c>
      <c r="E676" s="10" t="s">
        <v>37</v>
      </c>
      <c r="F676" s="696" t="s">
        <v>63</v>
      </c>
      <c r="G676" s="697" t="s">
        <v>89</v>
      </c>
      <c r="H676" s="697" t="s">
        <v>63</v>
      </c>
      <c r="I676" s="698" t="s">
        <v>413</v>
      </c>
      <c r="J676" s="10" t="s">
        <v>77</v>
      </c>
      <c r="K676" s="24">
        <f>40+2.1+0.006</f>
        <v>42.106000000000002</v>
      </c>
      <c r="L676" s="24">
        <f>M676-K676</f>
        <v>0</v>
      </c>
      <c r="M676" s="24">
        <f>40+2.1+0.006</f>
        <v>42.106000000000002</v>
      </c>
    </row>
    <row r="677" spans="1:13" s="7" customFormat="1" ht="36" customHeight="1" x14ac:dyDescent="0.35">
      <c r="A677" s="11"/>
      <c r="B677" s="518" t="s">
        <v>321</v>
      </c>
      <c r="C677" s="23" t="s">
        <v>314</v>
      </c>
      <c r="D677" s="10" t="s">
        <v>226</v>
      </c>
      <c r="E677" s="10" t="s">
        <v>52</v>
      </c>
      <c r="F677" s="27"/>
      <c r="G677" s="98"/>
      <c r="H677" s="98"/>
      <c r="I677" s="99"/>
      <c r="J677" s="100"/>
      <c r="K677" s="24">
        <f>K678</f>
        <v>12195</v>
      </c>
      <c r="L677" s="24">
        <f>L678</f>
        <v>0</v>
      </c>
      <c r="M677" s="24">
        <f>M678</f>
        <v>12195</v>
      </c>
    </row>
    <row r="678" spans="1:13" s="7" customFormat="1" ht="54" customHeight="1" x14ac:dyDescent="0.35">
      <c r="A678" s="11"/>
      <c r="B678" s="568" t="s">
        <v>213</v>
      </c>
      <c r="C678" s="23" t="s">
        <v>314</v>
      </c>
      <c r="D678" s="10" t="s">
        <v>226</v>
      </c>
      <c r="E678" s="10" t="s">
        <v>52</v>
      </c>
      <c r="F678" s="27" t="s">
        <v>63</v>
      </c>
      <c r="G678" s="98" t="s">
        <v>42</v>
      </c>
      <c r="H678" s="98" t="s">
        <v>43</v>
      </c>
      <c r="I678" s="99" t="s">
        <v>44</v>
      </c>
      <c r="J678" s="100"/>
      <c r="K678" s="24">
        <f>K683+K679</f>
        <v>12195</v>
      </c>
      <c r="L678" s="24">
        <f>L683+L679</f>
        <v>0</v>
      </c>
      <c r="M678" s="24">
        <f>M683+M679</f>
        <v>12195</v>
      </c>
    </row>
    <row r="679" spans="1:13" s="7" customFormat="1" ht="54" customHeight="1" x14ac:dyDescent="0.35">
      <c r="A679" s="11"/>
      <c r="B679" s="518" t="s">
        <v>327</v>
      </c>
      <c r="C679" s="23" t="s">
        <v>314</v>
      </c>
      <c r="D679" s="10" t="s">
        <v>226</v>
      </c>
      <c r="E679" s="10" t="s">
        <v>52</v>
      </c>
      <c r="F679" s="696" t="s">
        <v>63</v>
      </c>
      <c r="G679" s="697" t="s">
        <v>89</v>
      </c>
      <c r="H679" s="697" t="s">
        <v>43</v>
      </c>
      <c r="I679" s="698" t="s">
        <v>44</v>
      </c>
      <c r="J679" s="10"/>
      <c r="K679" s="24">
        <f t="shared" ref="K679:M681" si="86">K680</f>
        <v>673.3</v>
      </c>
      <c r="L679" s="24">
        <f t="shared" si="86"/>
        <v>0</v>
      </c>
      <c r="M679" s="24">
        <f t="shared" si="86"/>
        <v>673.3</v>
      </c>
    </row>
    <row r="680" spans="1:13" s="7" customFormat="1" ht="90" customHeight="1" x14ac:dyDescent="0.35">
      <c r="A680" s="11"/>
      <c r="B680" s="589" t="s">
        <v>320</v>
      </c>
      <c r="C680" s="23" t="s">
        <v>314</v>
      </c>
      <c r="D680" s="10" t="s">
        <v>226</v>
      </c>
      <c r="E680" s="10" t="s">
        <v>52</v>
      </c>
      <c r="F680" s="696" t="s">
        <v>63</v>
      </c>
      <c r="G680" s="697" t="s">
        <v>89</v>
      </c>
      <c r="H680" s="697" t="s">
        <v>63</v>
      </c>
      <c r="I680" s="698" t="s">
        <v>44</v>
      </c>
      <c r="J680" s="10"/>
      <c r="K680" s="24">
        <f t="shared" si="86"/>
        <v>673.3</v>
      </c>
      <c r="L680" s="24">
        <f t="shared" si="86"/>
        <v>0</v>
      </c>
      <c r="M680" s="24">
        <f t="shared" si="86"/>
        <v>673.3</v>
      </c>
    </row>
    <row r="681" spans="1:13" s="7" customFormat="1" ht="36" customHeight="1" x14ac:dyDescent="0.35">
      <c r="A681" s="11"/>
      <c r="B681" s="525" t="s">
        <v>315</v>
      </c>
      <c r="C681" s="23" t="s">
        <v>314</v>
      </c>
      <c r="D681" s="10" t="s">
        <v>226</v>
      </c>
      <c r="E681" s="10" t="s">
        <v>52</v>
      </c>
      <c r="F681" s="696" t="s">
        <v>63</v>
      </c>
      <c r="G681" s="697" t="s">
        <v>89</v>
      </c>
      <c r="H681" s="697" t="s">
        <v>63</v>
      </c>
      <c r="I681" s="698" t="s">
        <v>316</v>
      </c>
      <c r="J681" s="10"/>
      <c r="K681" s="24">
        <f t="shared" si="86"/>
        <v>673.3</v>
      </c>
      <c r="L681" s="24">
        <f t="shared" si="86"/>
        <v>0</v>
      </c>
      <c r="M681" s="24">
        <f t="shared" si="86"/>
        <v>673.3</v>
      </c>
    </row>
    <row r="682" spans="1:13" s="7" customFormat="1" ht="54" customHeight="1" x14ac:dyDescent="0.35">
      <c r="A682" s="11"/>
      <c r="B682" s="518" t="s">
        <v>55</v>
      </c>
      <c r="C682" s="23" t="s">
        <v>314</v>
      </c>
      <c r="D682" s="10" t="s">
        <v>226</v>
      </c>
      <c r="E682" s="10" t="s">
        <v>52</v>
      </c>
      <c r="F682" s="696" t="s">
        <v>63</v>
      </c>
      <c r="G682" s="697" t="s">
        <v>89</v>
      </c>
      <c r="H682" s="697" t="s">
        <v>63</v>
      </c>
      <c r="I682" s="698" t="s">
        <v>316</v>
      </c>
      <c r="J682" s="10" t="s">
        <v>56</v>
      </c>
      <c r="K682" s="24">
        <f>769.9+0.9-97.5</f>
        <v>673.3</v>
      </c>
      <c r="L682" s="24">
        <f>M682-K682</f>
        <v>0</v>
      </c>
      <c r="M682" s="24">
        <f>769.9+0.9-97.5</f>
        <v>673.3</v>
      </c>
    </row>
    <row r="683" spans="1:13" s="7" customFormat="1" ht="54" customHeight="1" x14ac:dyDescent="0.35">
      <c r="A683" s="11"/>
      <c r="B683" s="518" t="s">
        <v>216</v>
      </c>
      <c r="C683" s="23" t="s">
        <v>314</v>
      </c>
      <c r="D683" s="10" t="s">
        <v>226</v>
      </c>
      <c r="E683" s="10" t="s">
        <v>52</v>
      </c>
      <c r="F683" s="696" t="s">
        <v>63</v>
      </c>
      <c r="G683" s="697" t="s">
        <v>30</v>
      </c>
      <c r="H683" s="697" t="s">
        <v>43</v>
      </c>
      <c r="I683" s="698" t="s">
        <v>44</v>
      </c>
      <c r="J683" s="10"/>
      <c r="K683" s="24">
        <f>K684</f>
        <v>11521.7</v>
      </c>
      <c r="L683" s="24">
        <f>L684</f>
        <v>0</v>
      </c>
      <c r="M683" s="24">
        <f>M684</f>
        <v>11521.7</v>
      </c>
    </row>
    <row r="684" spans="1:13" s="7" customFormat="1" ht="36" customHeight="1" x14ac:dyDescent="0.35">
      <c r="A684" s="11"/>
      <c r="B684" s="518" t="s">
        <v>282</v>
      </c>
      <c r="C684" s="23" t="s">
        <v>314</v>
      </c>
      <c r="D684" s="10" t="s">
        <v>226</v>
      </c>
      <c r="E684" s="10" t="s">
        <v>52</v>
      </c>
      <c r="F684" s="696" t="s">
        <v>63</v>
      </c>
      <c r="G684" s="697" t="s">
        <v>30</v>
      </c>
      <c r="H684" s="697" t="s">
        <v>37</v>
      </c>
      <c r="I684" s="698" t="s">
        <v>44</v>
      </c>
      <c r="J684" s="10"/>
      <c r="K684" s="24">
        <f>K685+K689</f>
        <v>11521.7</v>
      </c>
      <c r="L684" s="24">
        <f>L685+L689</f>
        <v>0</v>
      </c>
      <c r="M684" s="24">
        <f>M685+M689</f>
        <v>11521.7</v>
      </c>
    </row>
    <row r="685" spans="1:13" s="7" customFormat="1" ht="36" customHeight="1" x14ac:dyDescent="0.35">
      <c r="A685" s="11"/>
      <c r="B685" s="518" t="s">
        <v>47</v>
      </c>
      <c r="C685" s="23" t="s">
        <v>314</v>
      </c>
      <c r="D685" s="10" t="s">
        <v>226</v>
      </c>
      <c r="E685" s="10" t="s">
        <v>52</v>
      </c>
      <c r="F685" s="696" t="s">
        <v>63</v>
      </c>
      <c r="G685" s="697" t="s">
        <v>30</v>
      </c>
      <c r="H685" s="697" t="s">
        <v>37</v>
      </c>
      <c r="I685" s="698" t="s">
        <v>48</v>
      </c>
      <c r="J685" s="100"/>
      <c r="K685" s="24">
        <f>K686+K687+K688</f>
        <v>3487.2000000000003</v>
      </c>
      <c r="L685" s="24">
        <f>L686+L687+L688</f>
        <v>0</v>
      </c>
      <c r="M685" s="24">
        <f>M686+M687+M688</f>
        <v>3487.2000000000003</v>
      </c>
    </row>
    <row r="686" spans="1:13" s="7" customFormat="1" ht="108" customHeight="1" x14ac:dyDescent="0.35">
      <c r="A686" s="11"/>
      <c r="B686" s="518" t="s">
        <v>49</v>
      </c>
      <c r="C686" s="23" t="s">
        <v>314</v>
      </c>
      <c r="D686" s="10" t="s">
        <v>226</v>
      </c>
      <c r="E686" s="10" t="s">
        <v>52</v>
      </c>
      <c r="F686" s="696" t="s">
        <v>63</v>
      </c>
      <c r="G686" s="697" t="s">
        <v>30</v>
      </c>
      <c r="H686" s="697" t="s">
        <v>37</v>
      </c>
      <c r="I686" s="698" t="s">
        <v>48</v>
      </c>
      <c r="J686" s="100" t="s">
        <v>50</v>
      </c>
      <c r="K686" s="24">
        <f>3157.9+36</f>
        <v>3193.9</v>
      </c>
      <c r="L686" s="24">
        <f>M686-K686</f>
        <v>0</v>
      </c>
      <c r="M686" s="24">
        <f>3157.9+36</f>
        <v>3193.9</v>
      </c>
    </row>
    <row r="687" spans="1:13" s="7" customFormat="1" ht="54" customHeight="1" x14ac:dyDescent="0.35">
      <c r="A687" s="11"/>
      <c r="B687" s="518" t="s">
        <v>55</v>
      </c>
      <c r="C687" s="23" t="s">
        <v>314</v>
      </c>
      <c r="D687" s="10" t="s">
        <v>226</v>
      </c>
      <c r="E687" s="10" t="s">
        <v>52</v>
      </c>
      <c r="F687" s="696" t="s">
        <v>63</v>
      </c>
      <c r="G687" s="697" t="s">
        <v>30</v>
      </c>
      <c r="H687" s="697" t="s">
        <v>37</v>
      </c>
      <c r="I687" s="698" t="s">
        <v>48</v>
      </c>
      <c r="J687" s="100" t="s">
        <v>56</v>
      </c>
      <c r="K687" s="24">
        <f>250.2+34.6</f>
        <v>284.8</v>
      </c>
      <c r="L687" s="24">
        <f>M687-K687</f>
        <v>0</v>
      </c>
      <c r="M687" s="24">
        <f>250.2+34.6</f>
        <v>284.8</v>
      </c>
    </row>
    <row r="688" spans="1:13" s="7" customFormat="1" ht="18" customHeight="1" x14ac:dyDescent="0.35">
      <c r="A688" s="11"/>
      <c r="B688" s="518" t="s">
        <v>57</v>
      </c>
      <c r="C688" s="23" t="s">
        <v>314</v>
      </c>
      <c r="D688" s="10" t="s">
        <v>226</v>
      </c>
      <c r="E688" s="10" t="s">
        <v>52</v>
      </c>
      <c r="F688" s="696" t="s">
        <v>63</v>
      </c>
      <c r="G688" s="697" t="s">
        <v>30</v>
      </c>
      <c r="H688" s="697" t="s">
        <v>37</v>
      </c>
      <c r="I688" s="698" t="s">
        <v>48</v>
      </c>
      <c r="J688" s="10" t="s">
        <v>58</v>
      </c>
      <c r="K688" s="24">
        <v>8.5</v>
      </c>
      <c r="L688" s="24">
        <f>M688-K688</f>
        <v>0</v>
      </c>
      <c r="M688" s="24">
        <v>8.5</v>
      </c>
    </row>
    <row r="689" spans="1:13" s="7" customFormat="1" ht="36" customHeight="1" x14ac:dyDescent="0.35">
      <c r="A689" s="11"/>
      <c r="B689" s="551" t="s">
        <v>466</v>
      </c>
      <c r="C689" s="23" t="s">
        <v>314</v>
      </c>
      <c r="D689" s="10" t="s">
        <v>226</v>
      </c>
      <c r="E689" s="10" t="s">
        <v>52</v>
      </c>
      <c r="F689" s="696" t="s">
        <v>63</v>
      </c>
      <c r="G689" s="697" t="s">
        <v>30</v>
      </c>
      <c r="H689" s="697" t="s">
        <v>37</v>
      </c>
      <c r="I689" s="698" t="s">
        <v>91</v>
      </c>
      <c r="J689" s="10"/>
      <c r="K689" s="24">
        <f>K690+K691+K692</f>
        <v>8034.5000000000009</v>
      </c>
      <c r="L689" s="24">
        <f>L690+L691+L692</f>
        <v>0</v>
      </c>
      <c r="M689" s="24">
        <f>M690+M691+M692</f>
        <v>8034.5000000000009</v>
      </c>
    </row>
    <row r="690" spans="1:13" s="7" customFormat="1" ht="108" customHeight="1" x14ac:dyDescent="0.35">
      <c r="A690" s="11"/>
      <c r="B690" s="518" t="s">
        <v>49</v>
      </c>
      <c r="C690" s="153" t="s">
        <v>314</v>
      </c>
      <c r="D690" s="100" t="s">
        <v>226</v>
      </c>
      <c r="E690" s="100" t="s">
        <v>52</v>
      </c>
      <c r="F690" s="696" t="s">
        <v>63</v>
      </c>
      <c r="G690" s="697" t="s">
        <v>30</v>
      </c>
      <c r="H690" s="697" t="s">
        <v>37</v>
      </c>
      <c r="I690" s="698" t="s">
        <v>91</v>
      </c>
      <c r="J690" s="100" t="s">
        <v>50</v>
      </c>
      <c r="K690" s="24">
        <f>7283.1-1470.7+1470.7</f>
        <v>7283.1</v>
      </c>
      <c r="L690" s="24">
        <f>M690-K690</f>
        <v>0</v>
      </c>
      <c r="M690" s="24">
        <f>7283.1-1470.7+1470.7</f>
        <v>7283.1</v>
      </c>
    </row>
    <row r="691" spans="1:13" s="7" customFormat="1" ht="54" customHeight="1" x14ac:dyDescent="0.35">
      <c r="A691" s="11"/>
      <c r="B691" s="518" t="s">
        <v>55</v>
      </c>
      <c r="C691" s="153" t="s">
        <v>314</v>
      </c>
      <c r="D691" s="100" t="s">
        <v>226</v>
      </c>
      <c r="E691" s="100" t="s">
        <v>52</v>
      </c>
      <c r="F691" s="696" t="s">
        <v>63</v>
      </c>
      <c r="G691" s="697" t="s">
        <v>30</v>
      </c>
      <c r="H691" s="697" t="s">
        <v>37</v>
      </c>
      <c r="I691" s="698" t="s">
        <v>91</v>
      </c>
      <c r="J691" s="100" t="s">
        <v>56</v>
      </c>
      <c r="K691" s="24">
        <f>642.6+107.2</f>
        <v>749.80000000000007</v>
      </c>
      <c r="L691" s="24">
        <f>M691-K691</f>
        <v>0</v>
      </c>
      <c r="M691" s="24">
        <f>642.6+107.2</f>
        <v>749.80000000000007</v>
      </c>
    </row>
    <row r="692" spans="1:13" s="7" customFormat="1" ht="18" customHeight="1" x14ac:dyDescent="0.35">
      <c r="A692" s="11"/>
      <c r="B692" s="518" t="s">
        <v>57</v>
      </c>
      <c r="C692" s="153" t="s">
        <v>314</v>
      </c>
      <c r="D692" s="100" t="s">
        <v>226</v>
      </c>
      <c r="E692" s="100" t="s">
        <v>52</v>
      </c>
      <c r="F692" s="696" t="s">
        <v>63</v>
      </c>
      <c r="G692" s="697" t="s">
        <v>30</v>
      </c>
      <c r="H692" s="697" t="s">
        <v>37</v>
      </c>
      <c r="I692" s="698" t="s">
        <v>91</v>
      </c>
      <c r="J692" s="10" t="s">
        <v>58</v>
      </c>
      <c r="K692" s="24">
        <v>1.6</v>
      </c>
      <c r="L692" s="24">
        <f>M692-K692</f>
        <v>0</v>
      </c>
      <c r="M692" s="24">
        <v>1.6</v>
      </c>
    </row>
    <row r="693" spans="1:13" s="141" customFormat="1" ht="18" customHeight="1" x14ac:dyDescent="0.35">
      <c r="A693" s="223"/>
      <c r="B693" s="590"/>
      <c r="C693" s="153"/>
      <c r="D693" s="100"/>
      <c r="E693" s="100"/>
      <c r="F693" s="696"/>
      <c r="G693" s="697"/>
      <c r="H693" s="697"/>
      <c r="I693" s="221"/>
      <c r="J693" s="222"/>
      <c r="K693" s="268"/>
      <c r="L693" s="268"/>
      <c r="M693" s="268"/>
    </row>
    <row r="694" spans="1:13" s="121" customFormat="1" ht="52.2" customHeight="1" x14ac:dyDescent="0.3">
      <c r="A694" s="120">
        <v>7</v>
      </c>
      <c r="B694" s="565" t="s">
        <v>10</v>
      </c>
      <c r="C694" s="18" t="s">
        <v>290</v>
      </c>
      <c r="D694" s="19"/>
      <c r="E694" s="19"/>
      <c r="F694" s="20"/>
      <c r="G694" s="21"/>
      <c r="H694" s="21"/>
      <c r="I694" s="22"/>
      <c r="J694" s="19"/>
      <c r="K694" s="32" t="e">
        <f>K702+K695</f>
        <v>#REF!</v>
      </c>
      <c r="L694" s="32">
        <f>L702+L695</f>
        <v>388.9</v>
      </c>
      <c r="M694" s="32">
        <f>M702+M695</f>
        <v>80032</v>
      </c>
    </row>
    <row r="695" spans="1:13" s="121" customFormat="1" ht="18" customHeight="1" x14ac:dyDescent="0.35">
      <c r="A695" s="120"/>
      <c r="B695" s="515" t="s">
        <v>36</v>
      </c>
      <c r="C695" s="225" t="s">
        <v>290</v>
      </c>
      <c r="D695" s="28" t="s">
        <v>37</v>
      </c>
      <c r="E695" s="28"/>
      <c r="F695" s="217"/>
      <c r="G695" s="218"/>
      <c r="H695" s="218"/>
      <c r="I695" s="219"/>
      <c r="J695" s="28"/>
      <c r="K695" s="220">
        <f t="shared" ref="K695:M699" si="87">K696</f>
        <v>60.8</v>
      </c>
      <c r="L695" s="220">
        <f t="shared" si="87"/>
        <v>0</v>
      </c>
      <c r="M695" s="220">
        <f t="shared" si="87"/>
        <v>60.8</v>
      </c>
    </row>
    <row r="696" spans="1:13" s="121" customFormat="1" ht="18" customHeight="1" x14ac:dyDescent="0.35">
      <c r="A696" s="120"/>
      <c r="B696" s="515" t="s">
        <v>70</v>
      </c>
      <c r="C696" s="225" t="s">
        <v>290</v>
      </c>
      <c r="D696" s="28" t="s">
        <v>37</v>
      </c>
      <c r="E696" s="28" t="s">
        <v>71</v>
      </c>
      <c r="F696" s="217"/>
      <c r="G696" s="218"/>
      <c r="H696" s="218"/>
      <c r="I696" s="219"/>
      <c r="J696" s="28"/>
      <c r="K696" s="220">
        <f t="shared" si="87"/>
        <v>60.8</v>
      </c>
      <c r="L696" s="220">
        <f t="shared" si="87"/>
        <v>0</v>
      </c>
      <c r="M696" s="220">
        <f t="shared" si="87"/>
        <v>60.8</v>
      </c>
    </row>
    <row r="697" spans="1:13" s="121" customFormat="1" ht="54" customHeight="1" x14ac:dyDescent="0.35">
      <c r="A697" s="120"/>
      <c r="B697" s="518" t="s">
        <v>217</v>
      </c>
      <c r="C697" s="225" t="s">
        <v>290</v>
      </c>
      <c r="D697" s="28" t="s">
        <v>37</v>
      </c>
      <c r="E697" s="28" t="s">
        <v>71</v>
      </c>
      <c r="F697" s="217" t="s">
        <v>52</v>
      </c>
      <c r="G697" s="218" t="s">
        <v>42</v>
      </c>
      <c r="H697" s="218" t="s">
        <v>43</v>
      </c>
      <c r="I697" s="219" t="s">
        <v>44</v>
      </c>
      <c r="J697" s="28"/>
      <c r="K697" s="220">
        <f t="shared" si="87"/>
        <v>60.8</v>
      </c>
      <c r="L697" s="220">
        <f t="shared" si="87"/>
        <v>0</v>
      </c>
      <c r="M697" s="220">
        <f t="shared" si="87"/>
        <v>60.8</v>
      </c>
    </row>
    <row r="698" spans="1:13" s="121" customFormat="1" ht="36" customHeight="1" x14ac:dyDescent="0.35">
      <c r="A698" s="120"/>
      <c r="B698" s="518" t="s">
        <v>220</v>
      </c>
      <c r="C698" s="225" t="s">
        <v>290</v>
      </c>
      <c r="D698" s="28" t="s">
        <v>37</v>
      </c>
      <c r="E698" s="28" t="s">
        <v>71</v>
      </c>
      <c r="F698" s="217" t="s">
        <v>52</v>
      </c>
      <c r="G698" s="218" t="s">
        <v>89</v>
      </c>
      <c r="H698" s="218" t="s">
        <v>43</v>
      </c>
      <c r="I698" s="219" t="s">
        <v>44</v>
      </c>
      <c r="J698" s="28"/>
      <c r="K698" s="220">
        <f t="shared" si="87"/>
        <v>60.8</v>
      </c>
      <c r="L698" s="220">
        <f t="shared" si="87"/>
        <v>0</v>
      </c>
      <c r="M698" s="220">
        <f t="shared" si="87"/>
        <v>60.8</v>
      </c>
    </row>
    <row r="699" spans="1:13" s="121" customFormat="1" ht="36" customHeight="1" x14ac:dyDescent="0.35">
      <c r="A699" s="120"/>
      <c r="B699" s="515" t="s">
        <v>351</v>
      </c>
      <c r="C699" s="225" t="s">
        <v>290</v>
      </c>
      <c r="D699" s="28" t="s">
        <v>37</v>
      </c>
      <c r="E699" s="28" t="s">
        <v>71</v>
      </c>
      <c r="F699" s="217" t="s">
        <v>52</v>
      </c>
      <c r="G699" s="218" t="s">
        <v>89</v>
      </c>
      <c r="H699" s="218" t="s">
        <v>63</v>
      </c>
      <c r="I699" s="219" t="s">
        <v>44</v>
      </c>
      <c r="J699" s="28"/>
      <c r="K699" s="220">
        <f t="shared" si="87"/>
        <v>60.8</v>
      </c>
      <c r="L699" s="220">
        <f t="shared" si="87"/>
        <v>0</v>
      </c>
      <c r="M699" s="220">
        <f t="shared" si="87"/>
        <v>60.8</v>
      </c>
    </row>
    <row r="700" spans="1:13" s="121" customFormat="1" ht="54" customHeight="1" x14ac:dyDescent="0.35">
      <c r="A700" s="120"/>
      <c r="B700" s="591" t="s">
        <v>352</v>
      </c>
      <c r="C700" s="225" t="s">
        <v>290</v>
      </c>
      <c r="D700" s="28" t="s">
        <v>37</v>
      </c>
      <c r="E700" s="28" t="s">
        <v>71</v>
      </c>
      <c r="F700" s="217" t="s">
        <v>52</v>
      </c>
      <c r="G700" s="218" t="s">
        <v>89</v>
      </c>
      <c r="H700" s="218" t="s">
        <v>63</v>
      </c>
      <c r="I700" s="219" t="s">
        <v>105</v>
      </c>
      <c r="J700" s="28"/>
      <c r="K700" s="220">
        <f>K701</f>
        <v>60.8</v>
      </c>
      <c r="L700" s="220">
        <f>L701</f>
        <v>0</v>
      </c>
      <c r="M700" s="220">
        <f>M701</f>
        <v>60.8</v>
      </c>
    </row>
    <row r="701" spans="1:13" s="121" customFormat="1" ht="54" customHeight="1" x14ac:dyDescent="0.35">
      <c r="A701" s="120"/>
      <c r="B701" s="518" t="s">
        <v>55</v>
      </c>
      <c r="C701" s="225" t="s">
        <v>290</v>
      </c>
      <c r="D701" s="28" t="s">
        <v>37</v>
      </c>
      <c r="E701" s="28" t="s">
        <v>71</v>
      </c>
      <c r="F701" s="217" t="s">
        <v>52</v>
      </c>
      <c r="G701" s="218" t="s">
        <v>89</v>
      </c>
      <c r="H701" s="218" t="s">
        <v>63</v>
      </c>
      <c r="I701" s="219" t="s">
        <v>105</v>
      </c>
      <c r="J701" s="28" t="s">
        <v>56</v>
      </c>
      <c r="K701" s="220">
        <f>38.4+22.4</f>
        <v>60.8</v>
      </c>
      <c r="L701" s="24">
        <f>M701-K701</f>
        <v>0</v>
      </c>
      <c r="M701" s="220">
        <f>38.4+22.4</f>
        <v>60.8</v>
      </c>
    </row>
    <row r="702" spans="1:13" s="7" customFormat="1" ht="18" customHeight="1" x14ac:dyDescent="0.35">
      <c r="A702" s="11"/>
      <c r="B702" s="568" t="s">
        <v>322</v>
      </c>
      <c r="C702" s="23" t="s">
        <v>290</v>
      </c>
      <c r="D702" s="10" t="s">
        <v>67</v>
      </c>
      <c r="E702" s="10"/>
      <c r="F702" s="696"/>
      <c r="G702" s="697"/>
      <c r="H702" s="697"/>
      <c r="I702" s="698"/>
      <c r="J702" s="10"/>
      <c r="K702" s="24" t="e">
        <f>K703+K724+K759+K737</f>
        <v>#REF!</v>
      </c>
      <c r="L702" s="24">
        <f>L703+L724+L759+L737</f>
        <v>388.9</v>
      </c>
      <c r="M702" s="24">
        <f>M703+M724+M759+M737</f>
        <v>79971.199999999997</v>
      </c>
    </row>
    <row r="703" spans="1:13" s="121" customFormat="1" ht="18" customHeight="1" x14ac:dyDescent="0.35">
      <c r="A703" s="11"/>
      <c r="B703" s="568" t="s">
        <v>360</v>
      </c>
      <c r="C703" s="23" t="s">
        <v>290</v>
      </c>
      <c r="D703" s="10" t="s">
        <v>67</v>
      </c>
      <c r="E703" s="10" t="s">
        <v>37</v>
      </c>
      <c r="F703" s="696"/>
      <c r="G703" s="697"/>
      <c r="H703" s="697"/>
      <c r="I703" s="698"/>
      <c r="J703" s="10"/>
      <c r="K703" s="24">
        <f>K704</f>
        <v>8867.1064800000004</v>
      </c>
      <c r="L703" s="24">
        <f>L704</f>
        <v>0</v>
      </c>
      <c r="M703" s="24">
        <f>M704</f>
        <v>8867.1064800000004</v>
      </c>
    </row>
    <row r="704" spans="1:13" s="121" customFormat="1" ht="54" customHeight="1" x14ac:dyDescent="0.35">
      <c r="A704" s="11"/>
      <c r="B704" s="518" t="s">
        <v>217</v>
      </c>
      <c r="C704" s="23" t="s">
        <v>290</v>
      </c>
      <c r="D704" s="10" t="s">
        <v>67</v>
      </c>
      <c r="E704" s="10" t="s">
        <v>37</v>
      </c>
      <c r="F704" s="696" t="s">
        <v>52</v>
      </c>
      <c r="G704" s="697" t="s">
        <v>42</v>
      </c>
      <c r="H704" s="697" t="s">
        <v>43</v>
      </c>
      <c r="I704" s="698" t="s">
        <v>44</v>
      </c>
      <c r="J704" s="10"/>
      <c r="K704" s="24">
        <f>K705+K709</f>
        <v>8867.1064800000004</v>
      </c>
      <c r="L704" s="24">
        <f>L705+L709</f>
        <v>0</v>
      </c>
      <c r="M704" s="24">
        <f>M705+M709</f>
        <v>8867.1064800000004</v>
      </c>
    </row>
    <row r="705" spans="1:13" s="121" customFormat="1" ht="36" customHeight="1" x14ac:dyDescent="0.35">
      <c r="A705" s="11"/>
      <c r="B705" s="568" t="s">
        <v>218</v>
      </c>
      <c r="C705" s="23" t="s">
        <v>290</v>
      </c>
      <c r="D705" s="10" t="s">
        <v>67</v>
      </c>
      <c r="E705" s="10" t="s">
        <v>37</v>
      </c>
      <c r="F705" s="696" t="s">
        <v>52</v>
      </c>
      <c r="G705" s="697" t="s">
        <v>45</v>
      </c>
      <c r="H705" s="697" t="s">
        <v>43</v>
      </c>
      <c r="I705" s="698" t="s">
        <v>44</v>
      </c>
      <c r="J705" s="10"/>
      <c r="K705" s="24">
        <f>K706</f>
        <v>66</v>
      </c>
      <c r="L705" s="24">
        <f>L706</f>
        <v>0</v>
      </c>
      <c r="M705" s="24">
        <f>M706</f>
        <v>66</v>
      </c>
    </row>
    <row r="706" spans="1:13" s="121" customFormat="1" ht="18" customHeight="1" x14ac:dyDescent="0.35">
      <c r="A706" s="11"/>
      <c r="B706" s="518" t="s">
        <v>277</v>
      </c>
      <c r="C706" s="23" t="s">
        <v>290</v>
      </c>
      <c r="D706" s="10" t="s">
        <v>67</v>
      </c>
      <c r="E706" s="10" t="s">
        <v>37</v>
      </c>
      <c r="F706" s="696" t="s">
        <v>52</v>
      </c>
      <c r="G706" s="697" t="s">
        <v>45</v>
      </c>
      <c r="H706" s="697" t="s">
        <v>37</v>
      </c>
      <c r="I706" s="698" t="s">
        <v>44</v>
      </c>
      <c r="J706" s="10"/>
      <c r="K706" s="24">
        <f t="shared" ref="K706:M707" si="88">K707</f>
        <v>66</v>
      </c>
      <c r="L706" s="24">
        <f t="shared" si="88"/>
        <v>0</v>
      </c>
      <c r="M706" s="24">
        <f t="shared" si="88"/>
        <v>66</v>
      </c>
    </row>
    <row r="707" spans="1:13" s="121" customFormat="1" ht="36" customHeight="1" x14ac:dyDescent="0.35">
      <c r="A707" s="11"/>
      <c r="B707" s="518" t="s">
        <v>278</v>
      </c>
      <c r="C707" s="23" t="s">
        <v>290</v>
      </c>
      <c r="D707" s="10" t="s">
        <v>67</v>
      </c>
      <c r="E707" s="10" t="s">
        <v>37</v>
      </c>
      <c r="F707" s="696" t="s">
        <v>52</v>
      </c>
      <c r="G707" s="697" t="s">
        <v>45</v>
      </c>
      <c r="H707" s="697" t="s">
        <v>37</v>
      </c>
      <c r="I707" s="698" t="s">
        <v>279</v>
      </c>
      <c r="J707" s="10"/>
      <c r="K707" s="24">
        <f t="shared" si="88"/>
        <v>66</v>
      </c>
      <c r="L707" s="24">
        <f t="shared" si="88"/>
        <v>0</v>
      </c>
      <c r="M707" s="24">
        <f t="shared" si="88"/>
        <v>66</v>
      </c>
    </row>
    <row r="708" spans="1:13" s="121" customFormat="1" ht="36" customHeight="1" x14ac:dyDescent="0.35">
      <c r="A708" s="11"/>
      <c r="B708" s="518" t="s">
        <v>120</v>
      </c>
      <c r="C708" s="23" t="s">
        <v>290</v>
      </c>
      <c r="D708" s="10" t="s">
        <v>67</v>
      </c>
      <c r="E708" s="10" t="s">
        <v>37</v>
      </c>
      <c r="F708" s="696" t="s">
        <v>52</v>
      </c>
      <c r="G708" s="697" t="s">
        <v>45</v>
      </c>
      <c r="H708" s="697" t="s">
        <v>37</v>
      </c>
      <c r="I708" s="698" t="s">
        <v>279</v>
      </c>
      <c r="J708" s="10" t="s">
        <v>121</v>
      </c>
      <c r="K708" s="24">
        <f>315+63-312</f>
        <v>66</v>
      </c>
      <c r="L708" s="24">
        <f>M708-K708</f>
        <v>0</v>
      </c>
      <c r="M708" s="24">
        <f>315+63-312</f>
        <v>66</v>
      </c>
    </row>
    <row r="709" spans="1:13" s="7" customFormat="1" ht="36" customHeight="1" x14ac:dyDescent="0.35">
      <c r="A709" s="11"/>
      <c r="B709" s="518" t="s">
        <v>220</v>
      </c>
      <c r="C709" s="23" t="s">
        <v>290</v>
      </c>
      <c r="D709" s="10" t="s">
        <v>67</v>
      </c>
      <c r="E709" s="10" t="s">
        <v>37</v>
      </c>
      <c r="F709" s="696" t="s">
        <v>52</v>
      </c>
      <c r="G709" s="697" t="s">
        <v>89</v>
      </c>
      <c r="H709" s="697" t="s">
        <v>43</v>
      </c>
      <c r="I709" s="698" t="s">
        <v>44</v>
      </c>
      <c r="J709" s="10"/>
      <c r="K709" s="24">
        <f>K710+K717</f>
        <v>8801.1064800000004</v>
      </c>
      <c r="L709" s="24">
        <f>L710+L717</f>
        <v>0</v>
      </c>
      <c r="M709" s="24">
        <f>M710+M717</f>
        <v>8801.1064800000004</v>
      </c>
    </row>
    <row r="710" spans="1:13" s="121" customFormat="1" ht="36.6" customHeight="1" x14ac:dyDescent="0.35">
      <c r="A710" s="11"/>
      <c r="B710" s="518" t="s">
        <v>361</v>
      </c>
      <c r="C710" s="23" t="s">
        <v>290</v>
      </c>
      <c r="D710" s="10" t="s">
        <v>67</v>
      </c>
      <c r="E710" s="10" t="s">
        <v>37</v>
      </c>
      <c r="F710" s="696" t="s">
        <v>52</v>
      </c>
      <c r="G710" s="697" t="s">
        <v>89</v>
      </c>
      <c r="H710" s="697" t="s">
        <v>39</v>
      </c>
      <c r="I710" s="698" t="s">
        <v>44</v>
      </c>
      <c r="J710" s="10"/>
      <c r="K710" s="24">
        <f>K711+K715</f>
        <v>4221.5064800000009</v>
      </c>
      <c r="L710" s="24">
        <f>L711+L715</f>
        <v>0</v>
      </c>
      <c r="M710" s="24">
        <f>M711+M715</f>
        <v>4221.5064800000009</v>
      </c>
    </row>
    <row r="711" spans="1:13" s="121" customFormat="1" ht="36" customHeight="1" x14ac:dyDescent="0.35">
      <c r="A711" s="11"/>
      <c r="B711" s="551" t="s">
        <v>466</v>
      </c>
      <c r="C711" s="23" t="s">
        <v>290</v>
      </c>
      <c r="D711" s="10" t="s">
        <v>67</v>
      </c>
      <c r="E711" s="10" t="s">
        <v>37</v>
      </c>
      <c r="F711" s="696" t="s">
        <v>52</v>
      </c>
      <c r="G711" s="697" t="s">
        <v>89</v>
      </c>
      <c r="H711" s="697" t="s">
        <v>39</v>
      </c>
      <c r="I711" s="698" t="s">
        <v>91</v>
      </c>
      <c r="J711" s="10"/>
      <c r="K711" s="24">
        <f>K712+K713+K714</f>
        <v>3912.8184800000017</v>
      </c>
      <c r="L711" s="24">
        <f>L712+L713+L714</f>
        <v>0</v>
      </c>
      <c r="M711" s="24">
        <f>M712+M713+M714</f>
        <v>3912.8184800000017</v>
      </c>
    </row>
    <row r="712" spans="1:13" s="121" customFormat="1" ht="108" customHeight="1" x14ac:dyDescent="0.35">
      <c r="A712" s="11"/>
      <c r="B712" s="518" t="s">
        <v>49</v>
      </c>
      <c r="C712" s="23" t="s">
        <v>290</v>
      </c>
      <c r="D712" s="10" t="s">
        <v>67</v>
      </c>
      <c r="E712" s="10" t="s">
        <v>37</v>
      </c>
      <c r="F712" s="696" t="s">
        <v>52</v>
      </c>
      <c r="G712" s="697" t="s">
        <v>89</v>
      </c>
      <c r="H712" s="697" t="s">
        <v>39</v>
      </c>
      <c r="I712" s="698" t="s">
        <v>91</v>
      </c>
      <c r="J712" s="10" t="s">
        <v>50</v>
      </c>
      <c r="K712" s="24">
        <f>20027.9+85+852.7-17793.32805</f>
        <v>3172.2719500000021</v>
      </c>
      <c r="L712" s="24">
        <f>M712-K712</f>
        <v>0</v>
      </c>
      <c r="M712" s="24">
        <f>20027.9+85+852.7-17793.32805</f>
        <v>3172.2719500000021</v>
      </c>
    </row>
    <row r="713" spans="1:13" s="7" customFormat="1" ht="54" customHeight="1" x14ac:dyDescent="0.35">
      <c r="A713" s="11"/>
      <c r="B713" s="518" t="s">
        <v>55</v>
      </c>
      <c r="C713" s="23" t="s">
        <v>290</v>
      </c>
      <c r="D713" s="10" t="s">
        <v>67</v>
      </c>
      <c r="E713" s="10" t="s">
        <v>37</v>
      </c>
      <c r="F713" s="696" t="s">
        <v>52</v>
      </c>
      <c r="G713" s="697" t="s">
        <v>89</v>
      </c>
      <c r="H713" s="697" t="s">
        <v>39</v>
      </c>
      <c r="I713" s="698" t="s">
        <v>91</v>
      </c>
      <c r="J713" s="10" t="s">
        <v>56</v>
      </c>
      <c r="K713" s="24">
        <f>5504.9-0.1+2070.5-6834.83343</f>
        <v>740.46656999999959</v>
      </c>
      <c r="L713" s="24">
        <f>M713-K713</f>
        <v>0</v>
      </c>
      <c r="M713" s="24">
        <f>5504.9-0.1+2070.5-6834.83343</f>
        <v>740.46656999999959</v>
      </c>
    </row>
    <row r="714" spans="1:13" s="121" customFormat="1" ht="18" customHeight="1" x14ac:dyDescent="0.35">
      <c r="A714" s="11"/>
      <c r="B714" s="518" t="s">
        <v>57</v>
      </c>
      <c r="C714" s="23" t="s">
        <v>290</v>
      </c>
      <c r="D714" s="10" t="s">
        <v>67</v>
      </c>
      <c r="E714" s="10" t="s">
        <v>37</v>
      </c>
      <c r="F714" s="696" t="s">
        <v>52</v>
      </c>
      <c r="G714" s="697" t="s">
        <v>89</v>
      </c>
      <c r="H714" s="697" t="s">
        <v>39</v>
      </c>
      <c r="I714" s="698" t="s">
        <v>91</v>
      </c>
      <c r="J714" s="10" t="s">
        <v>58</v>
      </c>
      <c r="K714" s="24">
        <f>60.6+1105.5-1166.02004</f>
        <v>7.9959999999800857E-2</v>
      </c>
      <c r="L714" s="24">
        <f>M714-K714</f>
        <v>0</v>
      </c>
      <c r="M714" s="24">
        <f>60.6+1105.5-1166.02004</f>
        <v>7.9959999999800857E-2</v>
      </c>
    </row>
    <row r="715" spans="1:13" s="121" customFormat="1" ht="54" customHeight="1" x14ac:dyDescent="0.35">
      <c r="A715" s="11"/>
      <c r="B715" s="518" t="s">
        <v>219</v>
      </c>
      <c r="C715" s="23" t="s">
        <v>290</v>
      </c>
      <c r="D715" s="10" t="s">
        <v>67</v>
      </c>
      <c r="E715" s="10" t="s">
        <v>37</v>
      </c>
      <c r="F715" s="696" t="s">
        <v>52</v>
      </c>
      <c r="G715" s="697" t="s">
        <v>89</v>
      </c>
      <c r="H715" s="697" t="s">
        <v>39</v>
      </c>
      <c r="I715" s="698" t="s">
        <v>292</v>
      </c>
      <c r="J715" s="10"/>
      <c r="K715" s="24">
        <f>K716</f>
        <v>308.68799999999919</v>
      </c>
      <c r="L715" s="24">
        <f>L716</f>
        <v>0</v>
      </c>
      <c r="M715" s="24">
        <f>M716</f>
        <v>308.68799999999919</v>
      </c>
    </row>
    <row r="716" spans="1:13" s="121" customFormat="1" ht="54" customHeight="1" x14ac:dyDescent="0.35">
      <c r="A716" s="11"/>
      <c r="B716" s="518" t="s">
        <v>55</v>
      </c>
      <c r="C716" s="23" t="s">
        <v>290</v>
      </c>
      <c r="D716" s="10" t="s">
        <v>67</v>
      </c>
      <c r="E716" s="10" t="s">
        <v>37</v>
      </c>
      <c r="F716" s="696" t="s">
        <v>52</v>
      </c>
      <c r="G716" s="697" t="s">
        <v>89</v>
      </c>
      <c r="H716" s="697" t="s">
        <v>39</v>
      </c>
      <c r="I716" s="698" t="s">
        <v>292</v>
      </c>
      <c r="J716" s="10" t="s">
        <v>56</v>
      </c>
      <c r="K716" s="24">
        <f>4190.2+238.7-4120.212</f>
        <v>308.68799999999919</v>
      </c>
      <c r="L716" s="24">
        <f>M716-K716</f>
        <v>0</v>
      </c>
      <c r="M716" s="24">
        <f>4190.2+238.7-4120.212</f>
        <v>308.68799999999919</v>
      </c>
    </row>
    <row r="717" spans="1:13" s="121" customFormat="1" ht="36" customHeight="1" x14ac:dyDescent="0.35">
      <c r="A717" s="11"/>
      <c r="B717" s="518" t="s">
        <v>566</v>
      </c>
      <c r="C717" s="23" t="s">
        <v>290</v>
      </c>
      <c r="D717" s="10" t="s">
        <v>67</v>
      </c>
      <c r="E717" s="10" t="s">
        <v>37</v>
      </c>
      <c r="F717" s="696" t="s">
        <v>52</v>
      </c>
      <c r="G717" s="697" t="s">
        <v>89</v>
      </c>
      <c r="H717" s="697" t="s">
        <v>52</v>
      </c>
      <c r="I717" s="698" t="s">
        <v>44</v>
      </c>
      <c r="J717" s="10"/>
      <c r="K717" s="24">
        <f>K718+K722</f>
        <v>4579.5999999999995</v>
      </c>
      <c r="L717" s="24">
        <f>L718+L722</f>
        <v>0</v>
      </c>
      <c r="M717" s="24">
        <f>M718+M722</f>
        <v>4579.5999999999995</v>
      </c>
    </row>
    <row r="718" spans="1:13" s="121" customFormat="1" ht="36" customHeight="1" x14ac:dyDescent="0.35">
      <c r="A718" s="11"/>
      <c r="B718" s="518" t="s">
        <v>466</v>
      </c>
      <c r="C718" s="23" t="s">
        <v>290</v>
      </c>
      <c r="D718" s="10" t="s">
        <v>67</v>
      </c>
      <c r="E718" s="10" t="s">
        <v>37</v>
      </c>
      <c r="F718" s="696" t="s">
        <v>52</v>
      </c>
      <c r="G718" s="697" t="s">
        <v>89</v>
      </c>
      <c r="H718" s="697" t="s">
        <v>52</v>
      </c>
      <c r="I718" s="698" t="s">
        <v>91</v>
      </c>
      <c r="J718" s="10"/>
      <c r="K718" s="24">
        <f>K719+K720+K721</f>
        <v>3677.2999999999997</v>
      </c>
      <c r="L718" s="24">
        <f>L719+L720+L721</f>
        <v>0</v>
      </c>
      <c r="M718" s="24">
        <f>M719+M720+M721</f>
        <v>3677.2999999999997</v>
      </c>
    </row>
    <row r="719" spans="1:13" s="121" customFormat="1" ht="108" customHeight="1" x14ac:dyDescent="0.35">
      <c r="A719" s="11"/>
      <c r="B719" s="518" t="s">
        <v>49</v>
      </c>
      <c r="C719" s="23" t="s">
        <v>290</v>
      </c>
      <c r="D719" s="10" t="s">
        <v>67</v>
      </c>
      <c r="E719" s="10" t="s">
        <v>37</v>
      </c>
      <c r="F719" s="696" t="s">
        <v>52</v>
      </c>
      <c r="G719" s="697" t="s">
        <v>89</v>
      </c>
      <c r="H719" s="697" t="s">
        <v>52</v>
      </c>
      <c r="I719" s="698" t="s">
        <v>91</v>
      </c>
      <c r="J719" s="10" t="s">
        <v>50</v>
      </c>
      <c r="K719" s="24">
        <v>2045</v>
      </c>
      <c r="L719" s="24">
        <f>M719-K719</f>
        <v>0</v>
      </c>
      <c r="M719" s="24">
        <v>2045</v>
      </c>
    </row>
    <row r="720" spans="1:13" s="121" customFormat="1" ht="54" customHeight="1" x14ac:dyDescent="0.35">
      <c r="A720" s="11"/>
      <c r="B720" s="518" t="s">
        <v>55</v>
      </c>
      <c r="C720" s="23" t="s">
        <v>290</v>
      </c>
      <c r="D720" s="10" t="s">
        <v>67</v>
      </c>
      <c r="E720" s="10" t="s">
        <v>37</v>
      </c>
      <c r="F720" s="696" t="s">
        <v>52</v>
      </c>
      <c r="G720" s="697" t="s">
        <v>89</v>
      </c>
      <c r="H720" s="697" t="s">
        <v>52</v>
      </c>
      <c r="I720" s="698" t="s">
        <v>91</v>
      </c>
      <c r="J720" s="10" t="s">
        <v>56</v>
      </c>
      <c r="K720" s="24">
        <f>1194.6+429</f>
        <v>1623.6</v>
      </c>
      <c r="L720" s="24">
        <f>M720-K720</f>
        <v>0</v>
      </c>
      <c r="M720" s="24">
        <f>1194.6+429</f>
        <v>1623.6</v>
      </c>
    </row>
    <row r="721" spans="1:14" s="121" customFormat="1" ht="18" customHeight="1" x14ac:dyDescent="0.35">
      <c r="A721" s="11"/>
      <c r="B721" s="518" t="s">
        <v>57</v>
      </c>
      <c r="C721" s="23" t="s">
        <v>290</v>
      </c>
      <c r="D721" s="10" t="s">
        <v>67</v>
      </c>
      <c r="E721" s="10" t="s">
        <v>37</v>
      </c>
      <c r="F721" s="696" t="s">
        <v>52</v>
      </c>
      <c r="G721" s="697" t="s">
        <v>89</v>
      </c>
      <c r="H721" s="697" t="s">
        <v>52</v>
      </c>
      <c r="I721" s="698" t="s">
        <v>91</v>
      </c>
      <c r="J721" s="10" t="s">
        <v>58</v>
      </c>
      <c r="K721" s="24">
        <v>8.6999999999999993</v>
      </c>
      <c r="L721" s="24">
        <f>M721-K721</f>
        <v>0</v>
      </c>
      <c r="M721" s="24">
        <v>8.6999999999999993</v>
      </c>
    </row>
    <row r="722" spans="1:14" s="121" customFormat="1" ht="54" customHeight="1" x14ac:dyDescent="0.35">
      <c r="A722" s="11"/>
      <c r="B722" s="518" t="s">
        <v>219</v>
      </c>
      <c r="C722" s="23" t="s">
        <v>290</v>
      </c>
      <c r="D722" s="10" t="s">
        <v>67</v>
      </c>
      <c r="E722" s="10" t="s">
        <v>37</v>
      </c>
      <c r="F722" s="696" t="s">
        <v>52</v>
      </c>
      <c r="G722" s="697" t="s">
        <v>89</v>
      </c>
      <c r="H722" s="697" t="s">
        <v>52</v>
      </c>
      <c r="I722" s="698" t="s">
        <v>292</v>
      </c>
      <c r="J722" s="10"/>
      <c r="K722" s="24">
        <f>K723</f>
        <v>902.3</v>
      </c>
      <c r="L722" s="24">
        <f>L723</f>
        <v>0</v>
      </c>
      <c r="M722" s="24">
        <f>M723</f>
        <v>902.3</v>
      </c>
    </row>
    <row r="723" spans="1:14" s="121" customFormat="1" ht="54" customHeight="1" x14ac:dyDescent="0.35">
      <c r="A723" s="11"/>
      <c r="B723" s="518" t="s">
        <v>55</v>
      </c>
      <c r="C723" s="23" t="s">
        <v>290</v>
      </c>
      <c r="D723" s="10" t="s">
        <v>67</v>
      </c>
      <c r="E723" s="10" t="s">
        <v>37</v>
      </c>
      <c r="F723" s="696" t="s">
        <v>52</v>
      </c>
      <c r="G723" s="697" t="s">
        <v>89</v>
      </c>
      <c r="H723" s="697" t="s">
        <v>52</v>
      </c>
      <c r="I723" s="698" t="s">
        <v>292</v>
      </c>
      <c r="J723" s="10" t="s">
        <v>56</v>
      </c>
      <c r="K723" s="24">
        <v>902.3</v>
      </c>
      <c r="L723" s="24">
        <f>M723-K723</f>
        <v>0</v>
      </c>
      <c r="M723" s="24">
        <v>902.3</v>
      </c>
    </row>
    <row r="724" spans="1:14" s="7" customFormat="1" ht="18" customHeight="1" x14ac:dyDescent="0.35">
      <c r="A724" s="11"/>
      <c r="B724" s="568" t="s">
        <v>293</v>
      </c>
      <c r="C724" s="23" t="s">
        <v>290</v>
      </c>
      <c r="D724" s="10" t="s">
        <v>67</v>
      </c>
      <c r="E724" s="10" t="s">
        <v>39</v>
      </c>
      <c r="F724" s="696"/>
      <c r="G724" s="697"/>
      <c r="H724" s="697"/>
      <c r="I724" s="698"/>
      <c r="J724" s="10"/>
      <c r="K724" s="24">
        <f t="shared" ref="K724:M724" si="89">K725</f>
        <v>28674.6</v>
      </c>
      <c r="L724" s="24">
        <f t="shared" si="89"/>
        <v>0</v>
      </c>
      <c r="M724" s="24">
        <f t="shared" si="89"/>
        <v>28674.6</v>
      </c>
      <c r="N724" s="162"/>
    </row>
    <row r="725" spans="1:14" s="7" customFormat="1" ht="54" customHeight="1" x14ac:dyDescent="0.35">
      <c r="A725" s="11"/>
      <c r="B725" s="518" t="s">
        <v>217</v>
      </c>
      <c r="C725" s="23" t="s">
        <v>290</v>
      </c>
      <c r="D725" s="10" t="s">
        <v>67</v>
      </c>
      <c r="E725" s="10" t="s">
        <v>39</v>
      </c>
      <c r="F725" s="696" t="s">
        <v>52</v>
      </c>
      <c r="G725" s="697" t="s">
        <v>42</v>
      </c>
      <c r="H725" s="697" t="s">
        <v>43</v>
      </c>
      <c r="I725" s="698" t="s">
        <v>44</v>
      </c>
      <c r="J725" s="10"/>
      <c r="K725" s="24">
        <f>K726+K733</f>
        <v>28674.6</v>
      </c>
      <c r="L725" s="24">
        <f>L726+L733</f>
        <v>0</v>
      </c>
      <c r="M725" s="24">
        <f>M726+M733</f>
        <v>28674.6</v>
      </c>
    </row>
    <row r="726" spans="1:14" s="7" customFormat="1" ht="36" customHeight="1" x14ac:dyDescent="0.35">
      <c r="A726" s="11"/>
      <c r="B726" s="568" t="s">
        <v>218</v>
      </c>
      <c r="C726" s="23" t="s">
        <v>290</v>
      </c>
      <c r="D726" s="10" t="s">
        <v>67</v>
      </c>
      <c r="E726" s="10" t="s">
        <v>39</v>
      </c>
      <c r="F726" s="696" t="s">
        <v>52</v>
      </c>
      <c r="G726" s="697" t="s">
        <v>45</v>
      </c>
      <c r="H726" s="697" t="s">
        <v>43</v>
      </c>
      <c r="I726" s="698" t="s">
        <v>44</v>
      </c>
      <c r="J726" s="10"/>
      <c r="K726" s="24">
        <f>K727+K730</f>
        <v>3862.6</v>
      </c>
      <c r="L726" s="24">
        <f>L727+L730</f>
        <v>0</v>
      </c>
      <c r="M726" s="24">
        <f>M727+M730</f>
        <v>3862.6</v>
      </c>
      <c r="N726" s="162"/>
    </row>
    <row r="727" spans="1:14" s="7" customFormat="1" ht="54" customHeight="1" x14ac:dyDescent="0.35">
      <c r="A727" s="11"/>
      <c r="B727" s="518" t="s">
        <v>291</v>
      </c>
      <c r="C727" s="23" t="s">
        <v>290</v>
      </c>
      <c r="D727" s="10" t="s">
        <v>67</v>
      </c>
      <c r="E727" s="10" t="s">
        <v>39</v>
      </c>
      <c r="F727" s="696" t="s">
        <v>52</v>
      </c>
      <c r="G727" s="697" t="s">
        <v>45</v>
      </c>
      <c r="H727" s="697" t="s">
        <v>39</v>
      </c>
      <c r="I727" s="698" t="s">
        <v>44</v>
      </c>
      <c r="J727" s="10"/>
      <c r="K727" s="24">
        <f t="shared" ref="K727:M727" si="90">K728</f>
        <v>910.6</v>
      </c>
      <c r="L727" s="24">
        <f t="shared" si="90"/>
        <v>0</v>
      </c>
      <c r="M727" s="24">
        <f t="shared" si="90"/>
        <v>910.6</v>
      </c>
      <c r="N727" s="162"/>
    </row>
    <row r="728" spans="1:14" s="7" customFormat="1" ht="54" customHeight="1" x14ac:dyDescent="0.35">
      <c r="A728" s="11"/>
      <c r="B728" s="518" t="s">
        <v>219</v>
      </c>
      <c r="C728" s="23" t="s">
        <v>290</v>
      </c>
      <c r="D728" s="10" t="s">
        <v>67</v>
      </c>
      <c r="E728" s="10" t="s">
        <v>39</v>
      </c>
      <c r="F728" s="696" t="s">
        <v>52</v>
      </c>
      <c r="G728" s="697" t="s">
        <v>45</v>
      </c>
      <c r="H728" s="697" t="s">
        <v>39</v>
      </c>
      <c r="I728" s="698" t="s">
        <v>292</v>
      </c>
      <c r="J728" s="10"/>
      <c r="K728" s="24">
        <f>SUM(K729:K729)</f>
        <v>910.6</v>
      </c>
      <c r="L728" s="24">
        <f>SUM(L729:L729)</f>
        <v>0</v>
      </c>
      <c r="M728" s="24">
        <f>SUM(M729:M729)</f>
        <v>910.6</v>
      </c>
    </row>
    <row r="729" spans="1:14" s="7" customFormat="1" ht="54" customHeight="1" x14ac:dyDescent="0.35">
      <c r="A729" s="11"/>
      <c r="B729" s="518" t="s">
        <v>55</v>
      </c>
      <c r="C729" s="23" t="s">
        <v>290</v>
      </c>
      <c r="D729" s="10" t="s">
        <v>67</v>
      </c>
      <c r="E729" s="10" t="s">
        <v>39</v>
      </c>
      <c r="F729" s="696" t="s">
        <v>52</v>
      </c>
      <c r="G729" s="697" t="s">
        <v>45</v>
      </c>
      <c r="H729" s="697" t="s">
        <v>39</v>
      </c>
      <c r="I729" s="698" t="s">
        <v>292</v>
      </c>
      <c r="J729" s="10" t="s">
        <v>56</v>
      </c>
      <c r="K729" s="24">
        <f>629.7+280.9</f>
        <v>910.6</v>
      </c>
      <c r="L729" s="24">
        <f>M729-K729</f>
        <v>0</v>
      </c>
      <c r="M729" s="24">
        <f>629.7+280.9</f>
        <v>910.6</v>
      </c>
      <c r="N729" s="162"/>
    </row>
    <row r="730" spans="1:14" s="7" customFormat="1" ht="27.75" customHeight="1" x14ac:dyDescent="0.35">
      <c r="A730" s="11"/>
      <c r="B730" s="518" t="s">
        <v>490</v>
      </c>
      <c r="C730" s="23" t="s">
        <v>290</v>
      </c>
      <c r="D730" s="10" t="s">
        <v>67</v>
      </c>
      <c r="E730" s="10" t="s">
        <v>39</v>
      </c>
      <c r="F730" s="696" t="s">
        <v>52</v>
      </c>
      <c r="G730" s="697" t="s">
        <v>45</v>
      </c>
      <c r="H730" s="697" t="s">
        <v>489</v>
      </c>
      <c r="I730" s="698" t="s">
        <v>44</v>
      </c>
      <c r="J730" s="10"/>
      <c r="K730" s="24">
        <f t="shared" ref="K730:M731" si="91">K731</f>
        <v>2952</v>
      </c>
      <c r="L730" s="24">
        <f t="shared" si="91"/>
        <v>0</v>
      </c>
      <c r="M730" s="24">
        <f t="shared" si="91"/>
        <v>2952</v>
      </c>
      <c r="N730" s="162"/>
    </row>
    <row r="731" spans="1:14" s="7" customFormat="1" ht="54" customHeight="1" x14ac:dyDescent="0.35">
      <c r="A731" s="11"/>
      <c r="B731" s="518" t="s">
        <v>491</v>
      </c>
      <c r="C731" s="23" t="s">
        <v>290</v>
      </c>
      <c r="D731" s="10" t="s">
        <v>67</v>
      </c>
      <c r="E731" s="10" t="s">
        <v>39</v>
      </c>
      <c r="F731" s="696" t="s">
        <v>52</v>
      </c>
      <c r="G731" s="697" t="s">
        <v>45</v>
      </c>
      <c r="H731" s="697" t="s">
        <v>489</v>
      </c>
      <c r="I731" s="698" t="s">
        <v>501</v>
      </c>
      <c r="J731" s="10"/>
      <c r="K731" s="24">
        <f t="shared" si="91"/>
        <v>2952</v>
      </c>
      <c r="L731" s="24">
        <f t="shared" si="91"/>
        <v>0</v>
      </c>
      <c r="M731" s="24">
        <f t="shared" si="91"/>
        <v>2952</v>
      </c>
      <c r="N731" s="162"/>
    </row>
    <row r="732" spans="1:14" s="7" customFormat="1" ht="54" customHeight="1" x14ac:dyDescent="0.35">
      <c r="A732" s="11"/>
      <c r="B732" s="518" t="s">
        <v>55</v>
      </c>
      <c r="C732" s="23" t="s">
        <v>290</v>
      </c>
      <c r="D732" s="10" t="s">
        <v>67</v>
      </c>
      <c r="E732" s="10" t="s">
        <v>39</v>
      </c>
      <c r="F732" s="696" t="s">
        <v>52</v>
      </c>
      <c r="G732" s="697" t="s">
        <v>45</v>
      </c>
      <c r="H732" s="697" t="s">
        <v>489</v>
      </c>
      <c r="I732" s="698" t="s">
        <v>501</v>
      </c>
      <c r="J732" s="10" t="s">
        <v>56</v>
      </c>
      <c r="K732" s="24">
        <f>2863.4+88.6</f>
        <v>2952</v>
      </c>
      <c r="L732" s="24">
        <f>M732-K732</f>
        <v>0</v>
      </c>
      <c r="M732" s="24">
        <f>2863.4+88.6</f>
        <v>2952</v>
      </c>
      <c r="N732" s="162"/>
    </row>
    <row r="733" spans="1:14" s="7" customFormat="1" ht="36" x14ac:dyDescent="0.35">
      <c r="A733" s="11"/>
      <c r="B733" s="518" t="s">
        <v>220</v>
      </c>
      <c r="C733" s="23" t="s">
        <v>290</v>
      </c>
      <c r="D733" s="10" t="s">
        <v>67</v>
      </c>
      <c r="E733" s="10" t="s">
        <v>39</v>
      </c>
      <c r="F733" s="696" t="s">
        <v>52</v>
      </c>
      <c r="G733" s="697" t="s">
        <v>89</v>
      </c>
      <c r="H733" s="697" t="s">
        <v>43</v>
      </c>
      <c r="I733" s="698" t="s">
        <v>44</v>
      </c>
      <c r="J733" s="10"/>
      <c r="K733" s="24">
        <f t="shared" ref="K733:M735" si="92">K734</f>
        <v>24812</v>
      </c>
      <c r="L733" s="24">
        <f t="shared" si="92"/>
        <v>0</v>
      </c>
      <c r="M733" s="24">
        <f t="shared" si="92"/>
        <v>24812</v>
      </c>
      <c r="N733" s="162"/>
    </row>
    <row r="734" spans="1:14" s="7" customFormat="1" ht="42" customHeight="1" x14ac:dyDescent="0.35">
      <c r="A734" s="11"/>
      <c r="B734" s="518" t="s">
        <v>361</v>
      </c>
      <c r="C734" s="23" t="s">
        <v>290</v>
      </c>
      <c r="D734" s="10" t="s">
        <v>67</v>
      </c>
      <c r="E734" s="10" t="s">
        <v>39</v>
      </c>
      <c r="F734" s="696" t="s">
        <v>52</v>
      </c>
      <c r="G734" s="697" t="s">
        <v>89</v>
      </c>
      <c r="H734" s="697" t="s">
        <v>39</v>
      </c>
      <c r="I734" s="698" t="s">
        <v>44</v>
      </c>
      <c r="J734" s="10"/>
      <c r="K734" s="24">
        <f t="shared" si="92"/>
        <v>24812</v>
      </c>
      <c r="L734" s="24">
        <f t="shared" si="92"/>
        <v>0</v>
      </c>
      <c r="M734" s="24">
        <f t="shared" si="92"/>
        <v>24812</v>
      </c>
      <c r="N734" s="162"/>
    </row>
    <row r="735" spans="1:14" s="7" customFormat="1" ht="90" x14ac:dyDescent="0.35">
      <c r="A735" s="11"/>
      <c r="B735" s="518" t="s">
        <v>740</v>
      </c>
      <c r="C735" s="23" t="s">
        <v>290</v>
      </c>
      <c r="D735" s="10" t="s">
        <v>67</v>
      </c>
      <c r="E735" s="10" t="s">
        <v>39</v>
      </c>
      <c r="F735" s="696" t="s">
        <v>52</v>
      </c>
      <c r="G735" s="697" t="s">
        <v>89</v>
      </c>
      <c r="H735" s="697" t="s">
        <v>39</v>
      </c>
      <c r="I735" s="698" t="s">
        <v>739</v>
      </c>
      <c r="J735" s="10"/>
      <c r="K735" s="24">
        <f t="shared" si="92"/>
        <v>24812</v>
      </c>
      <c r="L735" s="24">
        <f t="shared" si="92"/>
        <v>0</v>
      </c>
      <c r="M735" s="24">
        <f t="shared" si="92"/>
        <v>24812</v>
      </c>
      <c r="N735" s="162"/>
    </row>
    <row r="736" spans="1:14" s="7" customFormat="1" ht="54" customHeight="1" x14ac:dyDescent="0.35">
      <c r="A736" s="11"/>
      <c r="B736" s="518" t="s">
        <v>55</v>
      </c>
      <c r="C736" s="23" t="s">
        <v>290</v>
      </c>
      <c r="D736" s="10" t="s">
        <v>67</v>
      </c>
      <c r="E736" s="10" t="s">
        <v>39</v>
      </c>
      <c r="F736" s="696" t="s">
        <v>52</v>
      </c>
      <c r="G736" s="697" t="s">
        <v>89</v>
      </c>
      <c r="H736" s="697" t="s">
        <v>39</v>
      </c>
      <c r="I736" s="698" t="s">
        <v>739</v>
      </c>
      <c r="J736" s="10" t="s">
        <v>56</v>
      </c>
      <c r="K736" s="24">
        <v>24812</v>
      </c>
      <c r="L736" s="24">
        <f>M736-K736</f>
        <v>0</v>
      </c>
      <c r="M736" s="24">
        <v>24812</v>
      </c>
      <c r="N736" s="162"/>
    </row>
    <row r="737" spans="1:14" s="7" customFormat="1" ht="18" x14ac:dyDescent="0.35">
      <c r="A737" s="11"/>
      <c r="B737" s="518" t="s">
        <v>708</v>
      </c>
      <c r="C737" s="23" t="s">
        <v>290</v>
      </c>
      <c r="D737" s="10" t="s">
        <v>67</v>
      </c>
      <c r="E737" s="10" t="s">
        <v>63</v>
      </c>
      <c r="F737" s="696"/>
      <c r="G737" s="697"/>
      <c r="H737" s="697"/>
      <c r="I737" s="698"/>
      <c r="J737" s="10"/>
      <c r="K737" s="24" t="e">
        <f>K738</f>
        <v>#REF!</v>
      </c>
      <c r="L737" s="24">
        <f>L738</f>
        <v>388.9</v>
      </c>
      <c r="M737" s="24">
        <f>M738</f>
        <v>39458.393519999998</v>
      </c>
      <c r="N737" s="162"/>
    </row>
    <row r="738" spans="1:14" s="7" customFormat="1" ht="54" x14ac:dyDescent="0.35">
      <c r="A738" s="11"/>
      <c r="B738" s="518" t="s">
        <v>217</v>
      </c>
      <c r="C738" s="23" t="s">
        <v>290</v>
      </c>
      <c r="D738" s="10" t="s">
        <v>67</v>
      </c>
      <c r="E738" s="10" t="s">
        <v>63</v>
      </c>
      <c r="F738" s="696" t="s">
        <v>52</v>
      </c>
      <c r="G738" s="697" t="s">
        <v>42</v>
      </c>
      <c r="H738" s="697" t="s">
        <v>43</v>
      </c>
      <c r="I738" s="698" t="s">
        <v>44</v>
      </c>
      <c r="J738" s="10"/>
      <c r="K738" s="24" t="e">
        <f>K739+K743</f>
        <v>#REF!</v>
      </c>
      <c r="L738" s="24">
        <f>L739+L743</f>
        <v>388.9</v>
      </c>
      <c r="M738" s="24">
        <f>M739+M743</f>
        <v>39458.393519999998</v>
      </c>
      <c r="N738" s="162"/>
    </row>
    <row r="739" spans="1:14" s="7" customFormat="1" ht="36" x14ac:dyDescent="0.35">
      <c r="A739" s="11"/>
      <c r="B739" s="568" t="s">
        <v>218</v>
      </c>
      <c r="C739" s="23" t="s">
        <v>290</v>
      </c>
      <c r="D739" s="10" t="s">
        <v>67</v>
      </c>
      <c r="E739" s="10" t="s">
        <v>63</v>
      </c>
      <c r="F739" s="696" t="s">
        <v>52</v>
      </c>
      <c r="G739" s="697" t="s">
        <v>45</v>
      </c>
      <c r="H739" s="697" t="s">
        <v>43</v>
      </c>
      <c r="I739" s="698" t="s">
        <v>44</v>
      </c>
      <c r="J739" s="10"/>
      <c r="K739" s="24">
        <f>K740</f>
        <v>312</v>
      </c>
      <c r="L739" s="24">
        <f>L740</f>
        <v>0</v>
      </c>
      <c r="M739" s="24">
        <f>M740</f>
        <v>312</v>
      </c>
      <c r="N739" s="162"/>
    </row>
    <row r="740" spans="1:14" s="7" customFormat="1" ht="18" x14ac:dyDescent="0.35">
      <c r="A740" s="11"/>
      <c r="B740" s="518" t="s">
        <v>277</v>
      </c>
      <c r="C740" s="23" t="s">
        <v>290</v>
      </c>
      <c r="D740" s="10" t="s">
        <v>67</v>
      </c>
      <c r="E740" s="10" t="s">
        <v>63</v>
      </c>
      <c r="F740" s="696" t="s">
        <v>52</v>
      </c>
      <c r="G740" s="697" t="s">
        <v>45</v>
      </c>
      <c r="H740" s="697" t="s">
        <v>37</v>
      </c>
      <c r="I740" s="698" t="s">
        <v>44</v>
      </c>
      <c r="J740" s="10"/>
      <c r="K740" s="24">
        <f t="shared" ref="K740:M741" si="93">K741</f>
        <v>312</v>
      </c>
      <c r="L740" s="24">
        <f t="shared" si="93"/>
        <v>0</v>
      </c>
      <c r="M740" s="24">
        <f t="shared" si="93"/>
        <v>312</v>
      </c>
      <c r="N740" s="162"/>
    </row>
    <row r="741" spans="1:14" s="7" customFormat="1" ht="36" x14ac:dyDescent="0.35">
      <c r="A741" s="11"/>
      <c r="B741" s="518" t="s">
        <v>278</v>
      </c>
      <c r="C741" s="23" t="s">
        <v>290</v>
      </c>
      <c r="D741" s="10" t="s">
        <v>67</v>
      </c>
      <c r="E741" s="10" t="s">
        <v>63</v>
      </c>
      <c r="F741" s="696" t="s">
        <v>52</v>
      </c>
      <c r="G741" s="697" t="s">
        <v>45</v>
      </c>
      <c r="H741" s="697" t="s">
        <v>37</v>
      </c>
      <c r="I741" s="698" t="s">
        <v>279</v>
      </c>
      <c r="J741" s="10"/>
      <c r="K741" s="24">
        <f t="shared" si="93"/>
        <v>312</v>
      </c>
      <c r="L741" s="24">
        <f t="shared" si="93"/>
        <v>0</v>
      </c>
      <c r="M741" s="24">
        <f t="shared" si="93"/>
        <v>312</v>
      </c>
      <c r="N741" s="162"/>
    </row>
    <row r="742" spans="1:14" s="7" customFormat="1" ht="36" x14ac:dyDescent="0.35">
      <c r="A742" s="11"/>
      <c r="B742" s="518" t="s">
        <v>120</v>
      </c>
      <c r="C742" s="23" t="s">
        <v>290</v>
      </c>
      <c r="D742" s="10" t="s">
        <v>67</v>
      </c>
      <c r="E742" s="10" t="s">
        <v>63</v>
      </c>
      <c r="F742" s="696" t="s">
        <v>52</v>
      </c>
      <c r="G742" s="697" t="s">
        <v>45</v>
      </c>
      <c r="H742" s="697" t="s">
        <v>37</v>
      </c>
      <c r="I742" s="698" t="s">
        <v>279</v>
      </c>
      <c r="J742" s="10" t="s">
        <v>121</v>
      </c>
      <c r="K742" s="24">
        <v>312</v>
      </c>
      <c r="L742" s="24">
        <f>M742-K742</f>
        <v>0</v>
      </c>
      <c r="M742" s="24">
        <v>312</v>
      </c>
      <c r="N742" s="162"/>
    </row>
    <row r="743" spans="1:14" s="7" customFormat="1" ht="36" x14ac:dyDescent="0.35">
      <c r="A743" s="11"/>
      <c r="B743" s="518" t="s">
        <v>220</v>
      </c>
      <c r="C743" s="23" t="s">
        <v>290</v>
      </c>
      <c r="D743" s="10" t="s">
        <v>67</v>
      </c>
      <c r="E743" s="10" t="s">
        <v>63</v>
      </c>
      <c r="F743" s="696" t="s">
        <v>52</v>
      </c>
      <c r="G743" s="697" t="s">
        <v>89</v>
      </c>
      <c r="H743" s="697" t="s">
        <v>43</v>
      </c>
      <c r="I743" s="698" t="s">
        <v>44</v>
      </c>
      <c r="J743" s="10"/>
      <c r="K743" s="24" t="e">
        <f>K744</f>
        <v>#REF!</v>
      </c>
      <c r="L743" s="24">
        <f>L744</f>
        <v>388.9</v>
      </c>
      <c r="M743" s="24">
        <f>M744</f>
        <v>39146.393519999998</v>
      </c>
      <c r="N743" s="162"/>
    </row>
    <row r="744" spans="1:14" s="7" customFormat="1" ht="18" x14ac:dyDescent="0.35">
      <c r="A744" s="11"/>
      <c r="B744" s="518" t="s">
        <v>361</v>
      </c>
      <c r="C744" s="23" t="s">
        <v>290</v>
      </c>
      <c r="D744" s="10" t="s">
        <v>67</v>
      </c>
      <c r="E744" s="10" t="s">
        <v>63</v>
      </c>
      <c r="F744" s="696" t="s">
        <v>52</v>
      </c>
      <c r="G744" s="697" t="s">
        <v>89</v>
      </c>
      <c r="H744" s="697" t="s">
        <v>39</v>
      </c>
      <c r="I744" s="698" t="s">
        <v>44</v>
      </c>
      <c r="J744" s="10"/>
      <c r="K744" s="24" t="e">
        <f>K745+#REF!+K755+K749+K751+K757</f>
        <v>#REF!</v>
      </c>
      <c r="L744" s="24">
        <f>L745+L755+L749+L751+L757+L753</f>
        <v>388.9</v>
      </c>
      <c r="M744" s="24">
        <f>M745+M755+M749+M751+M757+M753</f>
        <v>39146.393519999998</v>
      </c>
      <c r="N744" s="162"/>
    </row>
    <row r="745" spans="1:14" s="7" customFormat="1" ht="36" x14ac:dyDescent="0.35">
      <c r="A745" s="11"/>
      <c r="B745" s="551" t="s">
        <v>466</v>
      </c>
      <c r="C745" s="23" t="s">
        <v>290</v>
      </c>
      <c r="D745" s="10" t="s">
        <v>67</v>
      </c>
      <c r="E745" s="10" t="s">
        <v>63</v>
      </c>
      <c r="F745" s="696" t="s">
        <v>52</v>
      </c>
      <c r="G745" s="697" t="s">
        <v>89</v>
      </c>
      <c r="H745" s="697" t="s">
        <v>39</v>
      </c>
      <c r="I745" s="698" t="s">
        <v>91</v>
      </c>
      <c r="J745" s="10"/>
      <c r="K745" s="24">
        <f>K746+K747+K748</f>
        <v>29711.881519999999</v>
      </c>
      <c r="L745" s="24">
        <f>L746+L747+L748</f>
        <v>0</v>
      </c>
      <c r="M745" s="24">
        <f>M746+M747+M748</f>
        <v>29711.881519999999</v>
      </c>
      <c r="N745" s="162"/>
    </row>
    <row r="746" spans="1:14" s="7" customFormat="1" ht="108" x14ac:dyDescent="0.35">
      <c r="A746" s="11"/>
      <c r="B746" s="518" t="s">
        <v>49</v>
      </c>
      <c r="C746" s="23" t="s">
        <v>290</v>
      </c>
      <c r="D746" s="10" t="s">
        <v>67</v>
      </c>
      <c r="E746" s="10" t="s">
        <v>63</v>
      </c>
      <c r="F746" s="696" t="s">
        <v>52</v>
      </c>
      <c r="G746" s="697" t="s">
        <v>89</v>
      </c>
      <c r="H746" s="697" t="s">
        <v>39</v>
      </c>
      <c r="I746" s="698" t="s">
        <v>91</v>
      </c>
      <c r="J746" s="10" t="s">
        <v>50</v>
      </c>
      <c r="K746" s="24">
        <v>17793.32805</v>
      </c>
      <c r="L746" s="24">
        <f>M746-K746</f>
        <v>0</v>
      </c>
      <c r="M746" s="24">
        <v>17793.32805</v>
      </c>
      <c r="N746" s="162"/>
    </row>
    <row r="747" spans="1:14" s="7" customFormat="1" ht="54" x14ac:dyDescent="0.35">
      <c r="A747" s="11"/>
      <c r="B747" s="518" t="s">
        <v>55</v>
      </c>
      <c r="C747" s="23" t="s">
        <v>290</v>
      </c>
      <c r="D747" s="10" t="s">
        <v>67</v>
      </c>
      <c r="E747" s="10" t="s">
        <v>63</v>
      </c>
      <c r="F747" s="696" t="s">
        <v>52</v>
      </c>
      <c r="G747" s="697" t="s">
        <v>89</v>
      </c>
      <c r="H747" s="697" t="s">
        <v>39</v>
      </c>
      <c r="I747" s="698" t="s">
        <v>91</v>
      </c>
      <c r="J747" s="10" t="s">
        <v>56</v>
      </c>
      <c r="K747" s="24">
        <f>6834.83343+2385.6-5.9+5.9+539.5+10+750.1+52+180.5</f>
        <v>10752.533429999999</v>
      </c>
      <c r="L747" s="24">
        <f>M747-K747</f>
        <v>0</v>
      </c>
      <c r="M747" s="24">
        <f>6834.83343+2385.6-5.9+5.9+539.5+10+750.1+52+180.5</f>
        <v>10752.533429999999</v>
      </c>
      <c r="N747" s="162"/>
    </row>
    <row r="748" spans="1:14" s="7" customFormat="1" ht="18" x14ac:dyDescent="0.35">
      <c r="A748" s="11"/>
      <c r="B748" s="518" t="s">
        <v>57</v>
      </c>
      <c r="C748" s="23" t="s">
        <v>290</v>
      </c>
      <c r="D748" s="10" t="s">
        <v>67</v>
      </c>
      <c r="E748" s="10" t="s">
        <v>63</v>
      </c>
      <c r="F748" s="696" t="s">
        <v>52</v>
      </c>
      <c r="G748" s="697" t="s">
        <v>89</v>
      </c>
      <c r="H748" s="697" t="s">
        <v>39</v>
      </c>
      <c r="I748" s="698" t="s">
        <v>91</v>
      </c>
      <c r="J748" s="10" t="s">
        <v>58</v>
      </c>
      <c r="K748" s="24">
        <v>1166.0200400000001</v>
      </c>
      <c r="L748" s="24">
        <f>M748-K748</f>
        <v>0</v>
      </c>
      <c r="M748" s="24">
        <v>1166.0200400000001</v>
      </c>
      <c r="N748" s="162"/>
    </row>
    <row r="749" spans="1:14" s="7" customFormat="1" ht="54" x14ac:dyDescent="0.35">
      <c r="A749" s="11"/>
      <c r="B749" s="518" t="s">
        <v>219</v>
      </c>
      <c r="C749" s="23" t="s">
        <v>290</v>
      </c>
      <c r="D749" s="10" t="s">
        <v>67</v>
      </c>
      <c r="E749" s="10" t="s">
        <v>63</v>
      </c>
      <c r="F749" s="696" t="s">
        <v>52</v>
      </c>
      <c r="G749" s="697" t="s">
        <v>89</v>
      </c>
      <c r="H749" s="697" t="s">
        <v>39</v>
      </c>
      <c r="I749" s="698" t="s">
        <v>292</v>
      </c>
      <c r="J749" s="10"/>
      <c r="K749" s="24">
        <f>K750</f>
        <v>1734.6120000000005</v>
      </c>
      <c r="L749" s="24">
        <f>L750</f>
        <v>0</v>
      </c>
      <c r="M749" s="24">
        <f>M750</f>
        <v>1734.6120000000005</v>
      </c>
      <c r="N749" s="162"/>
    </row>
    <row r="750" spans="1:14" s="7" customFormat="1" ht="54" x14ac:dyDescent="0.35">
      <c r="A750" s="11"/>
      <c r="B750" s="518" t="s">
        <v>55</v>
      </c>
      <c r="C750" s="23" t="s">
        <v>290</v>
      </c>
      <c r="D750" s="10" t="s">
        <v>67</v>
      </c>
      <c r="E750" s="10" t="s">
        <v>63</v>
      </c>
      <c r="F750" s="696" t="s">
        <v>52</v>
      </c>
      <c r="G750" s="697" t="s">
        <v>89</v>
      </c>
      <c r="H750" s="697" t="s">
        <v>39</v>
      </c>
      <c r="I750" s="698" t="s">
        <v>292</v>
      </c>
      <c r="J750" s="10" t="s">
        <v>56</v>
      </c>
      <c r="K750" s="24">
        <f>4120.212-2385.6</f>
        <v>1734.6120000000005</v>
      </c>
      <c r="L750" s="24">
        <f>M750-K750</f>
        <v>0</v>
      </c>
      <c r="M750" s="24">
        <f>4120.212-2385.6</f>
        <v>1734.6120000000005</v>
      </c>
      <c r="N750" s="162"/>
    </row>
    <row r="751" spans="1:14" s="7" customFormat="1" ht="180" x14ac:dyDescent="0.35">
      <c r="A751" s="11"/>
      <c r="B751" s="518" t="s">
        <v>437</v>
      </c>
      <c r="C751" s="23" t="s">
        <v>290</v>
      </c>
      <c r="D751" s="10" t="s">
        <v>67</v>
      </c>
      <c r="E751" s="10" t="s">
        <v>63</v>
      </c>
      <c r="F751" s="696" t="s">
        <v>52</v>
      </c>
      <c r="G751" s="697" t="s">
        <v>89</v>
      </c>
      <c r="H751" s="697" t="s">
        <v>39</v>
      </c>
      <c r="I751" s="698" t="s">
        <v>390</v>
      </c>
      <c r="J751" s="10"/>
      <c r="K751" s="24">
        <f>K752</f>
        <v>187.5</v>
      </c>
      <c r="L751" s="24">
        <f>L752</f>
        <v>0</v>
      </c>
      <c r="M751" s="24">
        <f>M752</f>
        <v>187.5</v>
      </c>
      <c r="N751" s="162"/>
    </row>
    <row r="752" spans="1:14" s="7" customFormat="1" ht="108" x14ac:dyDescent="0.35">
      <c r="A752" s="11"/>
      <c r="B752" s="518" t="s">
        <v>49</v>
      </c>
      <c r="C752" s="23" t="s">
        <v>290</v>
      </c>
      <c r="D752" s="10" t="s">
        <v>67</v>
      </c>
      <c r="E752" s="10" t="s">
        <v>63</v>
      </c>
      <c r="F752" s="696" t="s">
        <v>52</v>
      </c>
      <c r="G752" s="697" t="s">
        <v>89</v>
      </c>
      <c r="H752" s="697" t="s">
        <v>39</v>
      </c>
      <c r="I752" s="698" t="s">
        <v>390</v>
      </c>
      <c r="J752" s="10" t="s">
        <v>50</v>
      </c>
      <c r="K752" s="24">
        <v>187.5</v>
      </c>
      <c r="L752" s="24">
        <f>M752-K752</f>
        <v>0</v>
      </c>
      <c r="M752" s="24">
        <v>187.5</v>
      </c>
      <c r="N752" s="162"/>
    </row>
    <row r="753" spans="1:14" s="7" customFormat="1" ht="54" x14ac:dyDescent="0.35">
      <c r="A753" s="11"/>
      <c r="B753" s="601" t="s">
        <v>697</v>
      </c>
      <c r="C753" s="23" t="s">
        <v>290</v>
      </c>
      <c r="D753" s="10" t="s">
        <v>67</v>
      </c>
      <c r="E753" s="10" t="s">
        <v>63</v>
      </c>
      <c r="F753" s="696" t="s">
        <v>52</v>
      </c>
      <c r="G753" s="697" t="s">
        <v>89</v>
      </c>
      <c r="H753" s="697" t="s">
        <v>39</v>
      </c>
      <c r="I753" s="698" t="s">
        <v>696</v>
      </c>
      <c r="J753" s="10"/>
      <c r="K753" s="24"/>
      <c r="L753" s="24">
        <f>L754</f>
        <v>388.9</v>
      </c>
      <c r="M753" s="24">
        <f>M754</f>
        <v>388.9</v>
      </c>
      <c r="N753" s="162"/>
    </row>
    <row r="754" spans="1:14" s="7" customFormat="1" ht="54" x14ac:dyDescent="0.35">
      <c r="A754" s="11"/>
      <c r="B754" s="518" t="s">
        <v>55</v>
      </c>
      <c r="C754" s="23" t="s">
        <v>290</v>
      </c>
      <c r="D754" s="10" t="s">
        <v>67</v>
      </c>
      <c r="E754" s="10" t="s">
        <v>63</v>
      </c>
      <c r="F754" s="696" t="s">
        <v>52</v>
      </c>
      <c r="G754" s="697" t="s">
        <v>89</v>
      </c>
      <c r="H754" s="697" t="s">
        <v>39</v>
      </c>
      <c r="I754" s="698" t="s">
        <v>696</v>
      </c>
      <c r="J754" s="10" t="s">
        <v>56</v>
      </c>
      <c r="K754" s="24"/>
      <c r="L754" s="24">
        <f>M754-K754</f>
        <v>388.9</v>
      </c>
      <c r="M754" s="24">
        <v>388.9</v>
      </c>
      <c r="N754" s="162"/>
    </row>
    <row r="755" spans="1:14" s="7" customFormat="1" ht="54" x14ac:dyDescent="0.35">
      <c r="A755" s="11"/>
      <c r="B755" s="518" t="s">
        <v>439</v>
      </c>
      <c r="C755" s="23" t="s">
        <v>290</v>
      </c>
      <c r="D755" s="10" t="s">
        <v>67</v>
      </c>
      <c r="E755" s="10" t="s">
        <v>63</v>
      </c>
      <c r="F755" s="696" t="s">
        <v>52</v>
      </c>
      <c r="G755" s="697" t="s">
        <v>89</v>
      </c>
      <c r="H755" s="697" t="s">
        <v>39</v>
      </c>
      <c r="I755" s="698" t="s">
        <v>410</v>
      </c>
      <c r="J755" s="10"/>
      <c r="K755" s="24">
        <f>K756</f>
        <v>2003.5</v>
      </c>
      <c r="L755" s="24">
        <f>L756</f>
        <v>0</v>
      </c>
      <c r="M755" s="24">
        <f>M756</f>
        <v>2003.5</v>
      </c>
      <c r="N755" s="162"/>
    </row>
    <row r="756" spans="1:14" s="7" customFormat="1" ht="108" x14ac:dyDescent="0.35">
      <c r="A756" s="11"/>
      <c r="B756" s="518" t="s">
        <v>49</v>
      </c>
      <c r="C756" s="23" t="s">
        <v>290</v>
      </c>
      <c r="D756" s="10" t="s">
        <v>67</v>
      </c>
      <c r="E756" s="10" t="s">
        <v>63</v>
      </c>
      <c r="F756" s="696" t="s">
        <v>52</v>
      </c>
      <c r="G756" s="697" t="s">
        <v>89</v>
      </c>
      <c r="H756" s="697" t="s">
        <v>39</v>
      </c>
      <c r="I756" s="698" t="s">
        <v>410</v>
      </c>
      <c r="J756" s="10" t="s">
        <v>50</v>
      </c>
      <c r="K756" s="24">
        <f>1884.7+118.8</f>
        <v>2003.5</v>
      </c>
      <c r="L756" s="24">
        <f>M756-K756</f>
        <v>0</v>
      </c>
      <c r="M756" s="24">
        <f>1884.7+118.8</f>
        <v>2003.5</v>
      </c>
      <c r="N756" s="162"/>
    </row>
    <row r="757" spans="1:14" s="7" customFormat="1" ht="162" x14ac:dyDescent="0.35">
      <c r="A757" s="11"/>
      <c r="B757" s="518" t="s">
        <v>579</v>
      </c>
      <c r="C757" s="23" t="s">
        <v>290</v>
      </c>
      <c r="D757" s="10" t="s">
        <v>67</v>
      </c>
      <c r="E757" s="10" t="s">
        <v>63</v>
      </c>
      <c r="F757" s="696" t="s">
        <v>52</v>
      </c>
      <c r="G757" s="697" t="s">
        <v>89</v>
      </c>
      <c r="H757" s="697" t="s">
        <v>39</v>
      </c>
      <c r="I757" s="698" t="s">
        <v>578</v>
      </c>
      <c r="J757" s="10"/>
      <c r="K757" s="24">
        <f>K758</f>
        <v>5120</v>
      </c>
      <c r="L757" s="24">
        <f>L758</f>
        <v>0</v>
      </c>
      <c r="M757" s="24">
        <f>M758</f>
        <v>5120</v>
      </c>
      <c r="N757" s="162"/>
    </row>
    <row r="758" spans="1:14" s="7" customFormat="1" ht="54" x14ac:dyDescent="0.35">
      <c r="A758" s="11"/>
      <c r="B758" s="518" t="s">
        <v>55</v>
      </c>
      <c r="C758" s="23" t="s">
        <v>290</v>
      </c>
      <c r="D758" s="10" t="s">
        <v>67</v>
      </c>
      <c r="E758" s="10" t="s">
        <v>63</v>
      </c>
      <c r="F758" s="696" t="s">
        <v>52</v>
      </c>
      <c r="G758" s="697" t="s">
        <v>89</v>
      </c>
      <c r="H758" s="697" t="s">
        <v>39</v>
      </c>
      <c r="I758" s="698" t="s">
        <v>578</v>
      </c>
      <c r="J758" s="10" t="s">
        <v>56</v>
      </c>
      <c r="K758" s="24">
        <v>5120</v>
      </c>
      <c r="L758" s="24">
        <f>M758-K758</f>
        <v>0</v>
      </c>
      <c r="M758" s="24">
        <v>5120</v>
      </c>
      <c r="N758" s="162"/>
    </row>
    <row r="759" spans="1:14" s="7" customFormat="1" ht="36" customHeight="1" x14ac:dyDescent="0.35">
      <c r="A759" s="11"/>
      <c r="B759" s="568" t="s">
        <v>199</v>
      </c>
      <c r="C759" s="23" t="s">
        <v>290</v>
      </c>
      <c r="D759" s="10" t="s">
        <v>67</v>
      </c>
      <c r="E759" s="10" t="s">
        <v>65</v>
      </c>
      <c r="F759" s="696"/>
      <c r="G759" s="697"/>
      <c r="H759" s="697"/>
      <c r="I759" s="698"/>
      <c r="J759" s="10"/>
      <c r="K759" s="24">
        <f t="shared" ref="K759:M762" si="94">K760</f>
        <v>2971.1000000000004</v>
      </c>
      <c r="L759" s="24">
        <f t="shared" si="94"/>
        <v>0</v>
      </c>
      <c r="M759" s="24">
        <f t="shared" si="94"/>
        <v>2971.1000000000004</v>
      </c>
      <c r="N759" s="162"/>
    </row>
    <row r="760" spans="1:14" s="7" customFormat="1" ht="54" customHeight="1" x14ac:dyDescent="0.35">
      <c r="A760" s="11"/>
      <c r="B760" s="518" t="s">
        <v>217</v>
      </c>
      <c r="C760" s="23" t="s">
        <v>290</v>
      </c>
      <c r="D760" s="10" t="s">
        <v>67</v>
      </c>
      <c r="E760" s="10" t="s">
        <v>65</v>
      </c>
      <c r="F760" s="696" t="s">
        <v>52</v>
      </c>
      <c r="G760" s="697" t="s">
        <v>42</v>
      </c>
      <c r="H760" s="697" t="s">
        <v>43</v>
      </c>
      <c r="I760" s="698" t="s">
        <v>44</v>
      </c>
      <c r="J760" s="10"/>
      <c r="K760" s="24">
        <f t="shared" si="94"/>
        <v>2971.1000000000004</v>
      </c>
      <c r="L760" s="24">
        <f t="shared" si="94"/>
        <v>0</v>
      </c>
      <c r="M760" s="24">
        <f t="shared" si="94"/>
        <v>2971.1000000000004</v>
      </c>
      <c r="N760" s="162"/>
    </row>
    <row r="761" spans="1:14" s="7" customFormat="1" ht="36" customHeight="1" x14ac:dyDescent="0.35">
      <c r="A761" s="11"/>
      <c r="B761" s="525" t="s">
        <v>220</v>
      </c>
      <c r="C761" s="23" t="s">
        <v>290</v>
      </c>
      <c r="D761" s="10" t="s">
        <v>67</v>
      </c>
      <c r="E761" s="10" t="s">
        <v>65</v>
      </c>
      <c r="F761" s="696" t="s">
        <v>52</v>
      </c>
      <c r="G761" s="697" t="s">
        <v>89</v>
      </c>
      <c r="H761" s="697" t="s">
        <v>43</v>
      </c>
      <c r="I761" s="698" t="s">
        <v>44</v>
      </c>
      <c r="J761" s="10"/>
      <c r="K761" s="24">
        <f t="shared" si="94"/>
        <v>2971.1000000000004</v>
      </c>
      <c r="L761" s="24">
        <f t="shared" si="94"/>
        <v>0</v>
      </c>
      <c r="M761" s="24">
        <f t="shared" si="94"/>
        <v>2971.1000000000004</v>
      </c>
      <c r="N761" s="162"/>
    </row>
    <row r="762" spans="1:14" s="7" customFormat="1" ht="36" customHeight="1" x14ac:dyDescent="0.35">
      <c r="A762" s="11"/>
      <c r="B762" s="518" t="s">
        <v>282</v>
      </c>
      <c r="C762" s="23" t="s">
        <v>290</v>
      </c>
      <c r="D762" s="10" t="s">
        <v>67</v>
      </c>
      <c r="E762" s="10" t="s">
        <v>65</v>
      </c>
      <c r="F762" s="696" t="s">
        <v>52</v>
      </c>
      <c r="G762" s="697" t="s">
        <v>89</v>
      </c>
      <c r="H762" s="697" t="s">
        <v>37</v>
      </c>
      <c r="I762" s="698" t="s">
        <v>44</v>
      </c>
      <c r="J762" s="10"/>
      <c r="K762" s="24">
        <f t="shared" si="94"/>
        <v>2971.1000000000004</v>
      </c>
      <c r="L762" s="24">
        <f t="shared" si="94"/>
        <v>0</v>
      </c>
      <c r="M762" s="24">
        <f t="shared" si="94"/>
        <v>2971.1000000000004</v>
      </c>
      <c r="N762" s="162"/>
    </row>
    <row r="763" spans="1:14" s="7" customFormat="1" ht="36" customHeight="1" x14ac:dyDescent="0.35">
      <c r="A763" s="11"/>
      <c r="B763" s="518" t="s">
        <v>47</v>
      </c>
      <c r="C763" s="23" t="s">
        <v>290</v>
      </c>
      <c r="D763" s="10" t="s">
        <v>67</v>
      </c>
      <c r="E763" s="10" t="s">
        <v>65</v>
      </c>
      <c r="F763" s="696" t="s">
        <v>52</v>
      </c>
      <c r="G763" s="697" t="s">
        <v>89</v>
      </c>
      <c r="H763" s="697" t="s">
        <v>37</v>
      </c>
      <c r="I763" s="698" t="s">
        <v>48</v>
      </c>
      <c r="J763" s="10"/>
      <c r="K763" s="24">
        <f>K764+K765+K766</f>
        <v>2971.1000000000004</v>
      </c>
      <c r="L763" s="24">
        <f>L764+L765+L766</f>
        <v>0</v>
      </c>
      <c r="M763" s="24">
        <f>M764+M765+M766</f>
        <v>2971.1000000000004</v>
      </c>
      <c r="N763" s="162"/>
    </row>
    <row r="764" spans="1:14" s="7" customFormat="1" ht="108" customHeight="1" x14ac:dyDescent="0.35">
      <c r="A764" s="11"/>
      <c r="B764" s="518" t="s">
        <v>49</v>
      </c>
      <c r="C764" s="23" t="s">
        <v>290</v>
      </c>
      <c r="D764" s="10" t="s">
        <v>67</v>
      </c>
      <c r="E764" s="10" t="s">
        <v>65</v>
      </c>
      <c r="F764" s="696" t="s">
        <v>52</v>
      </c>
      <c r="G764" s="697" t="s">
        <v>89</v>
      </c>
      <c r="H764" s="697" t="s">
        <v>37</v>
      </c>
      <c r="I764" s="698" t="s">
        <v>48</v>
      </c>
      <c r="J764" s="10" t="s">
        <v>50</v>
      </c>
      <c r="K764" s="24">
        <v>2910.9</v>
      </c>
      <c r="L764" s="24">
        <f>M764-K764</f>
        <v>0</v>
      </c>
      <c r="M764" s="24">
        <v>2910.9</v>
      </c>
      <c r="N764" s="162"/>
    </row>
    <row r="765" spans="1:14" s="7" customFormat="1" ht="54" customHeight="1" x14ac:dyDescent="0.35">
      <c r="A765" s="11"/>
      <c r="B765" s="518" t="s">
        <v>55</v>
      </c>
      <c r="C765" s="23" t="s">
        <v>290</v>
      </c>
      <c r="D765" s="10" t="s">
        <v>67</v>
      </c>
      <c r="E765" s="10" t="s">
        <v>65</v>
      </c>
      <c r="F765" s="696" t="s">
        <v>52</v>
      </c>
      <c r="G765" s="697" t="s">
        <v>89</v>
      </c>
      <c r="H765" s="697" t="s">
        <v>37</v>
      </c>
      <c r="I765" s="698" t="s">
        <v>48</v>
      </c>
      <c r="J765" s="10" t="s">
        <v>56</v>
      </c>
      <c r="K765" s="24">
        <v>58.3</v>
      </c>
      <c r="L765" s="24">
        <f>M765-K765</f>
        <v>0</v>
      </c>
      <c r="M765" s="24">
        <v>58.3</v>
      </c>
      <c r="N765" s="162"/>
    </row>
    <row r="766" spans="1:14" s="7" customFormat="1" ht="18" customHeight="1" x14ac:dyDescent="0.35">
      <c r="A766" s="11"/>
      <c r="B766" s="518" t="s">
        <v>57</v>
      </c>
      <c r="C766" s="23" t="s">
        <v>290</v>
      </c>
      <c r="D766" s="10" t="s">
        <v>67</v>
      </c>
      <c r="E766" s="10" t="s">
        <v>65</v>
      </c>
      <c r="F766" s="696" t="s">
        <v>52</v>
      </c>
      <c r="G766" s="697" t="s">
        <v>89</v>
      </c>
      <c r="H766" s="697" t="s">
        <v>37</v>
      </c>
      <c r="I766" s="698" t="s">
        <v>48</v>
      </c>
      <c r="J766" s="10" t="s">
        <v>58</v>
      </c>
      <c r="K766" s="24">
        <v>1.9</v>
      </c>
      <c r="L766" s="24">
        <f>M766-K766</f>
        <v>0</v>
      </c>
      <c r="M766" s="24">
        <v>1.9</v>
      </c>
      <c r="N766" s="162"/>
    </row>
    <row r="767" spans="1:14" s="7" customFormat="1" ht="18" customHeight="1" x14ac:dyDescent="0.35">
      <c r="A767" s="11"/>
      <c r="B767" s="518"/>
      <c r="C767" s="23"/>
      <c r="D767" s="10"/>
      <c r="E767" s="10"/>
      <c r="F767" s="696"/>
      <c r="G767" s="697"/>
      <c r="H767" s="697"/>
      <c r="I767" s="698"/>
      <c r="J767" s="10"/>
      <c r="K767" s="24"/>
      <c r="L767" s="24"/>
      <c r="M767" s="24"/>
      <c r="N767" s="162"/>
    </row>
    <row r="768" spans="1:14" s="121" customFormat="1" ht="52.2" customHeight="1" x14ac:dyDescent="0.3">
      <c r="A768" s="120">
        <v>8</v>
      </c>
      <c r="B768" s="565" t="s">
        <v>11</v>
      </c>
      <c r="C768" s="18" t="s">
        <v>286</v>
      </c>
      <c r="D768" s="19"/>
      <c r="E768" s="19"/>
      <c r="F768" s="20"/>
      <c r="G768" s="21"/>
      <c r="H768" s="21"/>
      <c r="I768" s="22"/>
      <c r="J768" s="19"/>
      <c r="K768" s="32">
        <f>K782+K769</f>
        <v>9170.27</v>
      </c>
      <c r="L768" s="32">
        <f>L782+L769</f>
        <v>494.09999999999991</v>
      </c>
      <c r="M768" s="32">
        <f>M782+M769</f>
        <v>9664.3700000000008</v>
      </c>
    </row>
    <row r="769" spans="1:13" s="121" customFormat="1" ht="18" customHeight="1" x14ac:dyDescent="0.35">
      <c r="A769" s="120"/>
      <c r="B769" s="518" t="s">
        <v>36</v>
      </c>
      <c r="C769" s="23" t="s">
        <v>286</v>
      </c>
      <c r="D769" s="10" t="s">
        <v>37</v>
      </c>
      <c r="E769" s="10"/>
      <c r="F769" s="696"/>
      <c r="G769" s="697"/>
      <c r="H769" s="697"/>
      <c r="I769" s="698"/>
      <c r="J769" s="10"/>
      <c r="K769" s="220">
        <f t="shared" ref="K769:M771" si="95">K770</f>
        <v>238.60000000000002</v>
      </c>
      <c r="L769" s="220">
        <f t="shared" si="95"/>
        <v>0</v>
      </c>
      <c r="M769" s="220">
        <f t="shared" si="95"/>
        <v>238.60000000000002</v>
      </c>
    </row>
    <row r="770" spans="1:13" s="121" customFormat="1" ht="18" customHeight="1" x14ac:dyDescent="0.35">
      <c r="A770" s="120"/>
      <c r="B770" s="518" t="s">
        <v>70</v>
      </c>
      <c r="C770" s="23" t="s">
        <v>286</v>
      </c>
      <c r="D770" s="10" t="s">
        <v>37</v>
      </c>
      <c r="E770" s="10" t="s">
        <v>71</v>
      </c>
      <c r="F770" s="696"/>
      <c r="G770" s="697"/>
      <c r="H770" s="697"/>
      <c r="I770" s="698"/>
      <c r="J770" s="10"/>
      <c r="K770" s="220">
        <f t="shared" si="95"/>
        <v>238.60000000000002</v>
      </c>
      <c r="L770" s="220">
        <f t="shared" si="95"/>
        <v>0</v>
      </c>
      <c r="M770" s="220">
        <f t="shared" si="95"/>
        <v>238.60000000000002</v>
      </c>
    </row>
    <row r="771" spans="1:13" s="121" customFormat="1" ht="54" customHeight="1" x14ac:dyDescent="0.35">
      <c r="A771" s="120"/>
      <c r="B771" s="518" t="s">
        <v>221</v>
      </c>
      <c r="C771" s="23" t="s">
        <v>286</v>
      </c>
      <c r="D771" s="10" t="s">
        <v>37</v>
      </c>
      <c r="E771" s="10" t="s">
        <v>71</v>
      </c>
      <c r="F771" s="696" t="s">
        <v>65</v>
      </c>
      <c r="G771" s="697" t="s">
        <v>42</v>
      </c>
      <c r="H771" s="697" t="s">
        <v>43</v>
      </c>
      <c r="I771" s="698" t="s">
        <v>44</v>
      </c>
      <c r="J771" s="10"/>
      <c r="K771" s="220">
        <f t="shared" si="95"/>
        <v>238.60000000000002</v>
      </c>
      <c r="L771" s="220">
        <f t="shared" si="95"/>
        <v>0</v>
      </c>
      <c r="M771" s="220">
        <f t="shared" si="95"/>
        <v>238.60000000000002</v>
      </c>
    </row>
    <row r="772" spans="1:13" s="121" customFormat="1" ht="36" customHeight="1" x14ac:dyDescent="0.35">
      <c r="A772" s="120"/>
      <c r="B772" s="518" t="s">
        <v>220</v>
      </c>
      <c r="C772" s="23" t="s">
        <v>286</v>
      </c>
      <c r="D772" s="10" t="s">
        <v>37</v>
      </c>
      <c r="E772" s="10" t="s">
        <v>71</v>
      </c>
      <c r="F772" s="696" t="s">
        <v>65</v>
      </c>
      <c r="G772" s="697" t="s">
        <v>89</v>
      </c>
      <c r="H772" s="697" t="s">
        <v>43</v>
      </c>
      <c r="I772" s="698" t="s">
        <v>44</v>
      </c>
      <c r="J772" s="10"/>
      <c r="K772" s="220">
        <f>K773+K776+K779</f>
        <v>238.60000000000002</v>
      </c>
      <c r="L772" s="220">
        <f>L773+L776+L779</f>
        <v>0</v>
      </c>
      <c r="M772" s="220">
        <f>M773+M776+M779</f>
        <v>238.60000000000002</v>
      </c>
    </row>
    <row r="773" spans="1:13" s="121" customFormat="1" ht="36" customHeight="1" x14ac:dyDescent="0.35">
      <c r="A773" s="120"/>
      <c r="B773" s="591" t="s">
        <v>351</v>
      </c>
      <c r="C773" s="23" t="s">
        <v>286</v>
      </c>
      <c r="D773" s="10" t="s">
        <v>37</v>
      </c>
      <c r="E773" s="10" t="s">
        <v>71</v>
      </c>
      <c r="F773" s="696" t="s">
        <v>65</v>
      </c>
      <c r="G773" s="697" t="s">
        <v>89</v>
      </c>
      <c r="H773" s="697" t="s">
        <v>39</v>
      </c>
      <c r="I773" s="698" t="s">
        <v>44</v>
      </c>
      <c r="J773" s="10"/>
      <c r="K773" s="220">
        <f t="shared" ref="K773:M774" si="96">K774</f>
        <v>179.6</v>
      </c>
      <c r="L773" s="220">
        <f t="shared" si="96"/>
        <v>0</v>
      </c>
      <c r="M773" s="220">
        <f t="shared" si="96"/>
        <v>179.6</v>
      </c>
    </row>
    <row r="774" spans="1:13" s="121" customFormat="1" ht="54" customHeight="1" x14ac:dyDescent="0.35">
      <c r="A774" s="120"/>
      <c r="B774" s="591" t="s">
        <v>352</v>
      </c>
      <c r="C774" s="23" t="s">
        <v>286</v>
      </c>
      <c r="D774" s="10" t="s">
        <v>37</v>
      </c>
      <c r="E774" s="10" t="s">
        <v>71</v>
      </c>
      <c r="F774" s="696" t="s">
        <v>65</v>
      </c>
      <c r="G774" s="697" t="s">
        <v>89</v>
      </c>
      <c r="H774" s="697" t="s">
        <v>39</v>
      </c>
      <c r="I774" s="698" t="s">
        <v>105</v>
      </c>
      <c r="J774" s="10"/>
      <c r="K774" s="220">
        <f t="shared" si="96"/>
        <v>179.6</v>
      </c>
      <c r="L774" s="220">
        <f t="shared" si="96"/>
        <v>0</v>
      </c>
      <c r="M774" s="220">
        <f t="shared" si="96"/>
        <v>179.6</v>
      </c>
    </row>
    <row r="775" spans="1:13" s="121" customFormat="1" ht="54" customHeight="1" x14ac:dyDescent="0.35">
      <c r="A775" s="120"/>
      <c r="B775" s="591" t="s">
        <v>55</v>
      </c>
      <c r="C775" s="23" t="s">
        <v>286</v>
      </c>
      <c r="D775" s="10" t="s">
        <v>37</v>
      </c>
      <c r="E775" s="10" t="s">
        <v>71</v>
      </c>
      <c r="F775" s="696" t="s">
        <v>65</v>
      </c>
      <c r="G775" s="697" t="s">
        <v>89</v>
      </c>
      <c r="H775" s="697" t="s">
        <v>39</v>
      </c>
      <c r="I775" s="698" t="s">
        <v>105</v>
      </c>
      <c r="J775" s="10" t="s">
        <v>56</v>
      </c>
      <c r="K775" s="220">
        <f>82.8+96.8</f>
        <v>179.6</v>
      </c>
      <c r="L775" s="24">
        <f>M775-K775</f>
        <v>0</v>
      </c>
      <c r="M775" s="220">
        <f>82.8+96.8</f>
        <v>179.6</v>
      </c>
    </row>
    <row r="776" spans="1:13" s="121" customFormat="1" ht="36" customHeight="1" x14ac:dyDescent="0.35">
      <c r="A776" s="120"/>
      <c r="B776" s="518" t="s">
        <v>470</v>
      </c>
      <c r="C776" s="23" t="s">
        <v>286</v>
      </c>
      <c r="D776" s="10" t="s">
        <v>37</v>
      </c>
      <c r="E776" s="10" t="s">
        <v>71</v>
      </c>
      <c r="F776" s="696" t="s">
        <v>65</v>
      </c>
      <c r="G776" s="697" t="s">
        <v>89</v>
      </c>
      <c r="H776" s="697" t="s">
        <v>63</v>
      </c>
      <c r="I776" s="698" t="s">
        <v>44</v>
      </c>
      <c r="J776" s="10"/>
      <c r="K776" s="220">
        <f t="shared" ref="K776:M777" si="97">K777</f>
        <v>14.8</v>
      </c>
      <c r="L776" s="220">
        <f t="shared" si="97"/>
        <v>0</v>
      </c>
      <c r="M776" s="220">
        <f t="shared" si="97"/>
        <v>14.8</v>
      </c>
    </row>
    <row r="777" spans="1:13" s="121" customFormat="1" ht="18" customHeight="1" x14ac:dyDescent="0.35">
      <c r="A777" s="120"/>
      <c r="B777" s="518" t="s">
        <v>468</v>
      </c>
      <c r="C777" s="23" t="s">
        <v>286</v>
      </c>
      <c r="D777" s="10" t="s">
        <v>37</v>
      </c>
      <c r="E777" s="10" t="s">
        <v>71</v>
      </c>
      <c r="F777" s="696" t="s">
        <v>65</v>
      </c>
      <c r="G777" s="697" t="s">
        <v>89</v>
      </c>
      <c r="H777" s="697" t="s">
        <v>63</v>
      </c>
      <c r="I777" s="698" t="s">
        <v>469</v>
      </c>
      <c r="J777" s="10"/>
      <c r="K777" s="220">
        <f t="shared" si="97"/>
        <v>14.8</v>
      </c>
      <c r="L777" s="220">
        <f t="shared" si="97"/>
        <v>0</v>
      </c>
      <c r="M777" s="220">
        <f t="shared" si="97"/>
        <v>14.8</v>
      </c>
    </row>
    <row r="778" spans="1:13" s="121" customFormat="1" ht="54" customHeight="1" x14ac:dyDescent="0.35">
      <c r="A778" s="120"/>
      <c r="B778" s="591" t="s">
        <v>55</v>
      </c>
      <c r="C778" s="23" t="s">
        <v>286</v>
      </c>
      <c r="D778" s="10" t="s">
        <v>37</v>
      </c>
      <c r="E778" s="10" t="s">
        <v>71</v>
      </c>
      <c r="F778" s="696" t="s">
        <v>65</v>
      </c>
      <c r="G778" s="697" t="s">
        <v>89</v>
      </c>
      <c r="H778" s="697" t="s">
        <v>63</v>
      </c>
      <c r="I778" s="698" t="s">
        <v>469</v>
      </c>
      <c r="J778" s="28" t="s">
        <v>56</v>
      </c>
      <c r="K778" s="220">
        <v>14.8</v>
      </c>
      <c r="L778" s="24">
        <f>M778-K778</f>
        <v>0</v>
      </c>
      <c r="M778" s="220">
        <v>14.8</v>
      </c>
    </row>
    <row r="779" spans="1:13" s="121" customFormat="1" ht="36" customHeight="1" x14ac:dyDescent="0.35">
      <c r="A779" s="120"/>
      <c r="B779" s="591" t="s">
        <v>473</v>
      </c>
      <c r="C779" s="23" t="s">
        <v>286</v>
      </c>
      <c r="D779" s="10" t="s">
        <v>37</v>
      </c>
      <c r="E779" s="10" t="s">
        <v>71</v>
      </c>
      <c r="F779" s="696" t="s">
        <v>65</v>
      </c>
      <c r="G779" s="697" t="s">
        <v>89</v>
      </c>
      <c r="H779" s="697" t="s">
        <v>52</v>
      </c>
      <c r="I779" s="698" t="s">
        <v>44</v>
      </c>
      <c r="J779" s="19"/>
      <c r="K779" s="220">
        <f t="shared" ref="K779:M780" si="98">K780</f>
        <v>44.2</v>
      </c>
      <c r="L779" s="220">
        <f t="shared" si="98"/>
        <v>0</v>
      </c>
      <c r="M779" s="220">
        <f t="shared" si="98"/>
        <v>44.2</v>
      </c>
    </row>
    <row r="780" spans="1:13" s="121" customFormat="1" ht="36" customHeight="1" x14ac:dyDescent="0.35">
      <c r="A780" s="120"/>
      <c r="B780" s="592" t="s">
        <v>127</v>
      </c>
      <c r="C780" s="23" t="s">
        <v>286</v>
      </c>
      <c r="D780" s="10" t="s">
        <v>37</v>
      </c>
      <c r="E780" s="10" t="s">
        <v>71</v>
      </c>
      <c r="F780" s="696" t="s">
        <v>65</v>
      </c>
      <c r="G780" s="697" t="s">
        <v>89</v>
      </c>
      <c r="H780" s="697" t="s">
        <v>52</v>
      </c>
      <c r="I780" s="698" t="s">
        <v>90</v>
      </c>
      <c r="J780" s="19"/>
      <c r="K780" s="220">
        <f t="shared" si="98"/>
        <v>44.2</v>
      </c>
      <c r="L780" s="220">
        <f t="shared" si="98"/>
        <v>0</v>
      </c>
      <c r="M780" s="220">
        <f t="shared" si="98"/>
        <v>44.2</v>
      </c>
    </row>
    <row r="781" spans="1:13" s="121" customFormat="1" ht="54" customHeight="1" x14ac:dyDescent="0.35">
      <c r="A781" s="120"/>
      <c r="B781" s="591" t="s">
        <v>55</v>
      </c>
      <c r="C781" s="23" t="s">
        <v>286</v>
      </c>
      <c r="D781" s="10" t="s">
        <v>37</v>
      </c>
      <c r="E781" s="10" t="s">
        <v>71</v>
      </c>
      <c r="F781" s="696" t="s">
        <v>65</v>
      </c>
      <c r="G781" s="697" t="s">
        <v>89</v>
      </c>
      <c r="H781" s="697" t="s">
        <v>52</v>
      </c>
      <c r="I781" s="698" t="s">
        <v>90</v>
      </c>
      <c r="J781" s="28" t="s">
        <v>56</v>
      </c>
      <c r="K781" s="220">
        <v>44.2</v>
      </c>
      <c r="L781" s="24">
        <f>M781-K781</f>
        <v>0</v>
      </c>
      <c r="M781" s="220">
        <v>44.2</v>
      </c>
    </row>
    <row r="782" spans="1:13" s="7" customFormat="1" ht="18" customHeight="1" x14ac:dyDescent="0.35">
      <c r="A782" s="120"/>
      <c r="B782" s="518" t="s">
        <v>179</v>
      </c>
      <c r="C782" s="23" t="s">
        <v>286</v>
      </c>
      <c r="D782" s="10" t="s">
        <v>224</v>
      </c>
      <c r="E782" s="10"/>
      <c r="F782" s="696"/>
      <c r="G782" s="697"/>
      <c r="H782" s="697"/>
      <c r="I782" s="698"/>
      <c r="J782" s="10"/>
      <c r="K782" s="24">
        <f>K783+K793</f>
        <v>8931.67</v>
      </c>
      <c r="L782" s="24">
        <f>L783+L793</f>
        <v>494.09999999999991</v>
      </c>
      <c r="M782" s="24">
        <f>M783+M793</f>
        <v>9425.77</v>
      </c>
    </row>
    <row r="783" spans="1:13" s="121" customFormat="1" ht="18" customHeight="1" x14ac:dyDescent="0.35">
      <c r="A783" s="120"/>
      <c r="B783" s="518" t="s">
        <v>350</v>
      </c>
      <c r="C783" s="23" t="s">
        <v>286</v>
      </c>
      <c r="D783" s="10" t="s">
        <v>224</v>
      </c>
      <c r="E783" s="10" t="s">
        <v>224</v>
      </c>
      <c r="F783" s="696"/>
      <c r="G783" s="697"/>
      <c r="H783" s="697"/>
      <c r="I783" s="698"/>
      <c r="J783" s="10"/>
      <c r="K783" s="24">
        <f t="shared" ref="K783:M785" si="99">K784</f>
        <v>5322.87</v>
      </c>
      <c r="L783" s="24">
        <f t="shared" si="99"/>
        <v>494.09999999999991</v>
      </c>
      <c r="M783" s="24">
        <f t="shared" si="99"/>
        <v>5816.9699999999993</v>
      </c>
    </row>
    <row r="784" spans="1:13" s="121" customFormat="1" ht="54" customHeight="1" x14ac:dyDescent="0.35">
      <c r="A784" s="120"/>
      <c r="B784" s="518" t="s">
        <v>221</v>
      </c>
      <c r="C784" s="23" t="s">
        <v>286</v>
      </c>
      <c r="D784" s="10" t="s">
        <v>224</v>
      </c>
      <c r="E784" s="10" t="s">
        <v>224</v>
      </c>
      <c r="F784" s="696" t="s">
        <v>65</v>
      </c>
      <c r="G784" s="697" t="s">
        <v>42</v>
      </c>
      <c r="H784" s="697" t="s">
        <v>43</v>
      </c>
      <c r="I784" s="698" t="s">
        <v>44</v>
      </c>
      <c r="J784" s="10"/>
      <c r="K784" s="24">
        <f t="shared" si="99"/>
        <v>5322.87</v>
      </c>
      <c r="L784" s="24">
        <f t="shared" si="99"/>
        <v>494.09999999999991</v>
      </c>
      <c r="M784" s="24">
        <f t="shared" si="99"/>
        <v>5816.9699999999993</v>
      </c>
    </row>
    <row r="785" spans="1:14" s="121" customFormat="1" ht="18" customHeight="1" x14ac:dyDescent="0.35">
      <c r="A785" s="120"/>
      <c r="B785" s="518" t="s">
        <v>222</v>
      </c>
      <c r="C785" s="23" t="s">
        <v>286</v>
      </c>
      <c r="D785" s="10" t="s">
        <v>224</v>
      </c>
      <c r="E785" s="10" t="s">
        <v>224</v>
      </c>
      <c r="F785" s="696" t="s">
        <v>65</v>
      </c>
      <c r="G785" s="697" t="s">
        <v>45</v>
      </c>
      <c r="H785" s="697" t="s">
        <v>43</v>
      </c>
      <c r="I785" s="698" t="s">
        <v>44</v>
      </c>
      <c r="J785" s="10"/>
      <c r="K785" s="24">
        <f t="shared" si="99"/>
        <v>5322.87</v>
      </c>
      <c r="L785" s="24">
        <f t="shared" si="99"/>
        <v>494.09999999999991</v>
      </c>
      <c r="M785" s="24">
        <f t="shared" si="99"/>
        <v>5816.9699999999993</v>
      </c>
    </row>
    <row r="786" spans="1:14" s="121" customFormat="1" ht="84" customHeight="1" x14ac:dyDescent="0.35">
      <c r="A786" s="120"/>
      <c r="B786" s="518" t="s">
        <v>287</v>
      </c>
      <c r="C786" s="23" t="s">
        <v>286</v>
      </c>
      <c r="D786" s="10" t="s">
        <v>224</v>
      </c>
      <c r="E786" s="10" t="s">
        <v>224</v>
      </c>
      <c r="F786" s="696" t="s">
        <v>65</v>
      </c>
      <c r="G786" s="697" t="s">
        <v>45</v>
      </c>
      <c r="H786" s="697" t="s">
        <v>37</v>
      </c>
      <c r="I786" s="698" t="s">
        <v>44</v>
      </c>
      <c r="J786" s="10"/>
      <c r="K786" s="24">
        <f>K787+K791</f>
        <v>5322.87</v>
      </c>
      <c r="L786" s="24">
        <f>L787+L791</f>
        <v>494.09999999999991</v>
      </c>
      <c r="M786" s="24">
        <f>M787+M791</f>
        <v>5816.9699999999993</v>
      </c>
    </row>
    <row r="787" spans="1:14" s="121" customFormat="1" ht="51" customHeight="1" x14ac:dyDescent="0.35">
      <c r="A787" s="120"/>
      <c r="B787" s="551" t="s">
        <v>466</v>
      </c>
      <c r="C787" s="23" t="s">
        <v>286</v>
      </c>
      <c r="D787" s="10" t="s">
        <v>224</v>
      </c>
      <c r="E787" s="10" t="s">
        <v>224</v>
      </c>
      <c r="F787" s="696" t="s">
        <v>65</v>
      </c>
      <c r="G787" s="697" t="s">
        <v>45</v>
      </c>
      <c r="H787" s="697" t="s">
        <v>37</v>
      </c>
      <c r="I787" s="698" t="s">
        <v>91</v>
      </c>
      <c r="J787" s="10"/>
      <c r="K787" s="24">
        <f>K788+K789+K790</f>
        <v>4263.7</v>
      </c>
      <c r="L787" s="24">
        <f>L788+L789+L790</f>
        <v>0</v>
      </c>
      <c r="M787" s="24">
        <f>M788+M789+M790</f>
        <v>4263.7</v>
      </c>
    </row>
    <row r="788" spans="1:14" s="121" customFormat="1" ht="108" customHeight="1" x14ac:dyDescent="0.35">
      <c r="A788" s="11"/>
      <c r="B788" s="518" t="s">
        <v>49</v>
      </c>
      <c r="C788" s="23" t="s">
        <v>286</v>
      </c>
      <c r="D788" s="10" t="s">
        <v>224</v>
      </c>
      <c r="E788" s="10" t="s">
        <v>224</v>
      </c>
      <c r="F788" s="696" t="s">
        <v>65</v>
      </c>
      <c r="G788" s="697" t="s">
        <v>45</v>
      </c>
      <c r="H788" s="697" t="s">
        <v>37</v>
      </c>
      <c r="I788" s="698" t="s">
        <v>91</v>
      </c>
      <c r="J788" s="10" t="s">
        <v>50</v>
      </c>
      <c r="K788" s="24">
        <f>3408.1+469.2</f>
        <v>3877.2999999999997</v>
      </c>
      <c r="L788" s="24">
        <f>M788-K788</f>
        <v>0</v>
      </c>
      <c r="M788" s="24">
        <f>3408.1+469.2</f>
        <v>3877.2999999999997</v>
      </c>
    </row>
    <row r="789" spans="1:14" s="7" customFormat="1" ht="54" customHeight="1" x14ac:dyDescent="0.35">
      <c r="A789" s="11"/>
      <c r="B789" s="518" t="s">
        <v>55</v>
      </c>
      <c r="C789" s="23" t="s">
        <v>286</v>
      </c>
      <c r="D789" s="10" t="s">
        <v>224</v>
      </c>
      <c r="E789" s="10" t="s">
        <v>224</v>
      </c>
      <c r="F789" s="696" t="s">
        <v>65</v>
      </c>
      <c r="G789" s="697" t="s">
        <v>45</v>
      </c>
      <c r="H789" s="697" t="s">
        <v>37</v>
      </c>
      <c r="I789" s="698" t="s">
        <v>91</v>
      </c>
      <c r="J789" s="10" t="s">
        <v>56</v>
      </c>
      <c r="K789" s="24">
        <f>324.3-40+59.4</f>
        <v>343.7</v>
      </c>
      <c r="L789" s="24">
        <f>M789-K789</f>
        <v>0</v>
      </c>
      <c r="M789" s="24">
        <f>324.3-40+59.4</f>
        <v>343.7</v>
      </c>
    </row>
    <row r="790" spans="1:14" s="7" customFormat="1" ht="18" customHeight="1" x14ac:dyDescent="0.35">
      <c r="A790" s="11"/>
      <c r="B790" s="518" t="s">
        <v>57</v>
      </c>
      <c r="C790" s="23" t="s">
        <v>286</v>
      </c>
      <c r="D790" s="10" t="s">
        <v>224</v>
      </c>
      <c r="E790" s="10" t="s">
        <v>224</v>
      </c>
      <c r="F790" s="696" t="s">
        <v>65</v>
      </c>
      <c r="G790" s="697" t="s">
        <v>45</v>
      </c>
      <c r="H790" s="697" t="s">
        <v>37</v>
      </c>
      <c r="I790" s="698" t="s">
        <v>91</v>
      </c>
      <c r="J790" s="10" t="s">
        <v>58</v>
      </c>
      <c r="K790" s="24">
        <f>2.7+40</f>
        <v>42.7</v>
      </c>
      <c r="L790" s="24">
        <f>M790-K790</f>
        <v>0</v>
      </c>
      <c r="M790" s="24">
        <f>2.7+40</f>
        <v>42.7</v>
      </c>
    </row>
    <row r="791" spans="1:14" s="7" customFormat="1" ht="36" customHeight="1" x14ac:dyDescent="0.35">
      <c r="A791" s="11"/>
      <c r="B791" s="518" t="s">
        <v>288</v>
      </c>
      <c r="C791" s="23" t="s">
        <v>286</v>
      </c>
      <c r="D791" s="10" t="s">
        <v>224</v>
      </c>
      <c r="E791" s="10" t="s">
        <v>224</v>
      </c>
      <c r="F791" s="696" t="s">
        <v>65</v>
      </c>
      <c r="G791" s="697" t="s">
        <v>45</v>
      </c>
      <c r="H791" s="697" t="s">
        <v>37</v>
      </c>
      <c r="I791" s="698" t="s">
        <v>289</v>
      </c>
      <c r="J791" s="10"/>
      <c r="K791" s="24">
        <f>K792</f>
        <v>1059.17</v>
      </c>
      <c r="L791" s="24">
        <f>L792</f>
        <v>494.09999999999991</v>
      </c>
      <c r="M791" s="24">
        <f>M792</f>
        <v>1553.27</v>
      </c>
    </row>
    <row r="792" spans="1:14" s="7" customFormat="1" ht="54" customHeight="1" x14ac:dyDescent="0.35">
      <c r="A792" s="11"/>
      <c r="B792" s="518" t="s">
        <v>55</v>
      </c>
      <c r="C792" s="23" t="s">
        <v>286</v>
      </c>
      <c r="D792" s="10" t="s">
        <v>224</v>
      </c>
      <c r="E792" s="10" t="s">
        <v>224</v>
      </c>
      <c r="F792" s="696" t="s">
        <v>65</v>
      </c>
      <c r="G792" s="697" t="s">
        <v>45</v>
      </c>
      <c r="H792" s="697" t="s">
        <v>37</v>
      </c>
      <c r="I792" s="698" t="s">
        <v>289</v>
      </c>
      <c r="J792" s="10" t="s">
        <v>56</v>
      </c>
      <c r="K792" s="24">
        <f>452.7+405.5+200.97</f>
        <v>1059.17</v>
      </c>
      <c r="L792" s="24">
        <f>M792-K792</f>
        <v>494.09999999999991</v>
      </c>
      <c r="M792" s="24">
        <f>452.7+405.5+200.97+494.1</f>
        <v>1553.27</v>
      </c>
    </row>
    <row r="793" spans="1:14" s="7" customFormat="1" ht="18" customHeight="1" x14ac:dyDescent="0.35">
      <c r="A793" s="11"/>
      <c r="B793" s="518" t="s">
        <v>186</v>
      </c>
      <c r="C793" s="153" t="s">
        <v>286</v>
      </c>
      <c r="D793" s="10" t="s">
        <v>224</v>
      </c>
      <c r="E793" s="10" t="s">
        <v>79</v>
      </c>
      <c r="F793" s="696"/>
      <c r="G793" s="697"/>
      <c r="H793" s="697"/>
      <c r="I793" s="698"/>
      <c r="J793" s="10"/>
      <c r="K793" s="24">
        <f t="shared" ref="K793:M795" si="100">K794</f>
        <v>3608.8</v>
      </c>
      <c r="L793" s="24">
        <f t="shared" si="100"/>
        <v>0</v>
      </c>
      <c r="M793" s="24">
        <f t="shared" si="100"/>
        <v>3608.8</v>
      </c>
      <c r="N793" s="162"/>
    </row>
    <row r="794" spans="1:14" s="7" customFormat="1" ht="54" customHeight="1" x14ac:dyDescent="0.35">
      <c r="A794" s="11"/>
      <c r="B794" s="518" t="s">
        <v>221</v>
      </c>
      <c r="C794" s="153" t="s">
        <v>286</v>
      </c>
      <c r="D794" s="10" t="s">
        <v>224</v>
      </c>
      <c r="E794" s="10" t="s">
        <v>79</v>
      </c>
      <c r="F794" s="696" t="s">
        <v>65</v>
      </c>
      <c r="G794" s="697" t="s">
        <v>42</v>
      </c>
      <c r="H794" s="697" t="s">
        <v>43</v>
      </c>
      <c r="I794" s="698" t="s">
        <v>44</v>
      </c>
      <c r="J794" s="10"/>
      <c r="K794" s="24">
        <f t="shared" si="100"/>
        <v>3608.8</v>
      </c>
      <c r="L794" s="24">
        <f t="shared" si="100"/>
        <v>0</v>
      </c>
      <c r="M794" s="24">
        <f t="shared" si="100"/>
        <v>3608.8</v>
      </c>
      <c r="N794" s="162"/>
    </row>
    <row r="795" spans="1:14" s="7" customFormat="1" ht="36" customHeight="1" x14ac:dyDescent="0.35">
      <c r="A795" s="11"/>
      <c r="B795" s="518" t="s">
        <v>220</v>
      </c>
      <c r="C795" s="23" t="s">
        <v>286</v>
      </c>
      <c r="D795" s="10" t="s">
        <v>224</v>
      </c>
      <c r="E795" s="10" t="s">
        <v>79</v>
      </c>
      <c r="F795" s="696" t="s">
        <v>65</v>
      </c>
      <c r="G795" s="697" t="s">
        <v>89</v>
      </c>
      <c r="H795" s="697" t="s">
        <v>43</v>
      </c>
      <c r="I795" s="698" t="s">
        <v>44</v>
      </c>
      <c r="J795" s="10"/>
      <c r="K795" s="24">
        <f t="shared" si="100"/>
        <v>3608.8</v>
      </c>
      <c r="L795" s="24">
        <f t="shared" si="100"/>
        <v>0</v>
      </c>
      <c r="M795" s="24">
        <f t="shared" si="100"/>
        <v>3608.8</v>
      </c>
    </row>
    <row r="796" spans="1:14" s="121" customFormat="1" ht="36" customHeight="1" x14ac:dyDescent="0.35">
      <c r="A796" s="11"/>
      <c r="B796" s="518" t="s">
        <v>282</v>
      </c>
      <c r="C796" s="23" t="s">
        <v>286</v>
      </c>
      <c r="D796" s="10" t="s">
        <v>224</v>
      </c>
      <c r="E796" s="10" t="s">
        <v>79</v>
      </c>
      <c r="F796" s="696" t="s">
        <v>65</v>
      </c>
      <c r="G796" s="697" t="s">
        <v>89</v>
      </c>
      <c r="H796" s="697" t="s">
        <v>37</v>
      </c>
      <c r="I796" s="698" t="s">
        <v>44</v>
      </c>
      <c r="J796" s="10"/>
      <c r="K796" s="24">
        <f>K797</f>
        <v>3608.8</v>
      </c>
      <c r="L796" s="24">
        <f>L797</f>
        <v>0</v>
      </c>
      <c r="M796" s="24">
        <f>M797</f>
        <v>3608.8</v>
      </c>
    </row>
    <row r="797" spans="1:14" s="7" customFormat="1" ht="36" customHeight="1" x14ac:dyDescent="0.35">
      <c r="A797" s="11"/>
      <c r="B797" s="518" t="s">
        <v>47</v>
      </c>
      <c r="C797" s="23" t="s">
        <v>286</v>
      </c>
      <c r="D797" s="10" t="s">
        <v>224</v>
      </c>
      <c r="E797" s="10" t="s">
        <v>79</v>
      </c>
      <c r="F797" s="696" t="s">
        <v>65</v>
      </c>
      <c r="G797" s="697" t="s">
        <v>89</v>
      </c>
      <c r="H797" s="697" t="s">
        <v>37</v>
      </c>
      <c r="I797" s="698" t="s">
        <v>48</v>
      </c>
      <c r="J797" s="10"/>
      <c r="K797" s="24">
        <f>K798+K799+K800</f>
        <v>3608.8</v>
      </c>
      <c r="L797" s="24">
        <f>L798+L799+L800</f>
        <v>0</v>
      </c>
      <c r="M797" s="24">
        <f>M798+M799+M800</f>
        <v>3608.8</v>
      </c>
    </row>
    <row r="798" spans="1:14" s="7" customFormat="1" ht="108" customHeight="1" x14ac:dyDescent="0.35">
      <c r="A798" s="11"/>
      <c r="B798" s="518" t="s">
        <v>49</v>
      </c>
      <c r="C798" s="23" t="s">
        <v>286</v>
      </c>
      <c r="D798" s="10" t="s">
        <v>224</v>
      </c>
      <c r="E798" s="10" t="s">
        <v>79</v>
      </c>
      <c r="F798" s="696" t="s">
        <v>65</v>
      </c>
      <c r="G798" s="697" t="s">
        <v>89</v>
      </c>
      <c r="H798" s="697" t="s">
        <v>37</v>
      </c>
      <c r="I798" s="698" t="s">
        <v>48</v>
      </c>
      <c r="J798" s="10" t="s">
        <v>50</v>
      </c>
      <c r="K798" s="24">
        <f>3167.4+55.4</f>
        <v>3222.8</v>
      </c>
      <c r="L798" s="24">
        <f>M798-K798</f>
        <v>0</v>
      </c>
      <c r="M798" s="24">
        <f>3167.4+55.4</f>
        <v>3222.8</v>
      </c>
      <c r="N798" s="162"/>
    </row>
    <row r="799" spans="1:14" s="7" customFormat="1" ht="54" customHeight="1" x14ac:dyDescent="0.35">
      <c r="A799" s="11"/>
      <c r="B799" s="518" t="s">
        <v>55</v>
      </c>
      <c r="C799" s="153" t="s">
        <v>286</v>
      </c>
      <c r="D799" s="100" t="s">
        <v>224</v>
      </c>
      <c r="E799" s="100" t="s">
        <v>79</v>
      </c>
      <c r="F799" s="696" t="s">
        <v>65</v>
      </c>
      <c r="G799" s="697" t="s">
        <v>89</v>
      </c>
      <c r="H799" s="697" t="s">
        <v>37</v>
      </c>
      <c r="I799" s="698" t="s">
        <v>48</v>
      </c>
      <c r="J799" s="10" t="s">
        <v>56</v>
      </c>
      <c r="K799" s="24">
        <f>355.2+29.5</f>
        <v>384.7</v>
      </c>
      <c r="L799" s="24">
        <f>M799-K799</f>
        <v>0</v>
      </c>
      <c r="M799" s="24">
        <f>355.2+29.5</f>
        <v>384.7</v>
      </c>
    </row>
    <row r="800" spans="1:14" s="7" customFormat="1" ht="18" customHeight="1" x14ac:dyDescent="0.35">
      <c r="A800" s="11"/>
      <c r="B800" s="518" t="s">
        <v>57</v>
      </c>
      <c r="C800" s="153" t="s">
        <v>286</v>
      </c>
      <c r="D800" s="100" t="s">
        <v>224</v>
      </c>
      <c r="E800" s="100" t="s">
        <v>79</v>
      </c>
      <c r="F800" s="696" t="s">
        <v>65</v>
      </c>
      <c r="G800" s="697" t="s">
        <v>89</v>
      </c>
      <c r="H800" s="697" t="s">
        <v>37</v>
      </c>
      <c r="I800" s="698" t="s">
        <v>48</v>
      </c>
      <c r="J800" s="10" t="s">
        <v>58</v>
      </c>
      <c r="K800" s="24">
        <v>1.3</v>
      </c>
      <c r="L800" s="24">
        <f>M800-K800</f>
        <v>0</v>
      </c>
      <c r="M800" s="24">
        <v>1.3</v>
      </c>
      <c r="N800" s="162"/>
    </row>
    <row r="801" spans="1:14" s="7" customFormat="1" ht="18" customHeight="1" x14ac:dyDescent="0.35">
      <c r="A801" s="11"/>
      <c r="B801" s="518"/>
      <c r="C801" s="153"/>
      <c r="D801" s="100"/>
      <c r="E801" s="100"/>
      <c r="F801" s="696"/>
      <c r="G801" s="697"/>
      <c r="H801" s="697"/>
      <c r="I801" s="698"/>
      <c r="J801" s="10"/>
      <c r="K801" s="24"/>
      <c r="L801" s="24"/>
      <c r="M801" s="24"/>
      <c r="N801" s="162"/>
    </row>
    <row r="802" spans="1:14" s="121" customFormat="1" ht="52.2" customHeight="1" x14ac:dyDescent="0.3">
      <c r="A802" s="120">
        <v>9</v>
      </c>
      <c r="B802" s="565" t="s">
        <v>12</v>
      </c>
      <c r="C802" s="18" t="s">
        <v>294</v>
      </c>
      <c r="D802" s="19"/>
      <c r="E802" s="19"/>
      <c r="F802" s="20"/>
      <c r="G802" s="21"/>
      <c r="H802" s="21"/>
      <c r="I802" s="22"/>
      <c r="J802" s="19"/>
      <c r="K802" s="32">
        <f>K803</f>
        <v>71151.7</v>
      </c>
      <c r="L802" s="32">
        <f>L803</f>
        <v>0</v>
      </c>
      <c r="M802" s="32">
        <f>M803</f>
        <v>71151.7</v>
      </c>
    </row>
    <row r="803" spans="1:14" s="7" customFormat="1" ht="18" customHeight="1" x14ac:dyDescent="0.35">
      <c r="A803" s="11"/>
      <c r="B803" s="568" t="s">
        <v>119</v>
      </c>
      <c r="C803" s="23" t="s">
        <v>294</v>
      </c>
      <c r="D803" s="10" t="s">
        <v>104</v>
      </c>
      <c r="E803" s="10"/>
      <c r="F803" s="696"/>
      <c r="G803" s="697"/>
      <c r="H803" s="697"/>
      <c r="I803" s="698"/>
      <c r="J803" s="10"/>
      <c r="K803" s="24">
        <f>K804+K823</f>
        <v>71151.7</v>
      </c>
      <c r="L803" s="24">
        <f>L804+L823</f>
        <v>0</v>
      </c>
      <c r="M803" s="24">
        <f>M804+M823</f>
        <v>71151.7</v>
      </c>
    </row>
    <row r="804" spans="1:14" s="7" customFormat="1" ht="18" customHeight="1" x14ac:dyDescent="0.35">
      <c r="A804" s="11"/>
      <c r="B804" s="518" t="s">
        <v>193</v>
      </c>
      <c r="C804" s="23" t="s">
        <v>294</v>
      </c>
      <c r="D804" s="10" t="s">
        <v>104</v>
      </c>
      <c r="E804" s="10" t="s">
        <v>52</v>
      </c>
      <c r="F804" s="696"/>
      <c r="G804" s="697"/>
      <c r="H804" s="697"/>
      <c r="I804" s="698"/>
      <c r="J804" s="10"/>
      <c r="K804" s="24">
        <f t="shared" ref="K804:M805" si="101">K805</f>
        <v>62448.7</v>
      </c>
      <c r="L804" s="24">
        <f t="shared" si="101"/>
        <v>0</v>
      </c>
      <c r="M804" s="24">
        <f t="shared" si="101"/>
        <v>62448.7</v>
      </c>
    </row>
    <row r="805" spans="1:14" s="7" customFormat="1" ht="54" customHeight="1" x14ac:dyDescent="0.35">
      <c r="A805" s="11"/>
      <c r="B805" s="525" t="s">
        <v>230</v>
      </c>
      <c r="C805" s="23" t="s">
        <v>294</v>
      </c>
      <c r="D805" s="10" t="s">
        <v>104</v>
      </c>
      <c r="E805" s="10" t="s">
        <v>52</v>
      </c>
      <c r="F805" s="696" t="s">
        <v>79</v>
      </c>
      <c r="G805" s="697" t="s">
        <v>42</v>
      </c>
      <c r="H805" s="697" t="s">
        <v>43</v>
      </c>
      <c r="I805" s="698" t="s">
        <v>44</v>
      </c>
      <c r="J805" s="10"/>
      <c r="K805" s="24">
        <f t="shared" si="101"/>
        <v>62448.7</v>
      </c>
      <c r="L805" s="24">
        <f t="shared" si="101"/>
        <v>0</v>
      </c>
      <c r="M805" s="24">
        <f t="shared" si="101"/>
        <v>62448.7</v>
      </c>
    </row>
    <row r="806" spans="1:14" s="7" customFormat="1" ht="36" customHeight="1" x14ac:dyDescent="0.35">
      <c r="A806" s="11"/>
      <c r="B806" s="518" t="s">
        <v>339</v>
      </c>
      <c r="C806" s="23" t="s">
        <v>294</v>
      </c>
      <c r="D806" s="10" t="s">
        <v>104</v>
      </c>
      <c r="E806" s="10" t="s">
        <v>52</v>
      </c>
      <c r="F806" s="696" t="s">
        <v>79</v>
      </c>
      <c r="G806" s="697" t="s">
        <v>45</v>
      </c>
      <c r="H806" s="697" t="s">
        <v>43</v>
      </c>
      <c r="I806" s="698" t="s">
        <v>44</v>
      </c>
      <c r="J806" s="10"/>
      <c r="K806" s="24">
        <f>K807+K820</f>
        <v>62448.7</v>
      </c>
      <c r="L806" s="24">
        <f>L807+L820</f>
        <v>0</v>
      </c>
      <c r="M806" s="24">
        <f>M807+M820</f>
        <v>62448.7</v>
      </c>
    </row>
    <row r="807" spans="1:14" s="121" customFormat="1" ht="36" customHeight="1" x14ac:dyDescent="0.35">
      <c r="A807" s="11"/>
      <c r="B807" s="518" t="s">
        <v>285</v>
      </c>
      <c r="C807" s="23" t="s">
        <v>294</v>
      </c>
      <c r="D807" s="10" t="s">
        <v>104</v>
      </c>
      <c r="E807" s="10" t="s">
        <v>52</v>
      </c>
      <c r="F807" s="696" t="s">
        <v>79</v>
      </c>
      <c r="G807" s="697" t="s">
        <v>45</v>
      </c>
      <c r="H807" s="697" t="s">
        <v>37</v>
      </c>
      <c r="I807" s="698" t="s">
        <v>44</v>
      </c>
      <c r="J807" s="10"/>
      <c r="K807" s="24">
        <f>K808+K811+K814+K817</f>
        <v>62443.5</v>
      </c>
      <c r="L807" s="24">
        <f>L808+L811+L814+L817</f>
        <v>0</v>
      </c>
      <c r="M807" s="24">
        <f>M808+M811+M814+M817</f>
        <v>62443.5</v>
      </c>
    </row>
    <row r="808" spans="1:14" s="121" customFormat="1" ht="158.25" customHeight="1" x14ac:dyDescent="0.35">
      <c r="A808" s="11"/>
      <c r="B808" s="593" t="s">
        <v>357</v>
      </c>
      <c r="C808" s="23" t="s">
        <v>294</v>
      </c>
      <c r="D808" s="10" t="s">
        <v>104</v>
      </c>
      <c r="E808" s="10" t="s">
        <v>52</v>
      </c>
      <c r="F808" s="696" t="s">
        <v>79</v>
      </c>
      <c r="G808" s="697" t="s">
        <v>45</v>
      </c>
      <c r="H808" s="697" t="s">
        <v>37</v>
      </c>
      <c r="I808" s="698" t="s">
        <v>544</v>
      </c>
      <c r="J808" s="10"/>
      <c r="K808" s="24">
        <f>SUM(K809:K810)</f>
        <v>35725.5</v>
      </c>
      <c r="L808" s="24">
        <f>SUM(L809:L810)</f>
        <v>0</v>
      </c>
      <c r="M808" s="24">
        <f>SUM(M809:M810)</f>
        <v>35725.5</v>
      </c>
    </row>
    <row r="809" spans="1:14" s="121" customFormat="1" ht="54" customHeight="1" x14ac:dyDescent="0.35">
      <c r="A809" s="11"/>
      <c r="B809" s="518" t="s">
        <v>55</v>
      </c>
      <c r="C809" s="23" t="s">
        <v>294</v>
      </c>
      <c r="D809" s="10" t="s">
        <v>104</v>
      </c>
      <c r="E809" s="10" t="s">
        <v>52</v>
      </c>
      <c r="F809" s="696" t="s">
        <v>79</v>
      </c>
      <c r="G809" s="697" t="s">
        <v>45</v>
      </c>
      <c r="H809" s="697" t="s">
        <v>37</v>
      </c>
      <c r="I809" s="698" t="s">
        <v>544</v>
      </c>
      <c r="J809" s="10" t="s">
        <v>56</v>
      </c>
      <c r="K809" s="24">
        <v>178.6</v>
      </c>
      <c r="L809" s="24">
        <f>M809-K809</f>
        <v>0</v>
      </c>
      <c r="M809" s="24">
        <v>178.6</v>
      </c>
    </row>
    <row r="810" spans="1:14" s="121" customFormat="1" ht="36" customHeight="1" x14ac:dyDescent="0.35">
      <c r="A810" s="11"/>
      <c r="B810" s="518" t="s">
        <v>120</v>
      </c>
      <c r="C810" s="23" t="s">
        <v>294</v>
      </c>
      <c r="D810" s="10" t="s">
        <v>104</v>
      </c>
      <c r="E810" s="10" t="s">
        <v>52</v>
      </c>
      <c r="F810" s="696" t="s">
        <v>79</v>
      </c>
      <c r="G810" s="697" t="s">
        <v>45</v>
      </c>
      <c r="H810" s="697" t="s">
        <v>37</v>
      </c>
      <c r="I810" s="698" t="s">
        <v>544</v>
      </c>
      <c r="J810" s="10" t="s">
        <v>121</v>
      </c>
      <c r="K810" s="24">
        <v>35546.9</v>
      </c>
      <c r="L810" s="24">
        <f>M810-K810</f>
        <v>0</v>
      </c>
      <c r="M810" s="24">
        <v>35546.9</v>
      </c>
    </row>
    <row r="811" spans="1:14" s="121" customFormat="1" ht="90" customHeight="1" x14ac:dyDescent="0.35">
      <c r="A811" s="11"/>
      <c r="B811" s="518" t="s">
        <v>359</v>
      </c>
      <c r="C811" s="23" t="s">
        <v>294</v>
      </c>
      <c r="D811" s="10" t="s">
        <v>104</v>
      </c>
      <c r="E811" s="10" t="s">
        <v>52</v>
      </c>
      <c r="F811" s="696" t="s">
        <v>79</v>
      </c>
      <c r="G811" s="697" t="s">
        <v>45</v>
      </c>
      <c r="H811" s="697" t="s">
        <v>37</v>
      </c>
      <c r="I811" s="698" t="s">
        <v>546</v>
      </c>
      <c r="J811" s="10"/>
      <c r="K811" s="24">
        <f>SUM(K812:K813)</f>
        <v>361.2</v>
      </c>
      <c r="L811" s="24">
        <f>SUM(L812:L813)</f>
        <v>0</v>
      </c>
      <c r="M811" s="24">
        <f>SUM(M812:M813)</f>
        <v>361.2</v>
      </c>
    </row>
    <row r="812" spans="1:14" s="121" customFormat="1" ht="54" customHeight="1" x14ac:dyDescent="0.35">
      <c r="A812" s="11"/>
      <c r="B812" s="518" t="s">
        <v>55</v>
      </c>
      <c r="C812" s="23" t="s">
        <v>294</v>
      </c>
      <c r="D812" s="10" t="s">
        <v>104</v>
      </c>
      <c r="E812" s="10" t="s">
        <v>52</v>
      </c>
      <c r="F812" s="696" t="s">
        <v>79</v>
      </c>
      <c r="G812" s="697" t="s">
        <v>45</v>
      </c>
      <c r="H812" s="697" t="s">
        <v>37</v>
      </c>
      <c r="I812" s="698" t="s">
        <v>546</v>
      </c>
      <c r="J812" s="10" t="s">
        <v>56</v>
      </c>
      <c r="K812" s="24">
        <v>1.8</v>
      </c>
      <c r="L812" s="24">
        <f>M812-K812</f>
        <v>0</v>
      </c>
      <c r="M812" s="24">
        <v>1.8</v>
      </c>
    </row>
    <row r="813" spans="1:14" s="121" customFormat="1" ht="36" customHeight="1" x14ac:dyDescent="0.35">
      <c r="A813" s="11"/>
      <c r="B813" s="518" t="s">
        <v>120</v>
      </c>
      <c r="C813" s="23" t="s">
        <v>294</v>
      </c>
      <c r="D813" s="10" t="s">
        <v>104</v>
      </c>
      <c r="E813" s="10" t="s">
        <v>52</v>
      </c>
      <c r="F813" s="696" t="s">
        <v>79</v>
      </c>
      <c r="G813" s="697" t="s">
        <v>45</v>
      </c>
      <c r="H813" s="697" t="s">
        <v>37</v>
      </c>
      <c r="I813" s="698" t="s">
        <v>546</v>
      </c>
      <c r="J813" s="10" t="s">
        <v>121</v>
      </c>
      <c r="K813" s="24">
        <v>359.4</v>
      </c>
      <c r="L813" s="24">
        <f>M813-K813</f>
        <v>0</v>
      </c>
      <c r="M813" s="24">
        <v>359.4</v>
      </c>
    </row>
    <row r="814" spans="1:14" s="121" customFormat="1" ht="90" customHeight="1" x14ac:dyDescent="0.35">
      <c r="A814" s="11"/>
      <c r="B814" s="518" t="s">
        <v>358</v>
      </c>
      <c r="C814" s="23" t="s">
        <v>294</v>
      </c>
      <c r="D814" s="10" t="s">
        <v>104</v>
      </c>
      <c r="E814" s="10" t="s">
        <v>52</v>
      </c>
      <c r="F814" s="696" t="s">
        <v>79</v>
      </c>
      <c r="G814" s="697" t="s">
        <v>45</v>
      </c>
      <c r="H814" s="697" t="s">
        <v>37</v>
      </c>
      <c r="I814" s="698" t="s">
        <v>545</v>
      </c>
      <c r="J814" s="10"/>
      <c r="K814" s="24">
        <f>SUM(K815:K816)</f>
        <v>26010</v>
      </c>
      <c r="L814" s="24">
        <f>SUM(L815:L816)</f>
        <v>0</v>
      </c>
      <c r="M814" s="24">
        <f>SUM(M815:M816)</f>
        <v>26010</v>
      </c>
    </row>
    <row r="815" spans="1:14" s="121" customFormat="1" ht="54" customHeight="1" x14ac:dyDescent="0.35">
      <c r="A815" s="11"/>
      <c r="B815" s="518" t="s">
        <v>55</v>
      </c>
      <c r="C815" s="23" t="s">
        <v>294</v>
      </c>
      <c r="D815" s="10" t="s">
        <v>104</v>
      </c>
      <c r="E815" s="10" t="s">
        <v>52</v>
      </c>
      <c r="F815" s="696" t="s">
        <v>79</v>
      </c>
      <c r="G815" s="697" t="s">
        <v>45</v>
      </c>
      <c r="H815" s="697" t="s">
        <v>37</v>
      </c>
      <c r="I815" s="698" t="s">
        <v>545</v>
      </c>
      <c r="J815" s="10" t="s">
        <v>56</v>
      </c>
      <c r="K815" s="24">
        <v>130.1</v>
      </c>
      <c r="L815" s="24">
        <f>M815-K815</f>
        <v>0</v>
      </c>
      <c r="M815" s="24">
        <v>130.1</v>
      </c>
    </row>
    <row r="816" spans="1:14" s="121" customFormat="1" ht="36" customHeight="1" x14ac:dyDescent="0.35">
      <c r="A816" s="11"/>
      <c r="B816" s="518" t="s">
        <v>120</v>
      </c>
      <c r="C816" s="23" t="s">
        <v>294</v>
      </c>
      <c r="D816" s="10" t="s">
        <v>104</v>
      </c>
      <c r="E816" s="10" t="s">
        <v>52</v>
      </c>
      <c r="F816" s="696" t="s">
        <v>79</v>
      </c>
      <c r="G816" s="697" t="s">
        <v>45</v>
      </c>
      <c r="H816" s="697" t="s">
        <v>37</v>
      </c>
      <c r="I816" s="698" t="s">
        <v>545</v>
      </c>
      <c r="J816" s="10" t="s">
        <v>121</v>
      </c>
      <c r="K816" s="24">
        <v>25879.9</v>
      </c>
      <c r="L816" s="24">
        <f>M816-K816</f>
        <v>0</v>
      </c>
      <c r="M816" s="24">
        <v>25879.9</v>
      </c>
    </row>
    <row r="817" spans="1:13" s="121" customFormat="1" ht="108" customHeight="1" x14ac:dyDescent="0.35">
      <c r="A817" s="11"/>
      <c r="B817" s="518" t="s">
        <v>365</v>
      </c>
      <c r="C817" s="23" t="s">
        <v>294</v>
      </c>
      <c r="D817" s="10" t="s">
        <v>104</v>
      </c>
      <c r="E817" s="10" t="s">
        <v>52</v>
      </c>
      <c r="F817" s="696" t="s">
        <v>79</v>
      </c>
      <c r="G817" s="697" t="s">
        <v>45</v>
      </c>
      <c r="H817" s="697" t="s">
        <v>37</v>
      </c>
      <c r="I817" s="698" t="s">
        <v>547</v>
      </c>
      <c r="J817" s="10"/>
      <c r="K817" s="24">
        <f>SUM(K818:K819)</f>
        <v>346.8</v>
      </c>
      <c r="L817" s="24">
        <f>SUM(L818:L819)</f>
        <v>0</v>
      </c>
      <c r="M817" s="24">
        <f>SUM(M818:M819)</f>
        <v>346.8</v>
      </c>
    </row>
    <row r="818" spans="1:13" s="121" customFormat="1" ht="54" customHeight="1" x14ac:dyDescent="0.35">
      <c r="A818" s="11"/>
      <c r="B818" s="518" t="s">
        <v>55</v>
      </c>
      <c r="C818" s="23" t="s">
        <v>294</v>
      </c>
      <c r="D818" s="10" t="s">
        <v>104</v>
      </c>
      <c r="E818" s="10" t="s">
        <v>52</v>
      </c>
      <c r="F818" s="696" t="s">
        <v>79</v>
      </c>
      <c r="G818" s="697" t="s">
        <v>45</v>
      </c>
      <c r="H818" s="697" t="s">
        <v>37</v>
      </c>
      <c r="I818" s="698" t="s">
        <v>547</v>
      </c>
      <c r="J818" s="10" t="s">
        <v>56</v>
      </c>
      <c r="K818" s="24">
        <v>1.7</v>
      </c>
      <c r="L818" s="24">
        <f>M818-K818</f>
        <v>0</v>
      </c>
      <c r="M818" s="24">
        <v>1.7</v>
      </c>
    </row>
    <row r="819" spans="1:13" s="121" customFormat="1" ht="36" customHeight="1" x14ac:dyDescent="0.35">
      <c r="A819" s="11"/>
      <c r="B819" s="518" t="s">
        <v>120</v>
      </c>
      <c r="C819" s="23" t="s">
        <v>294</v>
      </c>
      <c r="D819" s="10" t="s">
        <v>104</v>
      </c>
      <c r="E819" s="10" t="s">
        <v>52</v>
      </c>
      <c r="F819" s="696" t="s">
        <v>79</v>
      </c>
      <c r="G819" s="697" t="s">
        <v>45</v>
      </c>
      <c r="H819" s="697" t="s">
        <v>37</v>
      </c>
      <c r="I819" s="698" t="s">
        <v>547</v>
      </c>
      <c r="J819" s="10" t="s">
        <v>121</v>
      </c>
      <c r="K819" s="24">
        <v>345.1</v>
      </c>
      <c r="L819" s="24">
        <f>M819-K819</f>
        <v>0</v>
      </c>
      <c r="M819" s="24">
        <v>345.1</v>
      </c>
    </row>
    <row r="820" spans="1:13" s="121" customFormat="1" ht="90" customHeight="1" x14ac:dyDescent="0.35">
      <c r="A820" s="11"/>
      <c r="B820" s="518" t="s">
        <v>300</v>
      </c>
      <c r="C820" s="23" t="s">
        <v>294</v>
      </c>
      <c r="D820" s="10" t="s">
        <v>104</v>
      </c>
      <c r="E820" s="10" t="s">
        <v>52</v>
      </c>
      <c r="F820" s="696" t="s">
        <v>79</v>
      </c>
      <c r="G820" s="697" t="s">
        <v>45</v>
      </c>
      <c r="H820" s="697" t="s">
        <v>39</v>
      </c>
      <c r="I820" s="698" t="s">
        <v>44</v>
      </c>
      <c r="J820" s="10"/>
      <c r="K820" s="24">
        <f t="shared" ref="K820:M821" si="102">K821</f>
        <v>5.2</v>
      </c>
      <c r="L820" s="24">
        <f t="shared" si="102"/>
        <v>0</v>
      </c>
      <c r="M820" s="24">
        <f t="shared" si="102"/>
        <v>5.2</v>
      </c>
    </row>
    <row r="821" spans="1:13" s="121" customFormat="1" ht="198" customHeight="1" x14ac:dyDescent="0.35">
      <c r="A821" s="11"/>
      <c r="B821" s="518" t="s">
        <v>731</v>
      </c>
      <c r="C821" s="23" t="s">
        <v>294</v>
      </c>
      <c r="D821" s="10" t="s">
        <v>104</v>
      </c>
      <c r="E821" s="10" t="s">
        <v>52</v>
      </c>
      <c r="F821" s="696" t="s">
        <v>79</v>
      </c>
      <c r="G821" s="697" t="s">
        <v>45</v>
      </c>
      <c r="H821" s="697" t="s">
        <v>39</v>
      </c>
      <c r="I821" s="698" t="s">
        <v>602</v>
      </c>
      <c r="J821" s="10"/>
      <c r="K821" s="24">
        <f t="shared" si="102"/>
        <v>5.2</v>
      </c>
      <c r="L821" s="24">
        <f t="shared" si="102"/>
        <v>0</v>
      </c>
      <c r="M821" s="24">
        <f t="shared" si="102"/>
        <v>5.2</v>
      </c>
    </row>
    <row r="822" spans="1:13" s="121" customFormat="1" ht="36" customHeight="1" x14ac:dyDescent="0.35">
      <c r="A822" s="11"/>
      <c r="B822" s="518" t="s">
        <v>120</v>
      </c>
      <c r="C822" s="23" t="s">
        <v>294</v>
      </c>
      <c r="D822" s="10" t="s">
        <v>104</v>
      </c>
      <c r="E822" s="10" t="s">
        <v>52</v>
      </c>
      <c r="F822" s="696" t="s">
        <v>79</v>
      </c>
      <c r="G822" s="697" t="s">
        <v>45</v>
      </c>
      <c r="H822" s="697" t="s">
        <v>39</v>
      </c>
      <c r="I822" s="698" t="s">
        <v>602</v>
      </c>
      <c r="J822" s="10" t="s">
        <v>121</v>
      </c>
      <c r="K822" s="24">
        <v>5.2</v>
      </c>
      <c r="L822" s="24">
        <f>M822-K822</f>
        <v>0</v>
      </c>
      <c r="M822" s="24">
        <v>5.2</v>
      </c>
    </row>
    <row r="823" spans="1:13" s="7" customFormat="1" ht="36" customHeight="1" x14ac:dyDescent="0.35">
      <c r="A823" s="11"/>
      <c r="B823" s="518" t="s">
        <v>296</v>
      </c>
      <c r="C823" s="23" t="s">
        <v>294</v>
      </c>
      <c r="D823" s="10" t="s">
        <v>104</v>
      </c>
      <c r="E823" s="10" t="s">
        <v>81</v>
      </c>
      <c r="F823" s="696"/>
      <c r="G823" s="697"/>
      <c r="H823" s="697"/>
      <c r="I823" s="698"/>
      <c r="J823" s="10"/>
      <c r="K823" s="24">
        <f>K824</f>
        <v>8703</v>
      </c>
      <c r="L823" s="24">
        <f>L824</f>
        <v>0</v>
      </c>
      <c r="M823" s="24">
        <f>M824</f>
        <v>8703</v>
      </c>
    </row>
    <row r="824" spans="1:13" s="7" customFormat="1" ht="54" customHeight="1" x14ac:dyDescent="0.35">
      <c r="A824" s="11"/>
      <c r="B824" s="525" t="s">
        <v>230</v>
      </c>
      <c r="C824" s="23" t="s">
        <v>294</v>
      </c>
      <c r="D824" s="10" t="s">
        <v>104</v>
      </c>
      <c r="E824" s="10" t="s">
        <v>81</v>
      </c>
      <c r="F824" s="696" t="s">
        <v>79</v>
      </c>
      <c r="G824" s="697" t="s">
        <v>42</v>
      </c>
      <c r="H824" s="697" t="s">
        <v>43</v>
      </c>
      <c r="I824" s="698" t="s">
        <v>44</v>
      </c>
      <c r="J824" s="10"/>
      <c r="K824" s="24">
        <f t="shared" ref="K824:M825" si="103">K825</f>
        <v>8703</v>
      </c>
      <c r="L824" s="24">
        <f t="shared" si="103"/>
        <v>0</v>
      </c>
      <c r="M824" s="24">
        <f t="shared" si="103"/>
        <v>8703</v>
      </c>
    </row>
    <row r="825" spans="1:13" s="7" customFormat="1" ht="36" customHeight="1" x14ac:dyDescent="0.35">
      <c r="A825" s="11"/>
      <c r="B825" s="518" t="s">
        <v>339</v>
      </c>
      <c r="C825" s="23" t="s">
        <v>294</v>
      </c>
      <c r="D825" s="10" t="s">
        <v>104</v>
      </c>
      <c r="E825" s="10" t="s">
        <v>81</v>
      </c>
      <c r="F825" s="696" t="s">
        <v>79</v>
      </c>
      <c r="G825" s="697" t="s">
        <v>45</v>
      </c>
      <c r="H825" s="697" t="s">
        <v>43</v>
      </c>
      <c r="I825" s="698" t="s">
        <v>44</v>
      </c>
      <c r="J825" s="10"/>
      <c r="K825" s="24">
        <f t="shared" si="103"/>
        <v>8703</v>
      </c>
      <c r="L825" s="24">
        <f t="shared" si="103"/>
        <v>0</v>
      </c>
      <c r="M825" s="24">
        <f t="shared" si="103"/>
        <v>8703</v>
      </c>
    </row>
    <row r="826" spans="1:13" s="121" customFormat="1" ht="36" customHeight="1" x14ac:dyDescent="0.35">
      <c r="A826" s="11"/>
      <c r="B826" s="518" t="s">
        <v>229</v>
      </c>
      <c r="C826" s="23" t="s">
        <v>294</v>
      </c>
      <c r="D826" s="10" t="s">
        <v>104</v>
      </c>
      <c r="E826" s="10" t="s">
        <v>81</v>
      </c>
      <c r="F826" s="696" t="s">
        <v>79</v>
      </c>
      <c r="G826" s="697" t="s">
        <v>45</v>
      </c>
      <c r="H826" s="697" t="s">
        <v>63</v>
      </c>
      <c r="I826" s="698" t="s">
        <v>44</v>
      </c>
      <c r="J826" s="10"/>
      <c r="K826" s="24">
        <f>K827+K830+K833</f>
        <v>8703</v>
      </c>
      <c r="L826" s="24">
        <f>L827+L830+L833</f>
        <v>0</v>
      </c>
      <c r="M826" s="24">
        <f>M827+M830+M833</f>
        <v>8703</v>
      </c>
    </row>
    <row r="827" spans="1:13" s="121" customFormat="1" ht="272.25" customHeight="1" x14ac:dyDescent="0.35">
      <c r="A827" s="11"/>
      <c r="B827" s="594" t="s">
        <v>232</v>
      </c>
      <c r="C827" s="23" t="s">
        <v>294</v>
      </c>
      <c r="D827" s="10" t="s">
        <v>104</v>
      </c>
      <c r="E827" s="10" t="s">
        <v>81</v>
      </c>
      <c r="F827" s="696" t="s">
        <v>79</v>
      </c>
      <c r="G827" s="697" t="s">
        <v>45</v>
      </c>
      <c r="H827" s="697" t="s">
        <v>63</v>
      </c>
      <c r="I827" s="698" t="s">
        <v>548</v>
      </c>
      <c r="J827" s="10"/>
      <c r="K827" s="24">
        <f>K828+K829</f>
        <v>992.6</v>
      </c>
      <c r="L827" s="24">
        <f>L828+L829</f>
        <v>0</v>
      </c>
      <c r="M827" s="24">
        <f>M828+M829</f>
        <v>992.6</v>
      </c>
    </row>
    <row r="828" spans="1:13" s="121" customFormat="1" ht="108" customHeight="1" x14ac:dyDescent="0.35">
      <c r="A828" s="11"/>
      <c r="B828" s="518" t="s">
        <v>49</v>
      </c>
      <c r="C828" s="23" t="s">
        <v>294</v>
      </c>
      <c r="D828" s="10" t="s">
        <v>104</v>
      </c>
      <c r="E828" s="10" t="s">
        <v>81</v>
      </c>
      <c r="F828" s="696" t="s">
        <v>79</v>
      </c>
      <c r="G828" s="697" t="s">
        <v>45</v>
      </c>
      <c r="H828" s="697" t="s">
        <v>63</v>
      </c>
      <c r="I828" s="698" t="s">
        <v>548</v>
      </c>
      <c r="J828" s="10" t="s">
        <v>50</v>
      </c>
      <c r="K828" s="24">
        <v>830.6</v>
      </c>
      <c r="L828" s="24">
        <f>M828-K828</f>
        <v>0</v>
      </c>
      <c r="M828" s="24">
        <v>830.6</v>
      </c>
    </row>
    <row r="829" spans="1:13" s="121" customFormat="1" ht="54" customHeight="1" x14ac:dyDescent="0.35">
      <c r="A829" s="11"/>
      <c r="B829" s="518" t="s">
        <v>55</v>
      </c>
      <c r="C829" s="23" t="s">
        <v>294</v>
      </c>
      <c r="D829" s="10" t="s">
        <v>104</v>
      </c>
      <c r="E829" s="10" t="s">
        <v>81</v>
      </c>
      <c r="F829" s="696" t="s">
        <v>79</v>
      </c>
      <c r="G829" s="697" t="s">
        <v>45</v>
      </c>
      <c r="H829" s="697" t="s">
        <v>63</v>
      </c>
      <c r="I829" s="698" t="s">
        <v>548</v>
      </c>
      <c r="J829" s="10" t="s">
        <v>56</v>
      </c>
      <c r="K829" s="24">
        <v>162</v>
      </c>
      <c r="L829" s="24">
        <f>M829-K829</f>
        <v>0</v>
      </c>
      <c r="M829" s="24">
        <v>162</v>
      </c>
    </row>
    <row r="830" spans="1:13" s="121" customFormat="1" ht="108" customHeight="1" x14ac:dyDescent="0.35">
      <c r="A830" s="11"/>
      <c r="B830" s="518" t="s">
        <v>461</v>
      </c>
      <c r="C830" s="23" t="s">
        <v>294</v>
      </c>
      <c r="D830" s="10" t="s">
        <v>104</v>
      </c>
      <c r="E830" s="10" t="s">
        <v>81</v>
      </c>
      <c r="F830" s="696" t="s">
        <v>79</v>
      </c>
      <c r="G830" s="697" t="s">
        <v>45</v>
      </c>
      <c r="H830" s="697" t="s">
        <v>63</v>
      </c>
      <c r="I830" s="698" t="s">
        <v>542</v>
      </c>
      <c r="J830" s="10"/>
      <c r="K830" s="24">
        <f>K831+K832</f>
        <v>730</v>
      </c>
      <c r="L830" s="24">
        <f>L831+L832</f>
        <v>0</v>
      </c>
      <c r="M830" s="24">
        <f>M831+M832</f>
        <v>730</v>
      </c>
    </row>
    <row r="831" spans="1:13" s="121" customFormat="1" ht="108" customHeight="1" x14ac:dyDescent="0.35">
      <c r="A831" s="11"/>
      <c r="B831" s="518" t="s">
        <v>49</v>
      </c>
      <c r="C831" s="23" t="s">
        <v>294</v>
      </c>
      <c r="D831" s="10" t="s">
        <v>104</v>
      </c>
      <c r="E831" s="10" t="s">
        <v>81</v>
      </c>
      <c r="F831" s="696" t="s">
        <v>79</v>
      </c>
      <c r="G831" s="697" t="s">
        <v>45</v>
      </c>
      <c r="H831" s="697" t="s">
        <v>63</v>
      </c>
      <c r="I831" s="698" t="s">
        <v>542</v>
      </c>
      <c r="J831" s="10" t="s">
        <v>50</v>
      </c>
      <c r="K831" s="24">
        <v>649</v>
      </c>
      <c r="L831" s="24">
        <f>M831-K831</f>
        <v>0</v>
      </c>
      <c r="M831" s="24">
        <v>649</v>
      </c>
    </row>
    <row r="832" spans="1:13" s="121" customFormat="1" ht="54" customHeight="1" x14ac:dyDescent="0.35">
      <c r="A832" s="11"/>
      <c r="B832" s="518" t="s">
        <v>55</v>
      </c>
      <c r="C832" s="23" t="s">
        <v>294</v>
      </c>
      <c r="D832" s="10" t="s">
        <v>104</v>
      </c>
      <c r="E832" s="10" t="s">
        <v>81</v>
      </c>
      <c r="F832" s="696" t="s">
        <v>79</v>
      </c>
      <c r="G832" s="697" t="s">
        <v>45</v>
      </c>
      <c r="H832" s="697" t="s">
        <v>63</v>
      </c>
      <c r="I832" s="698" t="s">
        <v>542</v>
      </c>
      <c r="J832" s="10" t="s">
        <v>56</v>
      </c>
      <c r="K832" s="24">
        <v>81</v>
      </c>
      <c r="L832" s="24">
        <f>M832-K832</f>
        <v>0</v>
      </c>
      <c r="M832" s="24">
        <v>81</v>
      </c>
    </row>
    <row r="833" spans="1:14" s="121" customFormat="1" ht="72" customHeight="1" x14ac:dyDescent="0.35">
      <c r="A833" s="11"/>
      <c r="B833" s="518" t="s">
        <v>231</v>
      </c>
      <c r="C833" s="23" t="s">
        <v>294</v>
      </c>
      <c r="D833" s="10" t="s">
        <v>104</v>
      </c>
      <c r="E833" s="10" t="s">
        <v>81</v>
      </c>
      <c r="F833" s="696" t="s">
        <v>79</v>
      </c>
      <c r="G833" s="697" t="s">
        <v>45</v>
      </c>
      <c r="H833" s="697" t="s">
        <v>63</v>
      </c>
      <c r="I833" s="698" t="s">
        <v>543</v>
      </c>
      <c r="J833" s="10"/>
      <c r="K833" s="24">
        <f>K834+K835</f>
        <v>6980.4</v>
      </c>
      <c r="L833" s="24">
        <f>L834+L835</f>
        <v>0</v>
      </c>
      <c r="M833" s="24">
        <f>M834+M835</f>
        <v>6980.4</v>
      </c>
    </row>
    <row r="834" spans="1:14" s="121" customFormat="1" ht="108" customHeight="1" x14ac:dyDescent="0.35">
      <c r="A834" s="11"/>
      <c r="B834" s="518" t="s">
        <v>49</v>
      </c>
      <c r="C834" s="23" t="s">
        <v>294</v>
      </c>
      <c r="D834" s="10" t="s">
        <v>104</v>
      </c>
      <c r="E834" s="10" t="s">
        <v>81</v>
      </c>
      <c r="F834" s="696" t="s">
        <v>79</v>
      </c>
      <c r="G834" s="697" t="s">
        <v>45</v>
      </c>
      <c r="H834" s="697" t="s">
        <v>63</v>
      </c>
      <c r="I834" s="698" t="s">
        <v>543</v>
      </c>
      <c r="J834" s="10" t="s">
        <v>50</v>
      </c>
      <c r="K834" s="24">
        <v>6251.4</v>
      </c>
      <c r="L834" s="24">
        <f>M834-K834</f>
        <v>0</v>
      </c>
      <c r="M834" s="24">
        <v>6251.4</v>
      </c>
    </row>
    <row r="835" spans="1:14" s="121" customFormat="1" ht="54" customHeight="1" x14ac:dyDescent="0.35">
      <c r="A835" s="11"/>
      <c r="B835" s="518" t="s">
        <v>55</v>
      </c>
      <c r="C835" s="23" t="s">
        <v>294</v>
      </c>
      <c r="D835" s="10" t="s">
        <v>104</v>
      </c>
      <c r="E835" s="10" t="s">
        <v>81</v>
      </c>
      <c r="F835" s="696" t="s">
        <v>79</v>
      </c>
      <c r="G835" s="697" t="s">
        <v>45</v>
      </c>
      <c r="H835" s="697" t="s">
        <v>63</v>
      </c>
      <c r="I835" s="698" t="s">
        <v>543</v>
      </c>
      <c r="J835" s="10" t="s">
        <v>56</v>
      </c>
      <c r="K835" s="24">
        <v>729</v>
      </c>
      <c r="L835" s="24">
        <f>M835-K835</f>
        <v>0</v>
      </c>
      <c r="M835" s="24">
        <v>729</v>
      </c>
    </row>
    <row r="836" spans="1:14" s="121" customFormat="1" ht="18" customHeight="1" x14ac:dyDescent="0.35">
      <c r="A836" s="186"/>
      <c r="B836" s="511"/>
      <c r="C836" s="187"/>
      <c r="D836" s="114"/>
      <c r="E836" s="114"/>
      <c r="F836" s="114"/>
      <c r="G836" s="114"/>
      <c r="H836" s="114"/>
      <c r="I836" s="114"/>
      <c r="J836" s="114"/>
      <c r="K836" s="114"/>
      <c r="L836" s="114"/>
      <c r="M836" s="188"/>
    </row>
    <row r="837" spans="1:14" s="121" customFormat="1" ht="18" customHeight="1" x14ac:dyDescent="0.35">
      <c r="A837" s="186"/>
      <c r="B837" s="511"/>
      <c r="C837" s="187"/>
      <c r="D837" s="114"/>
      <c r="E837" s="114"/>
      <c r="F837" s="114"/>
      <c r="G837" s="114"/>
      <c r="H837" s="114"/>
      <c r="I837" s="114"/>
      <c r="J837" s="114"/>
      <c r="K837" s="114"/>
      <c r="L837" s="114"/>
      <c r="M837" s="188"/>
    </row>
    <row r="838" spans="1:14" s="85" customFormat="1" ht="18" customHeight="1" x14ac:dyDescent="0.35">
      <c r="A838" s="687" t="s">
        <v>375</v>
      </c>
      <c r="B838" s="86"/>
      <c r="C838" s="87"/>
      <c r="D838" s="87"/>
      <c r="E838" s="87"/>
      <c r="F838" s="43"/>
      <c r="G838" s="115"/>
      <c r="H838" s="154"/>
      <c r="M838" s="479"/>
    </row>
    <row r="839" spans="1:14" s="85" customFormat="1" ht="18" customHeight="1" x14ac:dyDescent="0.35">
      <c r="A839" s="687" t="s">
        <v>376</v>
      </c>
      <c r="B839" s="86"/>
      <c r="C839" s="87"/>
      <c r="D839" s="87"/>
      <c r="E839" s="87"/>
      <c r="F839" s="43"/>
      <c r="G839" s="115"/>
      <c r="H839" s="154"/>
      <c r="M839" s="479"/>
    </row>
    <row r="840" spans="1:14" s="85" customFormat="1" ht="18" customHeight="1" x14ac:dyDescent="0.35">
      <c r="A840" s="688" t="s">
        <v>377</v>
      </c>
      <c r="B840" s="86"/>
      <c r="E840" s="87"/>
      <c r="F840" s="43"/>
      <c r="M840" s="480" t="s">
        <v>388</v>
      </c>
    </row>
    <row r="841" spans="1:14" s="189" customFormat="1" ht="18" customHeight="1" x14ac:dyDescent="0.35">
      <c r="A841" s="186"/>
      <c r="B841" s="511"/>
      <c r="C841" s="187"/>
      <c r="D841" s="114"/>
      <c r="E841" s="114"/>
      <c r="F841" s="114"/>
      <c r="G841" s="114"/>
      <c r="H841" s="114"/>
      <c r="I841" s="114"/>
      <c r="J841" s="114"/>
      <c r="K841" s="114"/>
      <c r="L841" s="114"/>
      <c r="M841" s="188"/>
    </row>
    <row r="842" spans="1:14" s="189" customFormat="1" ht="18" customHeight="1" x14ac:dyDescent="0.35">
      <c r="A842" s="186"/>
      <c r="B842" s="511"/>
      <c r="C842" s="187"/>
      <c r="D842" s="114"/>
      <c r="E842" s="114"/>
      <c r="F842" s="114"/>
      <c r="G842" s="114"/>
      <c r="H842" s="114"/>
      <c r="I842" s="114"/>
      <c r="J842" s="114"/>
      <c r="K842" s="114"/>
      <c r="L842" s="114"/>
      <c r="M842" s="188"/>
    </row>
    <row r="843" spans="1:14" s="189" customFormat="1" ht="18" customHeight="1" x14ac:dyDescent="0.35">
      <c r="A843" s="186"/>
      <c r="B843" s="511"/>
      <c r="C843" s="187"/>
      <c r="D843" s="114"/>
      <c r="E843" s="114"/>
      <c r="F843" s="114"/>
      <c r="G843" s="114"/>
      <c r="H843" s="114"/>
      <c r="I843" s="114"/>
      <c r="J843" s="114"/>
      <c r="K843" s="114"/>
      <c r="L843" s="114"/>
      <c r="M843" s="188"/>
    </row>
    <row r="844" spans="1:14" s="189" customFormat="1" ht="18" hidden="1" customHeight="1" x14ac:dyDescent="0.35">
      <c r="A844" s="186"/>
      <c r="B844" s="511"/>
      <c r="C844" s="187"/>
      <c r="D844" s="28" t="s">
        <v>37</v>
      </c>
      <c r="E844" s="28" t="s">
        <v>39</v>
      </c>
      <c r="F844" s="29"/>
      <c r="G844" s="29"/>
      <c r="H844" s="29"/>
      <c r="I844" s="29"/>
      <c r="J844" s="29"/>
      <c r="K844" s="29"/>
      <c r="L844" s="29"/>
      <c r="M844" s="157">
        <f>M17</f>
        <v>2536.8000000000002</v>
      </c>
      <c r="N844" s="190"/>
    </row>
    <row r="845" spans="1:14" s="189" customFormat="1" ht="18" hidden="1" customHeight="1" x14ac:dyDescent="0.35">
      <c r="A845" s="186"/>
      <c r="B845" s="511"/>
      <c r="C845" s="187"/>
      <c r="D845" s="28" t="s">
        <v>37</v>
      </c>
      <c r="E845" s="28" t="s">
        <v>52</v>
      </c>
      <c r="F845" s="29"/>
      <c r="G845" s="29"/>
      <c r="H845" s="29"/>
      <c r="I845" s="29"/>
      <c r="J845" s="29"/>
      <c r="K845" s="29"/>
      <c r="L845" s="29"/>
      <c r="M845" s="157">
        <f>M23</f>
        <v>81325.284000000014</v>
      </c>
      <c r="N845" s="190"/>
    </row>
    <row r="846" spans="1:14" s="189" customFormat="1" ht="18" hidden="1" customHeight="1" x14ac:dyDescent="0.35">
      <c r="A846" s="186"/>
      <c r="B846" s="511"/>
      <c r="C846" s="187"/>
      <c r="D846" s="28" t="s">
        <v>37</v>
      </c>
      <c r="E846" s="28" t="s">
        <v>65</v>
      </c>
      <c r="F846" s="29"/>
      <c r="G846" s="29"/>
      <c r="H846" s="29"/>
      <c r="I846" s="29"/>
      <c r="J846" s="29"/>
      <c r="K846" s="29"/>
      <c r="L846" s="29"/>
      <c r="M846" s="157">
        <f>M45</f>
        <v>19.8</v>
      </c>
      <c r="N846" s="190"/>
    </row>
    <row r="847" spans="1:14" s="189" customFormat="1" ht="18" hidden="1" customHeight="1" x14ac:dyDescent="0.35">
      <c r="A847" s="186"/>
      <c r="B847" s="511"/>
      <c r="C847" s="187"/>
      <c r="D847" s="28" t="s">
        <v>37</v>
      </c>
      <c r="E847" s="28" t="s">
        <v>81</v>
      </c>
      <c r="F847" s="29"/>
      <c r="G847" s="29"/>
      <c r="H847" s="29"/>
      <c r="I847" s="29"/>
      <c r="J847" s="29"/>
      <c r="K847" s="29"/>
      <c r="L847" s="29"/>
      <c r="M847" s="157">
        <f>M256+M299</f>
        <v>37836.799999999996</v>
      </c>
      <c r="N847" s="190"/>
    </row>
    <row r="848" spans="1:14" s="189" customFormat="1" ht="18" hidden="1" customHeight="1" x14ac:dyDescent="0.35">
      <c r="A848" s="186"/>
      <c r="B848" s="511"/>
      <c r="C848" s="187"/>
      <c r="D848" s="28" t="s">
        <v>37</v>
      </c>
      <c r="E848" s="28" t="s">
        <v>67</v>
      </c>
      <c r="F848" s="29"/>
      <c r="G848" s="29"/>
      <c r="H848" s="29"/>
      <c r="I848" s="29"/>
      <c r="J848" s="29"/>
      <c r="K848" s="29"/>
      <c r="L848" s="29"/>
      <c r="M848" s="157">
        <f>M51</f>
        <v>7593.1629999999959</v>
      </c>
      <c r="N848" s="190"/>
    </row>
    <row r="849" spans="1:14" s="189" customFormat="1" ht="18" hidden="1" customHeight="1" x14ac:dyDescent="0.35">
      <c r="A849" s="186"/>
      <c r="B849" s="511"/>
      <c r="C849" s="187"/>
      <c r="D849" s="28" t="s">
        <v>37</v>
      </c>
      <c r="E849" s="28" t="s">
        <v>71</v>
      </c>
      <c r="F849" s="29"/>
      <c r="G849" s="29"/>
      <c r="H849" s="29"/>
      <c r="I849" s="29"/>
      <c r="J849" s="29"/>
      <c r="K849" s="29"/>
      <c r="L849" s="29"/>
      <c r="M849" s="157">
        <f>M56+M267+M317+M770+M614+M696+M428</f>
        <v>147399.23003000004</v>
      </c>
      <c r="N849" s="190"/>
    </row>
    <row r="850" spans="1:14" ht="18" hidden="1" customHeight="1" x14ac:dyDescent="0.35">
      <c r="D850" s="158" t="s">
        <v>37</v>
      </c>
      <c r="E850" s="158" t="s">
        <v>43</v>
      </c>
      <c r="F850" s="29"/>
      <c r="G850" s="29"/>
      <c r="H850" s="29"/>
      <c r="I850" s="29"/>
      <c r="J850" s="29"/>
      <c r="K850" s="29"/>
      <c r="L850" s="29"/>
      <c r="M850" s="159">
        <f>SUBTOTAL(9,M844:M849)</f>
        <v>276711.07703000004</v>
      </c>
      <c r="N850" s="191"/>
    </row>
    <row r="851" spans="1:14" ht="18" hidden="1" customHeight="1" x14ac:dyDescent="0.35">
      <c r="D851" s="28"/>
      <c r="E851" s="28"/>
      <c r="F851" s="29"/>
      <c r="G851" s="29"/>
      <c r="H851" s="29"/>
      <c r="I851" s="29"/>
      <c r="J851" s="29"/>
      <c r="K851" s="29"/>
      <c r="L851" s="29"/>
      <c r="M851" s="157"/>
      <c r="N851" s="190"/>
    </row>
    <row r="852" spans="1:14" ht="18" hidden="1" customHeight="1" x14ac:dyDescent="0.35">
      <c r="D852" s="28" t="s">
        <v>63</v>
      </c>
      <c r="E852" s="28" t="s">
        <v>104</v>
      </c>
      <c r="F852" s="29"/>
      <c r="G852" s="29"/>
      <c r="H852" s="29"/>
      <c r="I852" s="29"/>
      <c r="J852" s="29"/>
      <c r="K852" s="29"/>
      <c r="L852" s="29"/>
      <c r="M852" s="157">
        <f>M95</f>
        <v>9493.3999999999978</v>
      </c>
      <c r="N852" s="190"/>
    </row>
    <row r="853" spans="1:14" ht="18" hidden="1" customHeight="1" x14ac:dyDescent="0.35">
      <c r="D853" s="28" t="s">
        <v>63</v>
      </c>
      <c r="E853" s="28" t="s">
        <v>88</v>
      </c>
      <c r="F853" s="29"/>
      <c r="G853" s="29"/>
      <c r="H853" s="29"/>
      <c r="I853" s="29"/>
      <c r="J853" s="29"/>
      <c r="K853" s="29"/>
      <c r="L853" s="29"/>
      <c r="M853" s="157">
        <f>M107</f>
        <v>13425.547999999995</v>
      </c>
      <c r="N853" s="190"/>
    </row>
    <row r="854" spans="1:14" ht="18" hidden="1" customHeight="1" x14ac:dyDescent="0.35">
      <c r="D854" s="158" t="s">
        <v>63</v>
      </c>
      <c r="E854" s="158" t="s">
        <v>43</v>
      </c>
      <c r="F854" s="29"/>
      <c r="G854" s="29"/>
      <c r="H854" s="29"/>
      <c r="I854" s="29"/>
      <c r="J854" s="29"/>
      <c r="K854" s="29"/>
      <c r="L854" s="29"/>
      <c r="M854" s="159">
        <f>SUBTOTAL(9,M852:M853)</f>
        <v>22918.947999999993</v>
      </c>
      <c r="N854" s="191"/>
    </row>
    <row r="855" spans="1:14" ht="18" hidden="1" customHeight="1" x14ac:dyDescent="0.35">
      <c r="D855" s="28"/>
      <c r="E855" s="28"/>
      <c r="F855" s="29"/>
      <c r="G855" s="29"/>
      <c r="H855" s="29"/>
      <c r="I855" s="29"/>
      <c r="J855" s="29"/>
      <c r="K855" s="29"/>
      <c r="L855" s="29"/>
      <c r="M855" s="157"/>
      <c r="N855" s="190"/>
    </row>
    <row r="856" spans="1:14" ht="18" hidden="1" customHeight="1" x14ac:dyDescent="0.35">
      <c r="D856" s="28" t="s">
        <v>52</v>
      </c>
      <c r="E856" s="28" t="s">
        <v>65</v>
      </c>
      <c r="F856" s="29"/>
      <c r="G856" s="29"/>
      <c r="H856" s="29"/>
      <c r="I856" s="29"/>
      <c r="J856" s="29"/>
      <c r="K856" s="29"/>
      <c r="L856" s="29"/>
      <c r="M856" s="157">
        <f>M132</f>
        <v>14369.400000000001</v>
      </c>
      <c r="N856" s="190"/>
    </row>
    <row r="857" spans="1:14" ht="18" hidden="1" customHeight="1" x14ac:dyDescent="0.35">
      <c r="D857" s="28" t="s">
        <v>52</v>
      </c>
      <c r="E857" s="28" t="s">
        <v>79</v>
      </c>
      <c r="F857" s="29"/>
      <c r="G857" s="29"/>
      <c r="H857" s="29"/>
      <c r="I857" s="29"/>
      <c r="J857" s="29"/>
      <c r="K857" s="29"/>
      <c r="L857" s="29"/>
      <c r="M857" s="157">
        <f>M141</f>
        <v>12364.4156</v>
      </c>
      <c r="N857" s="190"/>
    </row>
    <row r="858" spans="1:14" ht="18" hidden="1" customHeight="1" x14ac:dyDescent="0.35">
      <c r="D858" s="28" t="s">
        <v>52</v>
      </c>
      <c r="E858" s="28" t="s">
        <v>100</v>
      </c>
      <c r="F858" s="29"/>
      <c r="G858" s="29"/>
      <c r="H858" s="29"/>
      <c r="I858" s="29"/>
      <c r="J858" s="29"/>
      <c r="K858" s="29"/>
      <c r="L858" s="29"/>
      <c r="M858" s="157">
        <f>M147+M369</f>
        <v>70172.7</v>
      </c>
      <c r="N858" s="190"/>
    </row>
    <row r="859" spans="1:14" ht="18" hidden="1" customHeight="1" x14ac:dyDescent="0.35">
      <c r="D859" s="158" t="s">
        <v>52</v>
      </c>
      <c r="E859" s="158" t="s">
        <v>43</v>
      </c>
      <c r="F859" s="29"/>
      <c r="G859" s="29"/>
      <c r="H859" s="29"/>
      <c r="I859" s="29"/>
      <c r="J859" s="29"/>
      <c r="K859" s="29"/>
      <c r="L859" s="29"/>
      <c r="M859" s="159">
        <f>SUBTOTAL(9,M856:M858)</f>
        <v>96906.515599999999</v>
      </c>
      <c r="N859" s="191"/>
    </row>
    <row r="860" spans="1:14" ht="18" hidden="1" customHeight="1" x14ac:dyDescent="0.35">
      <c r="D860" s="28"/>
      <c r="E860" s="28"/>
      <c r="F860" s="29"/>
      <c r="G860" s="29"/>
      <c r="H860" s="29"/>
      <c r="I860" s="29"/>
      <c r="J860" s="29"/>
      <c r="K860" s="29"/>
      <c r="L860" s="29"/>
      <c r="M860" s="157"/>
      <c r="N860" s="190"/>
    </row>
    <row r="861" spans="1:14" ht="18" hidden="1" customHeight="1" x14ac:dyDescent="0.35">
      <c r="D861" s="28" t="s">
        <v>65</v>
      </c>
      <c r="E861" s="28" t="s">
        <v>37</v>
      </c>
      <c r="F861" s="29"/>
      <c r="G861" s="29"/>
      <c r="H861" s="29"/>
      <c r="I861" s="29"/>
      <c r="J861" s="29"/>
      <c r="K861" s="29"/>
      <c r="L861" s="29"/>
      <c r="M861" s="157">
        <f>M179</f>
        <v>34361.1</v>
      </c>
      <c r="N861" s="190"/>
    </row>
    <row r="862" spans="1:14" ht="18" hidden="1" customHeight="1" x14ac:dyDescent="0.35">
      <c r="D862" s="28" t="s">
        <v>65</v>
      </c>
      <c r="E862" s="28" t="s">
        <v>39</v>
      </c>
      <c r="F862" s="29"/>
      <c r="G862" s="29"/>
      <c r="H862" s="29"/>
      <c r="I862" s="29"/>
      <c r="J862" s="29"/>
      <c r="K862" s="29"/>
      <c r="L862" s="29"/>
      <c r="M862" s="157">
        <f>M380</f>
        <v>79683.3</v>
      </c>
      <c r="N862" s="190"/>
    </row>
    <row r="863" spans="1:14" ht="18" hidden="1" customHeight="1" x14ac:dyDescent="0.35">
      <c r="D863" s="28" t="s">
        <v>65</v>
      </c>
      <c r="E863" s="28" t="s">
        <v>65</v>
      </c>
      <c r="F863" s="29"/>
      <c r="G863" s="29"/>
      <c r="H863" s="29"/>
      <c r="I863" s="29"/>
      <c r="J863" s="29"/>
      <c r="K863" s="29"/>
      <c r="L863" s="29"/>
      <c r="M863" s="157"/>
      <c r="N863" s="190"/>
    </row>
    <row r="864" spans="1:14" ht="18" hidden="1" customHeight="1" x14ac:dyDescent="0.35">
      <c r="D864" s="28" t="s">
        <v>65</v>
      </c>
      <c r="E864" s="28" t="s">
        <v>63</v>
      </c>
      <c r="F864" s="29"/>
      <c r="G864" s="29"/>
      <c r="H864" s="29"/>
      <c r="I864" s="29"/>
      <c r="J864" s="29"/>
      <c r="K864" s="29"/>
      <c r="L864" s="29"/>
      <c r="M864" s="157">
        <f>M189</f>
        <v>7085.7000000000007</v>
      </c>
      <c r="N864" s="190"/>
    </row>
    <row r="865" spans="4:14" ht="18" hidden="1" customHeight="1" x14ac:dyDescent="0.35">
      <c r="D865" s="158" t="s">
        <v>65</v>
      </c>
      <c r="E865" s="158" t="s">
        <v>43</v>
      </c>
      <c r="F865" s="29"/>
      <c r="G865" s="29"/>
      <c r="H865" s="29"/>
      <c r="I865" s="29"/>
      <c r="J865" s="29"/>
      <c r="K865" s="29"/>
      <c r="L865" s="29"/>
      <c r="M865" s="159">
        <f>SUBTOTAL(9,M861:M864)</f>
        <v>121130.09999999999</v>
      </c>
      <c r="N865" s="191"/>
    </row>
    <row r="866" spans="4:14" ht="18" hidden="1" customHeight="1" x14ac:dyDescent="0.35">
      <c r="D866" s="28"/>
      <c r="E866" s="28"/>
      <c r="F866" s="29"/>
      <c r="G866" s="29"/>
      <c r="H866" s="29"/>
      <c r="I866" s="29"/>
      <c r="J866" s="29"/>
      <c r="K866" s="29"/>
      <c r="L866" s="29"/>
      <c r="M866" s="157"/>
      <c r="N866" s="190"/>
    </row>
    <row r="867" spans="4:14" ht="18" hidden="1" customHeight="1" x14ac:dyDescent="0.35">
      <c r="D867" s="28" t="s">
        <v>224</v>
      </c>
      <c r="E867" s="28" t="s">
        <v>37</v>
      </c>
      <c r="F867" s="29"/>
      <c r="G867" s="29"/>
      <c r="H867" s="29"/>
      <c r="I867" s="29"/>
      <c r="J867" s="29"/>
      <c r="K867" s="29"/>
      <c r="L867" s="29"/>
      <c r="M867" s="157">
        <f>M441+M387</f>
        <v>498550.57999999996</v>
      </c>
      <c r="N867" s="190"/>
    </row>
    <row r="868" spans="4:14" ht="18" hidden="1" customHeight="1" x14ac:dyDescent="0.35">
      <c r="D868" s="28" t="s">
        <v>224</v>
      </c>
      <c r="E868" s="28" t="s">
        <v>39</v>
      </c>
      <c r="F868" s="29"/>
      <c r="G868" s="29"/>
      <c r="H868" s="29"/>
      <c r="I868" s="29"/>
      <c r="J868" s="29"/>
      <c r="K868" s="29"/>
      <c r="L868" s="29"/>
      <c r="M868" s="157">
        <f>M395+M475</f>
        <v>896770.31530000002</v>
      </c>
      <c r="N868" s="190"/>
    </row>
    <row r="869" spans="4:14" ht="18" hidden="1" customHeight="1" x14ac:dyDescent="0.35">
      <c r="D869" s="28" t="s">
        <v>224</v>
      </c>
      <c r="E869" s="28" t="s">
        <v>63</v>
      </c>
      <c r="F869" s="29"/>
      <c r="G869" s="29"/>
      <c r="H869" s="29"/>
      <c r="I869" s="29"/>
      <c r="J869" s="29"/>
      <c r="K869" s="29"/>
      <c r="L869" s="29"/>
      <c r="M869" s="157">
        <f>M536+M621</f>
        <v>154336.247</v>
      </c>
      <c r="N869" s="190"/>
    </row>
    <row r="870" spans="4:14" ht="18" hidden="1" customHeight="1" x14ac:dyDescent="0.35">
      <c r="D870" s="28" t="s">
        <v>224</v>
      </c>
      <c r="E870" s="28" t="s">
        <v>65</v>
      </c>
      <c r="F870" s="29"/>
      <c r="G870" s="29"/>
      <c r="H870" s="29"/>
      <c r="I870" s="29"/>
      <c r="J870" s="29"/>
      <c r="K870" s="29"/>
      <c r="L870" s="29"/>
      <c r="M870" s="157">
        <f>M196+M277+M403+M309</f>
        <v>301.59999999999997</v>
      </c>
      <c r="N870" s="190"/>
    </row>
    <row r="871" spans="4:14" ht="18" hidden="1" customHeight="1" x14ac:dyDescent="0.35">
      <c r="D871" s="28" t="s">
        <v>224</v>
      </c>
      <c r="E871" s="28" t="s">
        <v>224</v>
      </c>
      <c r="F871" s="29"/>
      <c r="G871" s="29"/>
      <c r="H871" s="29"/>
      <c r="I871" s="29"/>
      <c r="J871" s="29"/>
      <c r="K871" s="29"/>
      <c r="L871" s="29"/>
      <c r="M871" s="157">
        <f>M783</f>
        <v>5816.9699999999993</v>
      </c>
      <c r="N871" s="190"/>
    </row>
    <row r="872" spans="4:14" ht="18" hidden="1" customHeight="1" x14ac:dyDescent="0.35">
      <c r="D872" s="28" t="s">
        <v>224</v>
      </c>
      <c r="E872" s="28" t="s">
        <v>79</v>
      </c>
      <c r="F872" s="29"/>
      <c r="G872" s="29"/>
      <c r="H872" s="29"/>
      <c r="I872" s="29"/>
      <c r="J872" s="29"/>
      <c r="K872" s="29"/>
      <c r="L872" s="29"/>
      <c r="M872" s="157">
        <f>M567+M633+M793</f>
        <v>94095.143000000011</v>
      </c>
      <c r="N872" s="190"/>
    </row>
    <row r="873" spans="4:14" ht="18" hidden="1" customHeight="1" x14ac:dyDescent="0.35">
      <c r="D873" s="158" t="s">
        <v>224</v>
      </c>
      <c r="E873" s="158" t="s">
        <v>43</v>
      </c>
      <c r="F873" s="29"/>
      <c r="G873" s="29"/>
      <c r="H873" s="29"/>
      <c r="I873" s="29"/>
      <c r="J873" s="29"/>
      <c r="K873" s="29"/>
      <c r="L873" s="29"/>
      <c r="M873" s="159">
        <f>SUBTOTAL(9,M867:M872)</f>
        <v>1649870.8552999999</v>
      </c>
      <c r="N873" s="191"/>
    </row>
    <row r="874" spans="4:14" ht="18" hidden="1" customHeight="1" x14ac:dyDescent="0.35">
      <c r="D874" s="28"/>
      <c r="E874" s="28"/>
      <c r="F874" s="29"/>
      <c r="G874" s="29"/>
      <c r="H874" s="29"/>
      <c r="I874" s="29"/>
      <c r="J874" s="29"/>
      <c r="K874" s="29"/>
      <c r="L874" s="29"/>
      <c r="M874" s="157"/>
      <c r="N874" s="190"/>
    </row>
    <row r="875" spans="4:14" ht="18" hidden="1" customHeight="1" x14ac:dyDescent="0.35">
      <c r="D875" s="28" t="s">
        <v>226</v>
      </c>
      <c r="E875" s="28" t="s">
        <v>37</v>
      </c>
      <c r="F875" s="29"/>
      <c r="G875" s="29"/>
      <c r="H875" s="29"/>
      <c r="I875" s="29"/>
      <c r="J875" s="29"/>
      <c r="K875" s="29"/>
      <c r="L875" s="29"/>
      <c r="M875" s="157">
        <f>M643</f>
        <v>53329.499999999993</v>
      </c>
      <c r="N875" s="190"/>
    </row>
    <row r="876" spans="4:14" ht="18" hidden="1" customHeight="1" x14ac:dyDescent="0.35">
      <c r="D876" s="28" t="s">
        <v>226</v>
      </c>
      <c r="E876" s="28" t="s">
        <v>52</v>
      </c>
      <c r="F876" s="29"/>
      <c r="G876" s="29"/>
      <c r="H876" s="29"/>
      <c r="I876" s="29"/>
      <c r="J876" s="29"/>
      <c r="K876" s="29"/>
      <c r="L876" s="29"/>
      <c r="M876" s="157">
        <f>M677</f>
        <v>12195</v>
      </c>
      <c r="N876" s="190"/>
    </row>
    <row r="877" spans="4:14" ht="18" hidden="1" customHeight="1" x14ac:dyDescent="0.35">
      <c r="D877" s="158" t="s">
        <v>226</v>
      </c>
      <c r="E877" s="158" t="s">
        <v>43</v>
      </c>
      <c r="F877" s="29"/>
      <c r="G877" s="29"/>
      <c r="H877" s="29"/>
      <c r="I877" s="29"/>
      <c r="J877" s="29"/>
      <c r="K877" s="29"/>
      <c r="L877" s="29"/>
      <c r="M877" s="159">
        <f>SUBTOTAL(9,M875:M876)</f>
        <v>65524.499999999993</v>
      </c>
      <c r="N877" s="191"/>
    </row>
    <row r="878" spans="4:14" ht="18" hidden="1" customHeight="1" x14ac:dyDescent="0.35">
      <c r="D878" s="28"/>
      <c r="E878" s="28"/>
      <c r="F878" s="29"/>
      <c r="G878" s="29"/>
      <c r="H878" s="29"/>
      <c r="I878" s="29"/>
      <c r="J878" s="29"/>
      <c r="K878" s="29"/>
      <c r="L878" s="29"/>
      <c r="M878" s="157"/>
      <c r="N878" s="190"/>
    </row>
    <row r="879" spans="4:14" ht="18" hidden="1" customHeight="1" x14ac:dyDescent="0.35">
      <c r="D879" s="28" t="s">
        <v>104</v>
      </c>
      <c r="E879" s="28" t="s">
        <v>37</v>
      </c>
      <c r="F879" s="29"/>
      <c r="G879" s="29"/>
      <c r="H879" s="29"/>
      <c r="I879" s="29"/>
      <c r="J879" s="29"/>
      <c r="K879" s="29"/>
      <c r="L879" s="29"/>
      <c r="M879" s="157">
        <f>M203</f>
        <v>1539.6</v>
      </c>
      <c r="N879" s="190"/>
    </row>
    <row r="880" spans="4:14" ht="18" hidden="1" customHeight="1" x14ac:dyDescent="0.35">
      <c r="D880" s="28" t="s">
        <v>104</v>
      </c>
      <c r="E880" s="28" t="s">
        <v>63</v>
      </c>
      <c r="F880" s="29"/>
      <c r="G880" s="29"/>
      <c r="H880" s="29"/>
      <c r="I880" s="29"/>
      <c r="J880" s="29"/>
      <c r="K880" s="29"/>
      <c r="L880" s="29"/>
      <c r="M880" s="157">
        <f>M598+M209</f>
        <v>2070</v>
      </c>
      <c r="N880" s="190"/>
    </row>
    <row r="881" spans="4:14" ht="18" hidden="1" customHeight="1" x14ac:dyDescent="0.35">
      <c r="D881" s="28" t="s">
        <v>104</v>
      </c>
      <c r="E881" s="28" t="s">
        <v>52</v>
      </c>
      <c r="F881" s="29"/>
      <c r="G881" s="29"/>
      <c r="H881" s="29"/>
      <c r="I881" s="29"/>
      <c r="J881" s="29"/>
      <c r="K881" s="29"/>
      <c r="L881" s="29"/>
      <c r="M881" s="157">
        <f>M410+M604+M804</f>
        <v>154003.47597</v>
      </c>
      <c r="N881" s="190"/>
    </row>
    <row r="882" spans="4:14" ht="18" hidden="1" customHeight="1" x14ac:dyDescent="0.35">
      <c r="D882" s="28" t="s">
        <v>104</v>
      </c>
      <c r="E882" s="28" t="s">
        <v>81</v>
      </c>
      <c r="F882" s="29"/>
      <c r="G882" s="29"/>
      <c r="H882" s="29"/>
      <c r="I882" s="29"/>
      <c r="J882" s="29"/>
      <c r="K882" s="29"/>
      <c r="L882" s="29"/>
      <c r="M882" s="157">
        <f>M215+M823</f>
        <v>11468.5</v>
      </c>
      <c r="N882" s="190"/>
    </row>
    <row r="883" spans="4:14" ht="18" hidden="1" customHeight="1" x14ac:dyDescent="0.35">
      <c r="D883" s="158" t="s">
        <v>104</v>
      </c>
      <c r="E883" s="158" t="s">
        <v>43</v>
      </c>
      <c r="F883" s="29"/>
      <c r="G883" s="29"/>
      <c r="H883" s="29"/>
      <c r="I883" s="29"/>
      <c r="J883" s="29"/>
      <c r="K883" s="29"/>
      <c r="L883" s="29"/>
      <c r="M883" s="159">
        <f>SUBTOTAL(9,M879:M882)</f>
        <v>169081.57597000001</v>
      </c>
      <c r="N883" s="191"/>
    </row>
    <row r="884" spans="4:14" ht="18" hidden="1" customHeight="1" x14ac:dyDescent="0.35">
      <c r="D884" s="28"/>
      <c r="E884" s="28"/>
      <c r="F884" s="29"/>
      <c r="G884" s="29"/>
      <c r="H884" s="29"/>
      <c r="I884" s="29"/>
      <c r="J884" s="29"/>
      <c r="K884" s="29"/>
      <c r="L884" s="29"/>
      <c r="M884" s="157"/>
      <c r="N884" s="190"/>
    </row>
    <row r="885" spans="4:14" ht="18" hidden="1" customHeight="1" x14ac:dyDescent="0.35">
      <c r="D885" s="28" t="s">
        <v>67</v>
      </c>
      <c r="E885" s="28" t="s">
        <v>37</v>
      </c>
      <c r="F885" s="29"/>
      <c r="G885" s="29"/>
      <c r="H885" s="29"/>
      <c r="I885" s="29"/>
      <c r="J885" s="29"/>
      <c r="K885" s="29"/>
      <c r="L885" s="29"/>
      <c r="M885" s="157">
        <f>M703+M417</f>
        <v>83143.606480000002</v>
      </c>
      <c r="N885" s="190"/>
    </row>
    <row r="886" spans="4:14" ht="18" hidden="1" customHeight="1" x14ac:dyDescent="0.35">
      <c r="D886" s="28" t="s">
        <v>67</v>
      </c>
      <c r="E886" s="28" t="s">
        <v>39</v>
      </c>
      <c r="F886" s="29"/>
      <c r="G886" s="29"/>
      <c r="H886" s="29"/>
      <c r="I886" s="29"/>
      <c r="J886" s="29"/>
      <c r="K886" s="29"/>
      <c r="L886" s="29"/>
      <c r="M886" s="157">
        <f>M724</f>
        <v>28674.6</v>
      </c>
      <c r="N886" s="190"/>
    </row>
    <row r="887" spans="4:14" ht="18" hidden="1" customHeight="1" x14ac:dyDescent="0.35">
      <c r="D887" s="28" t="s">
        <v>67</v>
      </c>
      <c r="E887" s="28" t="s">
        <v>63</v>
      </c>
      <c r="F887" s="29"/>
      <c r="G887" s="29"/>
      <c r="H887" s="29"/>
      <c r="I887" s="29"/>
      <c r="J887" s="29"/>
      <c r="K887" s="29"/>
      <c r="L887" s="29"/>
      <c r="M887" s="157">
        <f>M737</f>
        <v>39458.393519999998</v>
      </c>
      <c r="N887" s="190"/>
    </row>
    <row r="888" spans="4:14" ht="18" hidden="1" customHeight="1" x14ac:dyDescent="0.35">
      <c r="D888" s="28" t="s">
        <v>67</v>
      </c>
      <c r="E888" s="28" t="s">
        <v>65</v>
      </c>
      <c r="F888" s="29"/>
      <c r="G888" s="29"/>
      <c r="H888" s="29"/>
      <c r="I888" s="29"/>
      <c r="J888" s="29"/>
      <c r="K888" s="29"/>
      <c r="L888" s="29"/>
      <c r="M888" s="157">
        <f>M759</f>
        <v>2971.1000000000004</v>
      </c>
      <c r="N888" s="190"/>
    </row>
    <row r="889" spans="4:14" ht="18" hidden="1" customHeight="1" x14ac:dyDescent="0.35">
      <c r="D889" s="158" t="s">
        <v>67</v>
      </c>
      <c r="E889" s="158" t="s">
        <v>43</v>
      </c>
      <c r="F889" s="29"/>
      <c r="G889" s="29"/>
      <c r="H889" s="29"/>
      <c r="I889" s="29"/>
      <c r="J889" s="29"/>
      <c r="K889" s="29"/>
      <c r="L889" s="29"/>
      <c r="M889" s="159">
        <f>SUBTOTAL(9,M885:M888)</f>
        <v>154247.69999999998</v>
      </c>
      <c r="N889" s="191"/>
    </row>
    <row r="890" spans="4:14" ht="18" hidden="1" customHeight="1" x14ac:dyDescent="0.35">
      <c r="D890" s="28"/>
      <c r="E890" s="28"/>
      <c r="F890" s="29"/>
      <c r="G890" s="29"/>
      <c r="H890" s="29"/>
      <c r="I890" s="29"/>
      <c r="J890" s="29"/>
      <c r="K890" s="29"/>
      <c r="L890" s="29"/>
      <c r="M890" s="157"/>
      <c r="N890" s="190"/>
    </row>
    <row r="891" spans="4:14" ht="18" hidden="1" customHeight="1" x14ac:dyDescent="0.35">
      <c r="D891" s="28" t="s">
        <v>71</v>
      </c>
      <c r="E891" s="28" t="s">
        <v>37</v>
      </c>
      <c r="F891" s="29"/>
      <c r="G891" s="29"/>
      <c r="H891" s="29"/>
      <c r="I891" s="29"/>
      <c r="J891" s="29"/>
      <c r="K891" s="29"/>
      <c r="L891" s="29"/>
      <c r="M891" s="157"/>
      <c r="N891" s="190"/>
    </row>
    <row r="892" spans="4:14" ht="18" hidden="1" customHeight="1" x14ac:dyDescent="0.35">
      <c r="D892" s="158" t="s">
        <v>71</v>
      </c>
      <c r="E892" s="158" t="s">
        <v>43</v>
      </c>
      <c r="F892" s="29"/>
      <c r="G892" s="29"/>
      <c r="H892" s="29"/>
      <c r="I892" s="29"/>
      <c r="J892" s="29"/>
      <c r="K892" s="29"/>
      <c r="L892" s="29"/>
      <c r="M892" s="159">
        <f>M891</f>
        <v>0</v>
      </c>
      <c r="N892" s="191"/>
    </row>
    <row r="893" spans="4:14" ht="18" hidden="1" customHeight="1" x14ac:dyDescent="0.35">
      <c r="D893" s="28"/>
      <c r="E893" s="28"/>
      <c r="F893" s="29"/>
      <c r="G893" s="29"/>
      <c r="H893" s="29"/>
      <c r="I893" s="29"/>
      <c r="J893" s="29"/>
      <c r="K893" s="29"/>
      <c r="L893" s="29"/>
      <c r="M893" s="157"/>
      <c r="N893" s="190"/>
    </row>
    <row r="894" spans="4:14" ht="18" hidden="1" customHeight="1" x14ac:dyDescent="0.35">
      <c r="D894" s="28" t="s">
        <v>88</v>
      </c>
      <c r="E894" s="28" t="s">
        <v>37</v>
      </c>
      <c r="F894" s="29"/>
      <c r="G894" s="29"/>
      <c r="H894" s="29"/>
      <c r="I894" s="29"/>
      <c r="J894" s="29"/>
      <c r="K894" s="29"/>
      <c r="L894" s="29"/>
      <c r="M894" s="157">
        <f>M284</f>
        <v>7500</v>
      </c>
      <c r="N894" s="190"/>
    </row>
    <row r="895" spans="4:14" ht="18" hidden="1" customHeight="1" x14ac:dyDescent="0.35">
      <c r="D895" s="28" t="s">
        <v>88</v>
      </c>
      <c r="E895" s="28" t="s">
        <v>39</v>
      </c>
      <c r="F895" s="29"/>
      <c r="G895" s="29"/>
      <c r="H895" s="29"/>
      <c r="I895" s="29"/>
      <c r="J895" s="29"/>
      <c r="K895" s="29"/>
      <c r="L895" s="29"/>
      <c r="M895" s="157"/>
      <c r="N895" s="190"/>
    </row>
    <row r="896" spans="4:14" ht="18" hidden="1" customHeight="1" x14ac:dyDescent="0.35">
      <c r="D896" s="28" t="s">
        <v>88</v>
      </c>
      <c r="E896" s="28" t="s">
        <v>63</v>
      </c>
      <c r="F896" s="29"/>
      <c r="G896" s="29"/>
      <c r="H896" s="29"/>
      <c r="I896" s="29"/>
      <c r="J896" s="29"/>
      <c r="K896" s="29"/>
      <c r="L896" s="264">
        <f>L222+L290</f>
        <v>8275</v>
      </c>
      <c r="M896" s="157">
        <f>M222+M290</f>
        <v>48129.5</v>
      </c>
      <c r="N896" s="190"/>
    </row>
    <row r="897" spans="2:14" ht="18" hidden="1" customHeight="1" x14ac:dyDescent="0.35">
      <c r="D897" s="158" t="s">
        <v>88</v>
      </c>
      <c r="E897" s="158" t="s">
        <v>43</v>
      </c>
      <c r="F897" s="29"/>
      <c r="G897" s="29"/>
      <c r="H897" s="29"/>
      <c r="I897" s="29"/>
      <c r="J897" s="29"/>
      <c r="K897" s="29"/>
      <c r="L897" s="29"/>
      <c r="M897" s="159">
        <f>SUBTOTAL(9,M894:M896)</f>
        <v>55629.5</v>
      </c>
      <c r="N897" s="191"/>
    </row>
    <row r="898" spans="2:14" ht="18" hidden="1" customHeight="1" x14ac:dyDescent="0.35">
      <c r="D898" s="82"/>
      <c r="E898" s="28"/>
      <c r="F898" s="29"/>
      <c r="G898" s="29"/>
      <c r="H898" s="29"/>
      <c r="I898" s="29"/>
      <c r="J898" s="29"/>
      <c r="K898" s="29"/>
      <c r="L898" s="29"/>
      <c r="M898" s="481">
        <f>M850+M854+M859+M865+M873+M877+M883+M889+M892+M897</f>
        <v>2612020.7719000001</v>
      </c>
      <c r="N898" s="84"/>
    </row>
    <row r="899" spans="2:14" ht="18" hidden="1" customHeight="1" x14ac:dyDescent="0.35">
      <c r="D899" s="83"/>
      <c r="E899" s="83"/>
      <c r="F899" s="33"/>
      <c r="G899" s="33"/>
      <c r="H899" s="33"/>
      <c r="I899" s="33"/>
      <c r="J899" s="33"/>
      <c r="K899" s="33"/>
      <c r="L899" s="33"/>
      <c r="M899" s="482"/>
      <c r="N899" s="84"/>
    </row>
    <row r="900" spans="2:14" ht="18" hidden="1" customHeight="1" x14ac:dyDescent="0.35">
      <c r="B900" s="509" t="s">
        <v>367</v>
      </c>
      <c r="D900" s="83"/>
      <c r="E900" s="83"/>
      <c r="F900" s="33"/>
      <c r="G900" s="33"/>
      <c r="H900" s="33"/>
      <c r="I900" s="33"/>
      <c r="J900" s="33"/>
      <c r="K900" s="33"/>
      <c r="L900" s="33"/>
      <c r="M900" s="482"/>
      <c r="N900" s="84"/>
    </row>
    <row r="901" spans="2:14" ht="18" hidden="1" customHeight="1" x14ac:dyDescent="0.35">
      <c r="B901" s="509" t="s">
        <v>366</v>
      </c>
      <c r="D901" s="83"/>
      <c r="E901" s="83"/>
      <c r="F901" s="33"/>
      <c r="G901" s="33"/>
      <c r="H901" s="33"/>
      <c r="I901" s="33"/>
      <c r="J901" s="33"/>
      <c r="K901" s="33"/>
      <c r="L901" s="33"/>
      <c r="M901" s="482"/>
      <c r="N901" s="84"/>
    </row>
    <row r="902" spans="2:14" ht="18" customHeight="1" x14ac:dyDescent="0.35">
      <c r="D902" s="83"/>
      <c r="E902" s="83"/>
      <c r="F902" s="33"/>
      <c r="G902" s="33"/>
      <c r="H902" s="33"/>
      <c r="I902" s="33"/>
      <c r="J902" s="33"/>
      <c r="K902" s="33"/>
      <c r="L902" s="33"/>
      <c r="M902" s="483"/>
      <c r="N902" s="84"/>
    </row>
    <row r="903" spans="2:14" ht="18" customHeight="1" x14ac:dyDescent="0.35">
      <c r="D903" s="83"/>
      <c r="E903" s="83"/>
      <c r="F903" s="33"/>
      <c r="G903" s="33"/>
      <c r="H903" s="33"/>
      <c r="I903" s="33"/>
      <c r="J903" s="33"/>
      <c r="K903" s="33"/>
      <c r="L903" s="33"/>
      <c r="M903" s="484"/>
      <c r="N903" s="84"/>
    </row>
    <row r="904" spans="2:14" ht="14.4" customHeight="1" x14ac:dyDescent="0.3">
      <c r="D904" s="84"/>
      <c r="E904" s="84"/>
      <c r="F904" s="84"/>
      <c r="G904" s="84"/>
      <c r="H904" s="84"/>
      <c r="I904" s="84"/>
      <c r="J904" s="84"/>
      <c r="K904" s="84"/>
      <c r="L904" s="84"/>
      <c r="M904" s="484"/>
      <c r="N904" s="84"/>
    </row>
    <row r="905" spans="2:14" ht="14.4" customHeight="1" x14ac:dyDescent="0.3">
      <c r="D905" s="84"/>
      <c r="E905" s="84"/>
      <c r="F905" s="84"/>
      <c r="G905" s="84"/>
      <c r="H905" s="84"/>
      <c r="I905" s="84"/>
      <c r="J905" s="84"/>
      <c r="K905" s="84"/>
      <c r="L905" s="84"/>
      <c r="M905" s="484"/>
      <c r="N905" s="84"/>
    </row>
    <row r="906" spans="2:14" ht="14.4" customHeight="1" x14ac:dyDescent="0.3">
      <c r="D906" s="84"/>
      <c r="E906" s="84"/>
      <c r="F906" s="84"/>
      <c r="G906" s="84"/>
      <c r="H906" s="84"/>
      <c r="I906" s="84"/>
      <c r="J906" s="84"/>
      <c r="K906" s="84"/>
      <c r="L906" s="84"/>
      <c r="M906" s="484"/>
      <c r="N906" s="84"/>
    </row>
    <row r="907" spans="2:14" ht="14.4" customHeight="1" x14ac:dyDescent="0.3">
      <c r="D907" s="84"/>
      <c r="E907" s="84"/>
      <c r="F907" s="84"/>
      <c r="G907" s="84"/>
      <c r="H907" s="84"/>
      <c r="I907" s="84"/>
      <c r="J907" s="84"/>
      <c r="K907" s="84"/>
      <c r="L907" s="84"/>
      <c r="M907" s="484"/>
      <c r="N907" s="84"/>
    </row>
    <row r="908" spans="2:14" ht="14.4" customHeight="1" x14ac:dyDescent="0.3">
      <c r="D908" s="84"/>
      <c r="E908" s="84"/>
      <c r="F908" s="84"/>
      <c r="G908" s="84"/>
      <c r="H908" s="84"/>
      <c r="I908" s="84"/>
      <c r="J908" s="84"/>
      <c r="K908" s="84"/>
      <c r="L908" s="84"/>
      <c r="M908" s="484"/>
      <c r="N908" s="84"/>
    </row>
    <row r="909" spans="2:14" ht="14.4" customHeight="1" x14ac:dyDescent="0.3">
      <c r="D909" s="84"/>
      <c r="E909" s="84"/>
      <c r="F909" s="84"/>
      <c r="G909" s="84"/>
      <c r="H909" s="84"/>
      <c r="I909" s="84"/>
      <c r="J909" s="84"/>
      <c r="K909" s="84"/>
      <c r="L909" s="84"/>
      <c r="M909" s="484"/>
      <c r="N909" s="84"/>
    </row>
    <row r="910" spans="2:14" ht="14.4" customHeight="1" x14ac:dyDescent="0.3">
      <c r="D910" s="84"/>
      <c r="E910" s="84"/>
      <c r="F910" s="84"/>
      <c r="G910" s="84"/>
      <c r="H910" s="84"/>
      <c r="I910" s="84"/>
      <c r="J910" s="84"/>
      <c r="K910" s="84"/>
      <c r="L910" s="84"/>
      <c r="M910" s="484"/>
      <c r="N910" s="84"/>
    </row>
    <row r="911" spans="2:14" ht="14.4" customHeight="1" x14ac:dyDescent="0.3">
      <c r="D911" s="84"/>
      <c r="E911" s="84"/>
      <c r="F911" s="84"/>
      <c r="G911" s="84"/>
      <c r="H911" s="84"/>
      <c r="I911" s="84"/>
      <c r="J911" s="84"/>
      <c r="K911" s="84"/>
      <c r="L911" s="84"/>
      <c r="M911" s="484"/>
      <c r="N911" s="84"/>
    </row>
    <row r="912" spans="2:14" ht="14.4" customHeight="1" x14ac:dyDescent="0.3">
      <c r="D912" s="84"/>
      <c r="E912" s="84"/>
      <c r="F912" s="84"/>
      <c r="G912" s="84"/>
      <c r="H912" s="84"/>
      <c r="I912" s="84"/>
      <c r="J912" s="84"/>
      <c r="K912" s="84"/>
      <c r="L912" s="84"/>
      <c r="M912" s="484"/>
      <c r="N912" s="84"/>
    </row>
    <row r="913" spans="4:14" ht="14.4" customHeight="1" x14ac:dyDescent="0.3">
      <c r="D913" s="84"/>
      <c r="E913" s="84"/>
      <c r="F913" s="84"/>
      <c r="G913" s="84"/>
      <c r="H913" s="84"/>
      <c r="I913" s="84"/>
      <c r="J913" s="84"/>
      <c r="K913" s="84"/>
      <c r="L913" s="84"/>
      <c r="M913" s="484"/>
      <c r="N913" s="84"/>
    </row>
    <row r="914" spans="4:14" ht="14.4" customHeight="1" x14ac:dyDescent="0.3">
      <c r="D914" s="84"/>
      <c r="E914" s="84"/>
      <c r="F914" s="84"/>
      <c r="G914" s="84"/>
      <c r="H914" s="84"/>
      <c r="I914" s="84"/>
      <c r="J914" s="84"/>
      <c r="K914" s="84"/>
      <c r="L914" s="84"/>
      <c r="M914" s="484"/>
      <c r="N914" s="84"/>
    </row>
    <row r="915" spans="4:14" ht="14.4" customHeight="1" x14ac:dyDescent="0.3">
      <c r="D915" s="84"/>
      <c r="E915" s="84"/>
      <c r="F915" s="84"/>
      <c r="G915" s="84"/>
      <c r="H915" s="84"/>
      <c r="I915" s="84"/>
      <c r="J915" s="84"/>
      <c r="K915" s="84"/>
      <c r="L915" s="84"/>
      <c r="M915" s="484"/>
      <c r="N915" s="84"/>
    </row>
    <row r="916" spans="4:14" ht="14.4" customHeight="1" x14ac:dyDescent="0.3">
      <c r="D916" s="84"/>
      <c r="E916" s="84"/>
      <c r="F916" s="84"/>
      <c r="G916" s="84"/>
      <c r="H916" s="84"/>
      <c r="I916" s="84"/>
      <c r="J916" s="84"/>
      <c r="K916" s="84"/>
      <c r="L916" s="84"/>
      <c r="M916" s="484"/>
      <c r="N916" s="84"/>
    </row>
    <row r="917" spans="4:14" ht="14.4" customHeight="1" x14ac:dyDescent="0.3">
      <c r="D917" s="84"/>
      <c r="E917" s="84"/>
      <c r="F917" s="84"/>
      <c r="G917" s="84"/>
      <c r="H917" s="84"/>
      <c r="I917" s="84"/>
      <c r="J917" s="84"/>
      <c r="K917" s="84"/>
      <c r="L917" s="84"/>
      <c r="M917" s="484"/>
      <c r="N917" s="84"/>
    </row>
    <row r="918" spans="4:14" ht="14.4" customHeight="1" x14ac:dyDescent="0.3">
      <c r="D918" s="84"/>
      <c r="E918" s="84"/>
      <c r="F918" s="84"/>
      <c r="G918" s="84"/>
      <c r="H918" s="84"/>
      <c r="I918" s="84"/>
      <c r="J918" s="84"/>
      <c r="K918" s="84"/>
      <c r="L918" s="84"/>
      <c r="M918" s="484"/>
      <c r="N918" s="84"/>
    </row>
    <row r="919" spans="4:14" ht="14.4" customHeight="1" x14ac:dyDescent="0.3">
      <c r="D919" s="84"/>
      <c r="E919" s="84"/>
      <c r="F919" s="84"/>
      <c r="G919" s="84"/>
      <c r="H919" s="84"/>
      <c r="I919" s="84"/>
      <c r="J919" s="84"/>
      <c r="K919" s="84"/>
      <c r="L919" s="84"/>
      <c r="M919" s="484"/>
      <c r="N919" s="84"/>
    </row>
    <row r="920" spans="4:14" ht="14.4" customHeight="1" x14ac:dyDescent="0.3">
      <c r="D920" s="84"/>
      <c r="E920" s="84"/>
      <c r="F920" s="84"/>
      <c r="G920" s="84"/>
      <c r="H920" s="84"/>
      <c r="I920" s="84"/>
      <c r="J920" s="84"/>
      <c r="K920" s="84"/>
      <c r="L920" s="84"/>
      <c r="M920" s="484"/>
      <c r="N920" s="84"/>
    </row>
    <row r="921" spans="4:14" ht="14.4" customHeight="1" x14ac:dyDescent="0.3">
      <c r="D921" s="84"/>
      <c r="E921" s="84"/>
      <c r="F921" s="84"/>
      <c r="G921" s="84"/>
      <c r="H921" s="84"/>
      <c r="I921" s="84"/>
      <c r="J921" s="84"/>
      <c r="K921" s="84"/>
      <c r="L921" s="84"/>
      <c r="M921" s="484"/>
      <c r="N921" s="84"/>
    </row>
    <row r="922" spans="4:14" ht="14.4" customHeight="1" x14ac:dyDescent="0.3">
      <c r="D922" s="84"/>
      <c r="E922" s="84"/>
      <c r="F922" s="84"/>
      <c r="G922" s="84"/>
      <c r="H922" s="84"/>
      <c r="I922" s="84"/>
      <c r="J922" s="84"/>
      <c r="K922" s="84"/>
      <c r="L922" s="84"/>
      <c r="M922" s="484"/>
      <c r="N922" s="84"/>
    </row>
    <row r="923" spans="4:14" ht="14.4" customHeight="1" x14ac:dyDescent="0.3">
      <c r="D923" s="84"/>
      <c r="E923" s="84"/>
      <c r="F923" s="84"/>
      <c r="G923" s="84"/>
      <c r="H923" s="84"/>
      <c r="I923" s="84"/>
      <c r="J923" s="84"/>
      <c r="K923" s="84"/>
      <c r="L923" s="84"/>
      <c r="M923" s="484"/>
      <c r="N923" s="84"/>
    </row>
    <row r="924" spans="4:14" ht="14.4" customHeight="1" x14ac:dyDescent="0.3">
      <c r="D924" s="84"/>
      <c r="E924" s="84"/>
      <c r="F924" s="84"/>
      <c r="G924" s="84"/>
      <c r="H924" s="84"/>
      <c r="I924" s="84"/>
      <c r="J924" s="84"/>
      <c r="K924" s="84"/>
      <c r="L924" s="84"/>
      <c r="M924" s="484"/>
      <c r="N924" s="84"/>
    </row>
    <row r="925" spans="4:14" ht="14.4" customHeight="1" x14ac:dyDescent="0.3">
      <c r="D925" s="84"/>
      <c r="E925" s="84"/>
      <c r="F925" s="84"/>
      <c r="G925" s="84"/>
      <c r="H925" s="84"/>
      <c r="I925" s="84"/>
      <c r="J925" s="84"/>
      <c r="K925" s="84"/>
      <c r="L925" s="84"/>
      <c r="M925" s="484"/>
      <c r="N925" s="84"/>
    </row>
    <row r="926" spans="4:14" ht="14.4" customHeight="1" x14ac:dyDescent="0.3">
      <c r="D926" s="84"/>
      <c r="E926" s="84"/>
      <c r="F926" s="84"/>
      <c r="G926" s="84"/>
      <c r="H926" s="84"/>
      <c r="I926" s="84"/>
      <c r="J926" s="84"/>
      <c r="K926" s="84"/>
      <c r="L926" s="84"/>
      <c r="M926" s="484"/>
      <c r="N926" s="84"/>
    </row>
    <row r="927" spans="4:14" ht="14.4" customHeight="1" x14ac:dyDescent="0.3">
      <c r="D927" s="84"/>
      <c r="E927" s="84"/>
      <c r="F927" s="84"/>
      <c r="G927" s="84"/>
      <c r="H927" s="84"/>
      <c r="I927" s="84"/>
      <c r="J927" s="84"/>
      <c r="K927" s="84"/>
      <c r="L927" s="84"/>
      <c r="M927" s="484"/>
      <c r="N927" s="84"/>
    </row>
    <row r="928" spans="4:14" ht="14.4" customHeight="1" x14ac:dyDescent="0.3">
      <c r="D928" s="84"/>
      <c r="E928" s="84"/>
      <c r="F928" s="84"/>
      <c r="G928" s="84"/>
      <c r="H928" s="84"/>
      <c r="I928" s="84"/>
      <c r="J928" s="84"/>
      <c r="K928" s="84"/>
      <c r="L928" s="84"/>
      <c r="M928" s="484"/>
      <c r="N928" s="84"/>
    </row>
    <row r="929" spans="4:14" ht="14.4" customHeight="1" x14ac:dyDescent="0.3">
      <c r="D929" s="84"/>
      <c r="E929" s="84"/>
      <c r="F929" s="84"/>
      <c r="G929" s="84"/>
      <c r="H929" s="84"/>
      <c r="I929" s="84"/>
      <c r="J929" s="84"/>
      <c r="K929" s="84"/>
      <c r="L929" s="84"/>
      <c r="M929" s="484"/>
      <c r="N929" s="84"/>
    </row>
    <row r="930" spans="4:14" ht="14.4" customHeight="1" x14ac:dyDescent="0.3">
      <c r="D930" s="84"/>
      <c r="E930" s="84"/>
      <c r="F930" s="84"/>
      <c r="G930" s="84"/>
      <c r="H930" s="84"/>
      <c r="I930" s="84"/>
      <c r="J930" s="84"/>
      <c r="K930" s="84"/>
      <c r="L930" s="84"/>
      <c r="M930" s="484"/>
      <c r="N930" s="84"/>
    </row>
    <row r="931" spans="4:14" ht="14.4" customHeight="1" x14ac:dyDescent="0.3">
      <c r="D931" s="84"/>
      <c r="E931" s="84"/>
      <c r="F931" s="84"/>
      <c r="G931" s="84"/>
      <c r="H931" s="84"/>
      <c r="I931" s="84"/>
      <c r="J931" s="84"/>
      <c r="K931" s="84"/>
      <c r="L931" s="84"/>
      <c r="M931" s="484"/>
      <c r="N931" s="84"/>
    </row>
    <row r="932" spans="4:14" ht="14.4" customHeight="1" x14ac:dyDescent="0.3">
      <c r="D932" s="84"/>
      <c r="E932" s="84"/>
      <c r="F932" s="84"/>
      <c r="G932" s="84"/>
      <c r="H932" s="84"/>
      <c r="I932" s="84"/>
      <c r="J932" s="84"/>
      <c r="K932" s="84"/>
      <c r="L932" s="84"/>
      <c r="M932" s="484"/>
      <c r="N932" s="84"/>
    </row>
    <row r="933" spans="4:14" ht="14.4" customHeight="1" x14ac:dyDescent="0.3">
      <c r="D933" s="84"/>
      <c r="E933" s="84"/>
      <c r="F933" s="84"/>
      <c r="G933" s="84"/>
      <c r="H933" s="84"/>
      <c r="I933" s="84"/>
      <c r="J933" s="84"/>
      <c r="K933" s="84"/>
      <c r="L933" s="84"/>
      <c r="M933" s="484"/>
      <c r="N933" s="84"/>
    </row>
    <row r="934" spans="4:14" ht="14.4" customHeight="1" x14ac:dyDescent="0.3">
      <c r="D934" s="84"/>
      <c r="E934" s="84"/>
      <c r="F934" s="84"/>
      <c r="G934" s="84"/>
      <c r="H934" s="84"/>
      <c r="I934" s="84"/>
      <c r="J934" s="84"/>
      <c r="K934" s="84"/>
      <c r="L934" s="84"/>
      <c r="M934" s="484"/>
      <c r="N934" s="84"/>
    </row>
    <row r="935" spans="4:14" ht="14.4" customHeight="1" x14ac:dyDescent="0.3">
      <c r="D935" s="84"/>
      <c r="E935" s="84"/>
      <c r="F935" s="84"/>
      <c r="G935" s="84"/>
      <c r="H935" s="84"/>
      <c r="I935" s="84"/>
      <c r="J935" s="84"/>
      <c r="K935" s="84"/>
      <c r="L935" s="84"/>
      <c r="M935" s="484"/>
      <c r="N935" s="84"/>
    </row>
    <row r="936" spans="4:14" ht="14.4" customHeight="1" x14ac:dyDescent="0.3">
      <c r="D936" s="84"/>
      <c r="E936" s="84"/>
      <c r="F936" s="84"/>
      <c r="G936" s="84"/>
      <c r="H936" s="84"/>
      <c r="I936" s="84"/>
      <c r="J936" s="84"/>
      <c r="K936" s="84"/>
      <c r="L936" s="84"/>
      <c r="M936" s="484"/>
      <c r="N936" s="84"/>
    </row>
    <row r="937" spans="4:14" ht="14.4" customHeight="1" x14ac:dyDescent="0.3">
      <c r="D937" s="84"/>
      <c r="E937" s="84"/>
      <c r="F937" s="84"/>
      <c r="G937" s="84"/>
      <c r="H937" s="84"/>
      <c r="I937" s="84"/>
      <c r="J937" s="84"/>
      <c r="K937" s="84"/>
      <c r="L937" s="84"/>
      <c r="M937" s="484"/>
      <c r="N937" s="84"/>
    </row>
    <row r="938" spans="4:14" ht="14.4" customHeight="1" x14ac:dyDescent="0.3">
      <c r="D938" s="84"/>
      <c r="E938" s="84"/>
      <c r="F938" s="84"/>
      <c r="G938" s="84"/>
      <c r="H938" s="84"/>
      <c r="I938" s="84"/>
      <c r="J938" s="84"/>
      <c r="K938" s="84"/>
      <c r="L938" s="84"/>
      <c r="M938" s="484"/>
      <c r="N938" s="84"/>
    </row>
    <row r="939" spans="4:14" ht="14.4" customHeight="1" x14ac:dyDescent="0.3">
      <c r="D939" s="84"/>
      <c r="E939" s="84"/>
      <c r="F939" s="84"/>
      <c r="G939" s="84"/>
      <c r="H939" s="84"/>
      <c r="I939" s="84"/>
      <c r="J939" s="84"/>
      <c r="K939" s="84"/>
      <c r="L939" s="84"/>
      <c r="M939" s="484"/>
      <c r="N939" s="84"/>
    </row>
    <row r="940" spans="4:14" ht="14.4" customHeight="1" x14ac:dyDescent="0.3">
      <c r="D940" s="84"/>
      <c r="E940" s="84"/>
      <c r="F940" s="84"/>
      <c r="G940" s="84"/>
      <c r="H940" s="84"/>
      <c r="I940" s="84"/>
      <c r="J940" s="84"/>
      <c r="K940" s="84"/>
      <c r="L940" s="84"/>
      <c r="M940" s="484"/>
      <c r="N940" s="84"/>
    </row>
    <row r="941" spans="4:14" ht="14.4" customHeight="1" x14ac:dyDescent="0.3">
      <c r="D941" s="84"/>
      <c r="E941" s="84"/>
      <c r="F941" s="84"/>
      <c r="G941" s="84"/>
      <c r="H941" s="84"/>
      <c r="I941" s="84"/>
      <c r="J941" s="84"/>
      <c r="K941" s="84"/>
      <c r="L941" s="84"/>
      <c r="M941" s="484"/>
      <c r="N941" s="84"/>
    </row>
    <row r="942" spans="4:14" ht="14.4" customHeight="1" x14ac:dyDescent="0.3">
      <c r="D942" s="84"/>
      <c r="E942" s="84"/>
      <c r="F942" s="84"/>
      <c r="G942" s="84"/>
      <c r="H942" s="84"/>
      <c r="I942" s="84"/>
      <c r="J942" s="84"/>
      <c r="K942" s="84"/>
      <c r="L942" s="84"/>
      <c r="M942" s="484"/>
      <c r="N942" s="84"/>
    </row>
    <row r="943" spans="4:14" ht="14.4" customHeight="1" x14ac:dyDescent="0.3">
      <c r="D943" s="84"/>
      <c r="E943" s="84"/>
      <c r="F943" s="84"/>
      <c r="G943" s="84"/>
      <c r="H943" s="84"/>
      <c r="I943" s="84"/>
      <c r="J943" s="84"/>
      <c r="K943" s="84"/>
      <c r="L943" s="84"/>
      <c r="M943" s="484"/>
      <c r="N943" s="84"/>
    </row>
    <row r="944" spans="4:14" ht="14.4" customHeight="1" x14ac:dyDescent="0.3">
      <c r="D944" s="84"/>
      <c r="E944" s="84"/>
      <c r="F944" s="84"/>
      <c r="G944" s="84"/>
      <c r="H944" s="84"/>
      <c r="I944" s="84"/>
      <c r="J944" s="84"/>
      <c r="K944" s="84"/>
      <c r="L944" s="84"/>
      <c r="M944" s="484"/>
      <c r="N944" s="84"/>
    </row>
    <row r="945" spans="4:14" ht="14.4" customHeight="1" x14ac:dyDescent="0.3">
      <c r="D945" s="84"/>
      <c r="E945" s="84"/>
      <c r="F945" s="84"/>
      <c r="G945" s="84"/>
      <c r="H945" s="84"/>
      <c r="I945" s="84"/>
      <c r="J945" s="84"/>
      <c r="K945" s="84"/>
      <c r="L945" s="84"/>
      <c r="M945" s="484"/>
      <c r="N945" s="84"/>
    </row>
    <row r="946" spans="4:14" ht="14.4" customHeight="1" x14ac:dyDescent="0.3">
      <c r="D946" s="84"/>
      <c r="E946" s="84"/>
      <c r="F946" s="84"/>
      <c r="G946" s="84"/>
      <c r="H946" s="84"/>
      <c r="I946" s="84"/>
      <c r="J946" s="84"/>
      <c r="K946" s="84"/>
      <c r="L946" s="84"/>
      <c r="M946" s="484"/>
      <c r="N946" s="84"/>
    </row>
    <row r="947" spans="4:14" ht="14.4" customHeight="1" x14ac:dyDescent="0.3">
      <c r="D947" s="84"/>
      <c r="E947" s="84"/>
      <c r="F947" s="84"/>
      <c r="G947" s="84"/>
      <c r="H947" s="84"/>
      <c r="I947" s="84"/>
      <c r="J947" s="84"/>
      <c r="K947" s="84"/>
      <c r="L947" s="84"/>
      <c r="M947" s="484"/>
      <c r="N947" s="84"/>
    </row>
    <row r="948" spans="4:14" ht="14.4" customHeight="1" x14ac:dyDescent="0.3">
      <c r="D948" s="84"/>
      <c r="E948" s="84"/>
      <c r="F948" s="84"/>
      <c r="G948" s="84"/>
      <c r="H948" s="84"/>
      <c r="I948" s="84"/>
      <c r="J948" s="84"/>
      <c r="K948" s="84"/>
      <c r="L948" s="84"/>
      <c r="M948" s="484"/>
      <c r="N948" s="84"/>
    </row>
    <row r="949" spans="4:14" ht="14.4" customHeight="1" x14ac:dyDescent="0.3">
      <c r="D949" s="84"/>
      <c r="E949" s="84"/>
      <c r="F949" s="84"/>
      <c r="G949" s="84"/>
      <c r="H949" s="84"/>
      <c r="I949" s="84"/>
      <c r="J949" s="84"/>
      <c r="K949" s="84"/>
      <c r="L949" s="84"/>
      <c r="M949" s="484"/>
      <c r="N949" s="84"/>
    </row>
    <row r="950" spans="4:14" ht="14.4" customHeight="1" x14ac:dyDescent="0.3">
      <c r="D950" s="84"/>
      <c r="E950" s="84"/>
      <c r="F950" s="84"/>
      <c r="G950" s="84"/>
      <c r="H950" s="84"/>
      <c r="I950" s="84"/>
      <c r="J950" s="84"/>
      <c r="K950" s="84"/>
      <c r="L950" s="84"/>
      <c r="M950" s="484"/>
      <c r="N950" s="84"/>
    </row>
    <row r="951" spans="4:14" ht="14.4" customHeight="1" x14ac:dyDescent="0.3">
      <c r="D951" s="84"/>
      <c r="E951" s="84"/>
      <c r="F951" s="84"/>
      <c r="G951" s="84"/>
      <c r="H951" s="84"/>
      <c r="I951" s="84"/>
      <c r="J951" s="84"/>
      <c r="K951" s="84"/>
      <c r="L951" s="84"/>
      <c r="M951" s="484"/>
      <c r="N951" s="84"/>
    </row>
    <row r="952" spans="4:14" ht="14.4" customHeight="1" x14ac:dyDescent="0.3">
      <c r="D952" s="84"/>
      <c r="E952" s="84"/>
      <c r="F952" s="84"/>
      <c r="G952" s="84"/>
      <c r="H952" s="84"/>
      <c r="I952" s="84"/>
      <c r="J952" s="84"/>
      <c r="K952" s="84"/>
      <c r="L952" s="84"/>
      <c r="M952" s="484"/>
      <c r="N952" s="84"/>
    </row>
  </sheetData>
  <autoFilter ref="A1:M952"/>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661"/>
  <sheetViews>
    <sheetView zoomScale="80" zoomScaleNormal="80" workbookViewId="0">
      <selection activeCell="S12" sqref="S12"/>
    </sheetView>
  </sheetViews>
  <sheetFormatPr defaultColWidth="8.88671875" defaultRowHeight="14.4" x14ac:dyDescent="0.3"/>
  <cols>
    <col min="1" max="1" width="4.6640625" style="1" customWidth="1"/>
    <col min="2" max="2" width="54.44140625" style="1" customWidth="1"/>
    <col min="3" max="3" width="5.5546875" style="1" customWidth="1"/>
    <col min="4" max="4" width="3.6640625" style="1" customWidth="1"/>
    <col min="5" max="5" width="4" style="1" customWidth="1"/>
    <col min="6" max="6" width="3.33203125" style="1" customWidth="1"/>
    <col min="7" max="7" width="2.44140625" style="1" customWidth="1"/>
    <col min="8" max="8" width="2.6640625" style="1" customWidth="1"/>
    <col min="9" max="9" width="7.6640625" style="1" customWidth="1"/>
    <col min="10" max="10" width="5" style="1" customWidth="1"/>
    <col min="11" max="11" width="13.33203125" style="1" hidden="1" customWidth="1"/>
    <col min="12" max="12" width="12.33203125" style="1" customWidth="1"/>
    <col min="13" max="13" width="14.5546875" style="30" customWidth="1"/>
    <col min="14" max="14" width="14.33203125" style="30" customWidth="1"/>
    <col min="15" max="15" width="8.88671875" style="1" customWidth="1"/>
    <col min="16" max="16" width="12.44140625" style="1" bestFit="1" customWidth="1"/>
    <col min="17" max="17" width="9.33203125" style="1" bestFit="1" customWidth="1"/>
    <col min="18" max="18" width="12.44140625" style="1" bestFit="1" customWidth="1"/>
    <col min="19" max="19" width="9.33203125" style="1" bestFit="1" customWidth="1"/>
    <col min="20" max="16384" width="8.88671875" style="1"/>
  </cols>
  <sheetData>
    <row r="1" spans="1:14" ht="18" x14ac:dyDescent="0.35">
      <c r="N1" s="163" t="s">
        <v>517</v>
      </c>
    </row>
    <row r="2" spans="1:14" ht="18" x14ac:dyDescent="0.35">
      <c r="M2" s="122"/>
      <c r="N2" s="163" t="s">
        <v>752</v>
      </c>
    </row>
    <row r="3" spans="1:14" x14ac:dyDescent="0.3">
      <c r="M3" s="122"/>
      <c r="N3" s="122"/>
    </row>
    <row r="4" spans="1:14" ht="18" x14ac:dyDescent="0.35">
      <c r="H4" s="35"/>
      <c r="I4" s="39"/>
      <c r="J4" s="35"/>
      <c r="K4" s="35"/>
      <c r="L4" s="35"/>
      <c r="M4" s="35"/>
      <c r="N4" s="39" t="s">
        <v>604</v>
      </c>
    </row>
    <row r="5" spans="1:14" ht="18.75" customHeight="1" x14ac:dyDescent="0.35">
      <c r="H5" s="35"/>
      <c r="I5" s="39"/>
      <c r="J5" s="35"/>
      <c r="K5" s="35"/>
      <c r="L5" s="35"/>
      <c r="M5" s="35"/>
      <c r="N5" s="39" t="s">
        <v>669</v>
      </c>
    </row>
    <row r="6" spans="1:14" x14ac:dyDescent="0.3">
      <c r="M6" s="122"/>
      <c r="N6" s="122"/>
    </row>
    <row r="7" spans="1:14" x14ac:dyDescent="0.3">
      <c r="M7" s="122"/>
      <c r="N7" s="122"/>
    </row>
    <row r="8" spans="1:14" x14ac:dyDescent="0.3">
      <c r="M8" s="122"/>
      <c r="N8" s="122"/>
    </row>
    <row r="9" spans="1:14" ht="17.399999999999999" customHeight="1" x14ac:dyDescent="0.3">
      <c r="A9" s="731" t="s">
        <v>599</v>
      </c>
      <c r="B9" s="731"/>
      <c r="C9" s="731"/>
      <c r="D9" s="731"/>
      <c r="E9" s="731"/>
      <c r="F9" s="731"/>
      <c r="G9" s="731"/>
      <c r="H9" s="731"/>
      <c r="I9" s="731"/>
      <c r="J9" s="731"/>
      <c r="K9" s="731"/>
      <c r="L9" s="731"/>
      <c r="M9" s="731"/>
      <c r="N9" s="731"/>
    </row>
    <row r="10" spans="1:14" ht="17.399999999999999" customHeight="1" x14ac:dyDescent="0.3">
      <c r="A10" s="679"/>
      <c r="B10" s="679"/>
      <c r="C10" s="679"/>
      <c r="D10" s="679"/>
      <c r="E10" s="679"/>
      <c r="F10" s="679"/>
      <c r="G10" s="679"/>
      <c r="H10" s="679"/>
      <c r="I10" s="679"/>
      <c r="J10" s="679"/>
      <c r="K10" s="679"/>
      <c r="L10" s="679"/>
      <c r="M10" s="679"/>
      <c r="N10" s="679"/>
    </row>
    <row r="11" spans="1:14" ht="17.399999999999999" customHeight="1" x14ac:dyDescent="0.3">
      <c r="A11" s="679"/>
      <c r="B11" s="679"/>
      <c r="C11" s="679"/>
      <c r="D11" s="679"/>
      <c r="E11" s="679"/>
      <c r="F11" s="679"/>
      <c r="G11" s="679"/>
      <c r="H11" s="679"/>
      <c r="I11" s="679"/>
      <c r="J11" s="679"/>
      <c r="K11" s="679"/>
      <c r="L11" s="679"/>
      <c r="M11" s="679"/>
      <c r="N11" s="679"/>
    </row>
    <row r="12" spans="1:14" ht="18" x14ac:dyDescent="0.35">
      <c r="A12" s="2"/>
      <c r="B12" s="3"/>
      <c r="C12" s="4"/>
      <c r="D12" s="4"/>
      <c r="E12" s="4"/>
      <c r="F12" s="4"/>
      <c r="G12" s="2"/>
      <c r="H12" s="5"/>
      <c r="I12" s="6"/>
      <c r="J12" s="7"/>
      <c r="K12" s="7"/>
      <c r="L12" s="7"/>
      <c r="M12" s="122"/>
      <c r="N12" s="123" t="s">
        <v>22</v>
      </c>
    </row>
    <row r="13" spans="1:14" ht="18" customHeight="1" x14ac:dyDescent="0.3">
      <c r="A13" s="751" t="s">
        <v>23</v>
      </c>
      <c r="B13" s="752" t="s">
        <v>24</v>
      </c>
      <c r="C13" s="753" t="s">
        <v>25</v>
      </c>
      <c r="D13" s="753" t="s">
        <v>26</v>
      </c>
      <c r="E13" s="753" t="s">
        <v>27</v>
      </c>
      <c r="F13" s="754" t="s">
        <v>28</v>
      </c>
      <c r="G13" s="753"/>
      <c r="H13" s="753"/>
      <c r="I13" s="753"/>
      <c r="J13" s="753" t="s">
        <v>29</v>
      </c>
      <c r="K13" s="757" t="s">
        <v>666</v>
      </c>
      <c r="L13" s="755" t="s">
        <v>506</v>
      </c>
      <c r="M13" s="755"/>
      <c r="N13" s="755" t="s">
        <v>594</v>
      </c>
    </row>
    <row r="14" spans="1:14" ht="35.4" customHeight="1" x14ac:dyDescent="0.35">
      <c r="A14" s="751"/>
      <c r="B14" s="752"/>
      <c r="C14" s="753"/>
      <c r="D14" s="753"/>
      <c r="E14" s="753"/>
      <c r="F14" s="754"/>
      <c r="G14" s="753"/>
      <c r="H14" s="753"/>
      <c r="I14" s="753"/>
      <c r="J14" s="753"/>
      <c r="K14" s="758"/>
      <c r="L14" s="636" t="s">
        <v>667</v>
      </c>
      <c r="M14" s="637" t="s">
        <v>668</v>
      </c>
      <c r="N14" s="756"/>
    </row>
    <row r="15" spans="1:14" ht="18" x14ac:dyDescent="0.35">
      <c r="A15" s="8">
        <v>1</v>
      </c>
      <c r="B15" s="9">
        <v>2</v>
      </c>
      <c r="C15" s="10" t="s">
        <v>30</v>
      </c>
      <c r="D15" s="10" t="s">
        <v>31</v>
      </c>
      <c r="E15" s="10" t="s">
        <v>32</v>
      </c>
      <c r="F15" s="733" t="s">
        <v>33</v>
      </c>
      <c r="G15" s="733"/>
      <c r="H15" s="733"/>
      <c r="I15" s="734"/>
      <c r="J15" s="10" t="s">
        <v>34</v>
      </c>
      <c r="K15" s="10"/>
      <c r="L15" s="10" t="s">
        <v>482</v>
      </c>
      <c r="M15" s="31">
        <v>9</v>
      </c>
      <c r="N15" s="31">
        <v>10</v>
      </c>
    </row>
    <row r="16" spans="1:14" ht="18" x14ac:dyDescent="0.3">
      <c r="A16" s="11">
        <v>1</v>
      </c>
      <c r="B16" s="124" t="s">
        <v>202</v>
      </c>
      <c r="C16" s="13"/>
      <c r="D16" s="14"/>
      <c r="E16" s="14"/>
      <c r="F16" s="16"/>
      <c r="G16" s="16"/>
      <c r="H16" s="16"/>
      <c r="I16" s="17"/>
      <c r="J16" s="14"/>
      <c r="K16" s="117" t="e">
        <f>K17+K170+K204+K214+K413+K470+K526+K558+K592+K282</f>
        <v>#REF!</v>
      </c>
      <c r="L16" s="117">
        <f>L17+L170+L204+L214+L413+L470+L526+L558+L592+L282</f>
        <v>17429.099999999995</v>
      </c>
      <c r="M16" s="117">
        <f>M17+M170+M204+M214+M413+M470+M526+M558+M592+M282</f>
        <v>1951860.5</v>
      </c>
      <c r="N16" s="117">
        <f>N17+N170+N204+N214+N413+N470+N526+N558+N592+N282</f>
        <v>1891819.3000000003</v>
      </c>
    </row>
    <row r="17" spans="1:14" s="125" customFormat="1" ht="34.799999999999997" x14ac:dyDescent="0.3">
      <c r="A17" s="120">
        <v>1</v>
      </c>
      <c r="B17" s="565" t="s">
        <v>0</v>
      </c>
      <c r="C17" s="18" t="s">
        <v>1</v>
      </c>
      <c r="D17" s="19"/>
      <c r="E17" s="19"/>
      <c r="F17" s="20"/>
      <c r="G17" s="21"/>
      <c r="H17" s="21"/>
      <c r="I17" s="22"/>
      <c r="J17" s="19"/>
      <c r="K17" s="32">
        <f>K18+K78+K106+K156+K142+K149</f>
        <v>183638.10000000003</v>
      </c>
      <c r="L17" s="32">
        <f>L18+L78+L106+L156+L142+L149</f>
        <v>17429.099999999999</v>
      </c>
      <c r="M17" s="32">
        <f>M18+M78+M106+M156+M142+M149</f>
        <v>201067.20000000004</v>
      </c>
      <c r="N17" s="32">
        <f>N18+N78+N106+N156+N142+N149</f>
        <v>205421.6</v>
      </c>
    </row>
    <row r="18" spans="1:14" s="126" customFormat="1" ht="18" x14ac:dyDescent="0.35">
      <c r="A18" s="11"/>
      <c r="B18" s="518" t="s">
        <v>36</v>
      </c>
      <c r="C18" s="23" t="s">
        <v>1</v>
      </c>
      <c r="D18" s="10" t="s">
        <v>37</v>
      </c>
      <c r="E18" s="10"/>
      <c r="F18" s="680"/>
      <c r="G18" s="681"/>
      <c r="H18" s="681"/>
      <c r="I18" s="682"/>
      <c r="J18" s="10"/>
      <c r="K18" s="24">
        <f>K19+K25+K52+K46+K57</f>
        <v>135063.30000000002</v>
      </c>
      <c r="L18" s="24">
        <f>L19+L25+L52+L46+L57</f>
        <v>17429.099999999999</v>
      </c>
      <c r="M18" s="24">
        <f>M19+M25+M52+M46+M57</f>
        <v>152492.40000000002</v>
      </c>
      <c r="N18" s="24">
        <f>N19+N25+N52+N46+N57</f>
        <v>157564</v>
      </c>
    </row>
    <row r="19" spans="1:14" s="121" customFormat="1" ht="54" x14ac:dyDescent="0.35">
      <c r="A19" s="11"/>
      <c r="B19" s="518" t="s">
        <v>38</v>
      </c>
      <c r="C19" s="23" t="s">
        <v>1</v>
      </c>
      <c r="D19" s="10" t="s">
        <v>37</v>
      </c>
      <c r="E19" s="10" t="s">
        <v>39</v>
      </c>
      <c r="F19" s="680"/>
      <c r="G19" s="681"/>
      <c r="H19" s="681"/>
      <c r="I19" s="682"/>
      <c r="J19" s="10"/>
      <c r="K19" s="24">
        <f t="shared" ref="K19:N23" si="0">K20</f>
        <v>2612.1999999999998</v>
      </c>
      <c r="L19" s="24">
        <f t="shared" si="0"/>
        <v>0</v>
      </c>
      <c r="M19" s="24">
        <f t="shared" si="0"/>
        <v>2612.1999999999998</v>
      </c>
      <c r="N19" s="24">
        <f t="shared" si="0"/>
        <v>2612.1999999999998</v>
      </c>
    </row>
    <row r="20" spans="1:14" s="121" customFormat="1" ht="54" x14ac:dyDescent="0.35">
      <c r="A20" s="11"/>
      <c r="B20" s="518" t="s">
        <v>40</v>
      </c>
      <c r="C20" s="23" t="s">
        <v>1</v>
      </c>
      <c r="D20" s="10" t="s">
        <v>37</v>
      </c>
      <c r="E20" s="10" t="s">
        <v>39</v>
      </c>
      <c r="F20" s="680" t="s">
        <v>41</v>
      </c>
      <c r="G20" s="681" t="s">
        <v>42</v>
      </c>
      <c r="H20" s="681" t="s">
        <v>43</v>
      </c>
      <c r="I20" s="682" t="s">
        <v>44</v>
      </c>
      <c r="J20" s="10"/>
      <c r="K20" s="24">
        <f t="shared" si="0"/>
        <v>2612.1999999999998</v>
      </c>
      <c r="L20" s="24">
        <f t="shared" si="0"/>
        <v>0</v>
      </c>
      <c r="M20" s="24">
        <f t="shared" si="0"/>
        <v>2612.1999999999998</v>
      </c>
      <c r="N20" s="24">
        <f t="shared" si="0"/>
        <v>2612.1999999999998</v>
      </c>
    </row>
    <row r="21" spans="1:14" s="121" customFormat="1" ht="36" x14ac:dyDescent="0.35">
      <c r="A21" s="11"/>
      <c r="B21" s="518" t="s">
        <v>339</v>
      </c>
      <c r="C21" s="23" t="s">
        <v>1</v>
      </c>
      <c r="D21" s="10" t="s">
        <v>37</v>
      </c>
      <c r="E21" s="10" t="s">
        <v>39</v>
      </c>
      <c r="F21" s="680" t="s">
        <v>41</v>
      </c>
      <c r="G21" s="681" t="s">
        <v>45</v>
      </c>
      <c r="H21" s="681" t="s">
        <v>43</v>
      </c>
      <c r="I21" s="682" t="s">
        <v>44</v>
      </c>
      <c r="J21" s="10"/>
      <c r="K21" s="24">
        <f t="shared" si="0"/>
        <v>2612.1999999999998</v>
      </c>
      <c r="L21" s="24">
        <f t="shared" si="0"/>
        <v>0</v>
      </c>
      <c r="M21" s="24">
        <f t="shared" si="0"/>
        <v>2612.1999999999998</v>
      </c>
      <c r="N21" s="24">
        <f t="shared" si="0"/>
        <v>2612.1999999999998</v>
      </c>
    </row>
    <row r="22" spans="1:14" s="121" customFormat="1" ht="54" x14ac:dyDescent="0.35">
      <c r="A22" s="11"/>
      <c r="B22" s="518" t="s">
        <v>46</v>
      </c>
      <c r="C22" s="23" t="s">
        <v>1</v>
      </c>
      <c r="D22" s="10" t="s">
        <v>37</v>
      </c>
      <c r="E22" s="10" t="s">
        <v>39</v>
      </c>
      <c r="F22" s="680" t="s">
        <v>41</v>
      </c>
      <c r="G22" s="681" t="s">
        <v>45</v>
      </c>
      <c r="H22" s="681" t="s">
        <v>37</v>
      </c>
      <c r="I22" s="682" t="s">
        <v>44</v>
      </c>
      <c r="J22" s="10"/>
      <c r="K22" s="24">
        <f t="shared" si="0"/>
        <v>2612.1999999999998</v>
      </c>
      <c r="L22" s="24">
        <f t="shared" si="0"/>
        <v>0</v>
      </c>
      <c r="M22" s="24">
        <f t="shared" si="0"/>
        <v>2612.1999999999998</v>
      </c>
      <c r="N22" s="24">
        <f t="shared" si="0"/>
        <v>2612.1999999999998</v>
      </c>
    </row>
    <row r="23" spans="1:14" s="121" customFormat="1" ht="36" x14ac:dyDescent="0.35">
      <c r="A23" s="11"/>
      <c r="B23" s="518" t="s">
        <v>47</v>
      </c>
      <c r="C23" s="23" t="s">
        <v>1</v>
      </c>
      <c r="D23" s="10" t="s">
        <v>37</v>
      </c>
      <c r="E23" s="10" t="s">
        <v>39</v>
      </c>
      <c r="F23" s="680" t="s">
        <v>41</v>
      </c>
      <c r="G23" s="681" t="s">
        <v>45</v>
      </c>
      <c r="H23" s="681" t="s">
        <v>37</v>
      </c>
      <c r="I23" s="682" t="s">
        <v>48</v>
      </c>
      <c r="J23" s="10"/>
      <c r="K23" s="24">
        <f t="shared" si="0"/>
        <v>2612.1999999999998</v>
      </c>
      <c r="L23" s="24">
        <f t="shared" si="0"/>
        <v>0</v>
      </c>
      <c r="M23" s="24">
        <f t="shared" si="0"/>
        <v>2612.1999999999998</v>
      </c>
      <c r="N23" s="24">
        <f t="shared" si="0"/>
        <v>2612.1999999999998</v>
      </c>
    </row>
    <row r="24" spans="1:14" s="121" customFormat="1" ht="108" x14ac:dyDescent="0.35">
      <c r="A24" s="11"/>
      <c r="B24" s="518" t="s">
        <v>49</v>
      </c>
      <c r="C24" s="23" t="s">
        <v>1</v>
      </c>
      <c r="D24" s="10" t="s">
        <v>37</v>
      </c>
      <c r="E24" s="10" t="s">
        <v>39</v>
      </c>
      <c r="F24" s="680" t="s">
        <v>41</v>
      </c>
      <c r="G24" s="681" t="s">
        <v>45</v>
      </c>
      <c r="H24" s="681" t="s">
        <v>37</v>
      </c>
      <c r="I24" s="682" t="s">
        <v>48</v>
      </c>
      <c r="J24" s="10" t="s">
        <v>50</v>
      </c>
      <c r="K24" s="24">
        <v>2612.1999999999998</v>
      </c>
      <c r="L24" s="24">
        <f>M24-K24</f>
        <v>0</v>
      </c>
      <c r="M24" s="24">
        <v>2612.1999999999998</v>
      </c>
      <c r="N24" s="24">
        <v>2612.1999999999998</v>
      </c>
    </row>
    <row r="25" spans="1:14" s="126" customFormat="1" ht="72" x14ac:dyDescent="0.35">
      <c r="A25" s="11"/>
      <c r="B25" s="518" t="s">
        <v>51</v>
      </c>
      <c r="C25" s="23" t="s">
        <v>1</v>
      </c>
      <c r="D25" s="10" t="s">
        <v>37</v>
      </c>
      <c r="E25" s="10" t="s">
        <v>52</v>
      </c>
      <c r="F25" s="680"/>
      <c r="G25" s="681"/>
      <c r="H25" s="681"/>
      <c r="I25" s="682"/>
      <c r="J25" s="10"/>
      <c r="K25" s="24">
        <f t="shared" ref="K25:N26" si="1">K26</f>
        <v>83362.000000000015</v>
      </c>
      <c r="L25" s="24">
        <f t="shared" si="1"/>
        <v>0</v>
      </c>
      <c r="M25" s="24">
        <f t="shared" si="1"/>
        <v>83362.000000000015</v>
      </c>
      <c r="N25" s="24">
        <f t="shared" si="1"/>
        <v>83398.000000000015</v>
      </c>
    </row>
    <row r="26" spans="1:14" s="126" customFormat="1" ht="54" x14ac:dyDescent="0.35">
      <c r="A26" s="11"/>
      <c r="B26" s="518" t="s">
        <v>53</v>
      </c>
      <c r="C26" s="23" t="s">
        <v>1</v>
      </c>
      <c r="D26" s="10" t="s">
        <v>37</v>
      </c>
      <c r="E26" s="10" t="s">
        <v>52</v>
      </c>
      <c r="F26" s="680" t="s">
        <v>41</v>
      </c>
      <c r="G26" s="681" t="s">
        <v>42</v>
      </c>
      <c r="H26" s="681" t="s">
        <v>43</v>
      </c>
      <c r="I26" s="682" t="s">
        <v>44</v>
      </c>
      <c r="J26" s="10"/>
      <c r="K26" s="24">
        <f t="shared" si="1"/>
        <v>83362.000000000015</v>
      </c>
      <c r="L26" s="24">
        <f t="shared" si="1"/>
        <v>0</v>
      </c>
      <c r="M26" s="24">
        <f t="shared" si="1"/>
        <v>83362.000000000015</v>
      </c>
      <c r="N26" s="24">
        <f t="shared" si="1"/>
        <v>83398.000000000015</v>
      </c>
    </row>
    <row r="27" spans="1:14" s="7" customFormat="1" ht="36" x14ac:dyDescent="0.35">
      <c r="A27" s="11"/>
      <c r="B27" s="518" t="s">
        <v>339</v>
      </c>
      <c r="C27" s="23" t="s">
        <v>1</v>
      </c>
      <c r="D27" s="10" t="s">
        <v>37</v>
      </c>
      <c r="E27" s="10" t="s">
        <v>52</v>
      </c>
      <c r="F27" s="680" t="s">
        <v>41</v>
      </c>
      <c r="G27" s="681" t="s">
        <v>45</v>
      </c>
      <c r="H27" s="681" t="s">
        <v>43</v>
      </c>
      <c r="I27" s="682" t="s">
        <v>44</v>
      </c>
      <c r="J27" s="10"/>
      <c r="K27" s="24">
        <f>K28+K43</f>
        <v>83362.000000000015</v>
      </c>
      <c r="L27" s="24">
        <f>L28+L43</f>
        <v>0</v>
      </c>
      <c r="M27" s="24">
        <f>M28+M43</f>
        <v>83362.000000000015</v>
      </c>
      <c r="N27" s="24">
        <f>N28+N43</f>
        <v>83398.000000000015</v>
      </c>
    </row>
    <row r="28" spans="1:14" s="7" customFormat="1" ht="36" x14ac:dyDescent="0.35">
      <c r="A28" s="11"/>
      <c r="B28" s="518" t="s">
        <v>54</v>
      </c>
      <c r="C28" s="23" t="s">
        <v>1</v>
      </c>
      <c r="D28" s="10" t="s">
        <v>37</v>
      </c>
      <c r="E28" s="10" t="s">
        <v>52</v>
      </c>
      <c r="F28" s="680" t="s">
        <v>41</v>
      </c>
      <c r="G28" s="681" t="s">
        <v>45</v>
      </c>
      <c r="H28" s="681" t="s">
        <v>39</v>
      </c>
      <c r="I28" s="682" t="s">
        <v>44</v>
      </c>
      <c r="J28" s="10"/>
      <c r="K28" s="24">
        <f>K29+K35+K37+K33+K40</f>
        <v>83357.500000000015</v>
      </c>
      <c r="L28" s="24">
        <f>L29+L35+L37+L33+L40</f>
        <v>0</v>
      </c>
      <c r="M28" s="24">
        <f>M29+M35+M37+M33+M40</f>
        <v>83357.500000000015</v>
      </c>
      <c r="N28" s="24">
        <f>N29+N35+N37+N33+N40</f>
        <v>83393.500000000015</v>
      </c>
    </row>
    <row r="29" spans="1:14" s="121" customFormat="1" ht="36" x14ac:dyDescent="0.35">
      <c r="A29" s="11"/>
      <c r="B29" s="518" t="s">
        <v>47</v>
      </c>
      <c r="C29" s="23" t="s">
        <v>1</v>
      </c>
      <c r="D29" s="10" t="s">
        <v>37</v>
      </c>
      <c r="E29" s="10" t="s">
        <v>52</v>
      </c>
      <c r="F29" s="680" t="s">
        <v>41</v>
      </c>
      <c r="G29" s="681" t="s">
        <v>45</v>
      </c>
      <c r="H29" s="681" t="s">
        <v>39</v>
      </c>
      <c r="I29" s="682" t="s">
        <v>48</v>
      </c>
      <c r="J29" s="10"/>
      <c r="K29" s="24">
        <f>K30+K31+K32</f>
        <v>77728.5</v>
      </c>
      <c r="L29" s="24">
        <f>L30+L31+L32</f>
        <v>0</v>
      </c>
      <c r="M29" s="24">
        <f>M30+M31+M32</f>
        <v>77728.5</v>
      </c>
      <c r="N29" s="24">
        <f>N30+N31+N32</f>
        <v>77764.5</v>
      </c>
    </row>
    <row r="30" spans="1:14" s="121" customFormat="1" ht="108" x14ac:dyDescent="0.35">
      <c r="A30" s="11"/>
      <c r="B30" s="518" t="s">
        <v>49</v>
      </c>
      <c r="C30" s="23" t="s">
        <v>1</v>
      </c>
      <c r="D30" s="10" t="s">
        <v>37</v>
      </c>
      <c r="E30" s="10" t="s">
        <v>52</v>
      </c>
      <c r="F30" s="680" t="s">
        <v>41</v>
      </c>
      <c r="G30" s="681" t="s">
        <v>45</v>
      </c>
      <c r="H30" s="681" t="s">
        <v>39</v>
      </c>
      <c r="I30" s="682" t="s">
        <v>48</v>
      </c>
      <c r="J30" s="10" t="s">
        <v>50</v>
      </c>
      <c r="K30" s="24">
        <v>76888.3</v>
      </c>
      <c r="L30" s="24">
        <f>M30-K30</f>
        <v>0</v>
      </c>
      <c r="M30" s="24">
        <v>76888.3</v>
      </c>
      <c r="N30" s="24">
        <v>76888.3</v>
      </c>
    </row>
    <row r="31" spans="1:14" s="7" customFormat="1" ht="54" x14ac:dyDescent="0.35">
      <c r="A31" s="11"/>
      <c r="B31" s="518" t="s">
        <v>55</v>
      </c>
      <c r="C31" s="23" t="s">
        <v>1</v>
      </c>
      <c r="D31" s="10" t="s">
        <v>37</v>
      </c>
      <c r="E31" s="10" t="s">
        <v>52</v>
      </c>
      <c r="F31" s="680" t="s">
        <v>41</v>
      </c>
      <c r="G31" s="681" t="s">
        <v>45</v>
      </c>
      <c r="H31" s="681" t="s">
        <v>39</v>
      </c>
      <c r="I31" s="682" t="s">
        <v>48</v>
      </c>
      <c r="J31" s="10" t="s">
        <v>56</v>
      </c>
      <c r="K31" s="24">
        <f>853.3-36</f>
        <v>817.3</v>
      </c>
      <c r="L31" s="24">
        <f>M31-K31</f>
        <v>0</v>
      </c>
      <c r="M31" s="24">
        <f>853.3-36</f>
        <v>817.3</v>
      </c>
      <c r="N31" s="24">
        <v>853.3</v>
      </c>
    </row>
    <row r="32" spans="1:14" s="121" customFormat="1" ht="18" x14ac:dyDescent="0.35">
      <c r="A32" s="11"/>
      <c r="B32" s="518" t="s">
        <v>57</v>
      </c>
      <c r="C32" s="23" t="s">
        <v>1</v>
      </c>
      <c r="D32" s="10" t="s">
        <v>37</v>
      </c>
      <c r="E32" s="10" t="s">
        <v>52</v>
      </c>
      <c r="F32" s="680" t="s">
        <v>41</v>
      </c>
      <c r="G32" s="681" t="s">
        <v>45</v>
      </c>
      <c r="H32" s="681" t="s">
        <v>39</v>
      </c>
      <c r="I32" s="682" t="s">
        <v>48</v>
      </c>
      <c r="J32" s="10" t="s">
        <v>58</v>
      </c>
      <c r="K32" s="24">
        <v>22.9</v>
      </c>
      <c r="L32" s="24">
        <f>M32-K32</f>
        <v>0</v>
      </c>
      <c r="M32" s="24">
        <v>22.9</v>
      </c>
      <c r="N32" s="24">
        <v>22.9</v>
      </c>
    </row>
    <row r="33" spans="1:14" s="126" customFormat="1" ht="90" x14ac:dyDescent="0.35">
      <c r="A33" s="11"/>
      <c r="B33" s="518" t="s">
        <v>445</v>
      </c>
      <c r="C33" s="23" t="s">
        <v>1</v>
      </c>
      <c r="D33" s="10" t="s">
        <v>37</v>
      </c>
      <c r="E33" s="10" t="s">
        <v>52</v>
      </c>
      <c r="F33" s="680" t="s">
        <v>41</v>
      </c>
      <c r="G33" s="681" t="s">
        <v>45</v>
      </c>
      <c r="H33" s="681" t="s">
        <v>39</v>
      </c>
      <c r="I33" s="682" t="s">
        <v>265</v>
      </c>
      <c r="J33" s="10"/>
      <c r="K33" s="24">
        <f>K34</f>
        <v>63</v>
      </c>
      <c r="L33" s="24">
        <f>L34</f>
        <v>0</v>
      </c>
      <c r="M33" s="24">
        <f>M34</f>
        <v>63</v>
      </c>
      <c r="N33" s="24">
        <f>N34</f>
        <v>63</v>
      </c>
    </row>
    <row r="34" spans="1:14" s="126" customFormat="1" ht="54" x14ac:dyDescent="0.35">
      <c r="A34" s="11"/>
      <c r="B34" s="518" t="s">
        <v>55</v>
      </c>
      <c r="C34" s="23" t="s">
        <v>1</v>
      </c>
      <c r="D34" s="10" t="s">
        <v>37</v>
      </c>
      <c r="E34" s="10" t="s">
        <v>52</v>
      </c>
      <c r="F34" s="680" t="s">
        <v>41</v>
      </c>
      <c r="G34" s="681" t="s">
        <v>45</v>
      </c>
      <c r="H34" s="681" t="s">
        <v>39</v>
      </c>
      <c r="I34" s="682" t="s">
        <v>265</v>
      </c>
      <c r="J34" s="10" t="s">
        <v>56</v>
      </c>
      <c r="K34" s="24">
        <v>63</v>
      </c>
      <c r="L34" s="24">
        <f>M34-K34</f>
        <v>0</v>
      </c>
      <c r="M34" s="24">
        <v>63</v>
      </c>
      <c r="N34" s="24">
        <v>63</v>
      </c>
    </row>
    <row r="35" spans="1:14" s="126" customFormat="1" ht="198" x14ac:dyDescent="0.35">
      <c r="A35" s="11"/>
      <c r="B35" s="566" t="s">
        <v>453</v>
      </c>
      <c r="C35" s="23" t="s">
        <v>1</v>
      </c>
      <c r="D35" s="10" t="s">
        <v>37</v>
      </c>
      <c r="E35" s="10" t="s">
        <v>52</v>
      </c>
      <c r="F35" s="680" t="s">
        <v>41</v>
      </c>
      <c r="G35" s="681" t="s">
        <v>45</v>
      </c>
      <c r="H35" s="681" t="s">
        <v>39</v>
      </c>
      <c r="I35" s="682" t="s">
        <v>59</v>
      </c>
      <c r="J35" s="10"/>
      <c r="K35" s="24">
        <f>K36</f>
        <v>749.1</v>
      </c>
      <c r="L35" s="24">
        <f>L36</f>
        <v>0</v>
      </c>
      <c r="M35" s="24">
        <f>M36</f>
        <v>749.1</v>
      </c>
      <c r="N35" s="24">
        <f>N36</f>
        <v>749.1</v>
      </c>
    </row>
    <row r="36" spans="1:14" s="126" customFormat="1" ht="108" x14ac:dyDescent="0.35">
      <c r="A36" s="11"/>
      <c r="B36" s="518" t="s">
        <v>49</v>
      </c>
      <c r="C36" s="23" t="s">
        <v>1</v>
      </c>
      <c r="D36" s="10" t="s">
        <v>37</v>
      </c>
      <c r="E36" s="10" t="s">
        <v>52</v>
      </c>
      <c r="F36" s="680" t="s">
        <v>41</v>
      </c>
      <c r="G36" s="681" t="s">
        <v>45</v>
      </c>
      <c r="H36" s="681" t="s">
        <v>39</v>
      </c>
      <c r="I36" s="682" t="s">
        <v>59</v>
      </c>
      <c r="J36" s="10" t="s">
        <v>50</v>
      </c>
      <c r="K36" s="24">
        <v>749.1</v>
      </c>
      <c r="L36" s="24">
        <f>M36-K36</f>
        <v>0</v>
      </c>
      <c r="M36" s="24">
        <v>749.1</v>
      </c>
      <c r="N36" s="24">
        <v>749.1</v>
      </c>
    </row>
    <row r="37" spans="1:14" s="126" customFormat="1" ht="72" x14ac:dyDescent="0.35">
      <c r="A37" s="11"/>
      <c r="B37" s="518" t="s">
        <v>409</v>
      </c>
      <c r="C37" s="23" t="s">
        <v>1</v>
      </c>
      <c r="D37" s="10" t="s">
        <v>37</v>
      </c>
      <c r="E37" s="10" t="s">
        <v>52</v>
      </c>
      <c r="F37" s="680" t="s">
        <v>41</v>
      </c>
      <c r="G37" s="681" t="s">
        <v>45</v>
      </c>
      <c r="H37" s="681" t="s">
        <v>39</v>
      </c>
      <c r="I37" s="682" t="s">
        <v>61</v>
      </c>
      <c r="J37" s="10"/>
      <c r="K37" s="24">
        <f>K38+K39</f>
        <v>749.30000000000007</v>
      </c>
      <c r="L37" s="24">
        <f>L38+L39</f>
        <v>0</v>
      </c>
      <c r="M37" s="24">
        <f>M38+M39</f>
        <v>749.30000000000007</v>
      </c>
      <c r="N37" s="24">
        <f>N38+N39</f>
        <v>749.30000000000007</v>
      </c>
    </row>
    <row r="38" spans="1:14" s="126" customFormat="1" ht="108" x14ac:dyDescent="0.35">
      <c r="A38" s="11"/>
      <c r="B38" s="518" t="s">
        <v>49</v>
      </c>
      <c r="C38" s="23" t="s">
        <v>1</v>
      </c>
      <c r="D38" s="10" t="s">
        <v>37</v>
      </c>
      <c r="E38" s="10" t="s">
        <v>52</v>
      </c>
      <c r="F38" s="680" t="s">
        <v>41</v>
      </c>
      <c r="G38" s="681" t="s">
        <v>45</v>
      </c>
      <c r="H38" s="681" t="s">
        <v>39</v>
      </c>
      <c r="I38" s="682" t="s">
        <v>61</v>
      </c>
      <c r="J38" s="10" t="s">
        <v>50</v>
      </c>
      <c r="K38" s="24">
        <v>745.1</v>
      </c>
      <c r="L38" s="24">
        <f>M38-K38</f>
        <v>0</v>
      </c>
      <c r="M38" s="24">
        <v>745.1</v>
      </c>
      <c r="N38" s="24">
        <v>745.1</v>
      </c>
    </row>
    <row r="39" spans="1:14" s="126" customFormat="1" ht="54" x14ac:dyDescent="0.35">
      <c r="A39" s="11"/>
      <c r="B39" s="518" t="s">
        <v>55</v>
      </c>
      <c r="C39" s="23" t="s">
        <v>1</v>
      </c>
      <c r="D39" s="10" t="s">
        <v>37</v>
      </c>
      <c r="E39" s="10" t="s">
        <v>52</v>
      </c>
      <c r="F39" s="680" t="s">
        <v>41</v>
      </c>
      <c r="G39" s="681" t="s">
        <v>45</v>
      </c>
      <c r="H39" s="681" t="s">
        <v>39</v>
      </c>
      <c r="I39" s="682" t="s">
        <v>61</v>
      </c>
      <c r="J39" s="10" t="s">
        <v>56</v>
      </c>
      <c r="K39" s="24">
        <v>4.2</v>
      </c>
      <c r="L39" s="24">
        <f>M39-K39</f>
        <v>0</v>
      </c>
      <c r="M39" s="24">
        <v>4.2</v>
      </c>
      <c r="N39" s="24">
        <v>4.2</v>
      </c>
    </row>
    <row r="40" spans="1:14" s="126" customFormat="1" ht="72" x14ac:dyDescent="0.35">
      <c r="A40" s="11"/>
      <c r="B40" s="518" t="s">
        <v>60</v>
      </c>
      <c r="C40" s="23" t="s">
        <v>1</v>
      </c>
      <c r="D40" s="10" t="s">
        <v>37</v>
      </c>
      <c r="E40" s="10" t="s">
        <v>52</v>
      </c>
      <c r="F40" s="680" t="s">
        <v>41</v>
      </c>
      <c r="G40" s="681" t="s">
        <v>45</v>
      </c>
      <c r="H40" s="681" t="s">
        <v>39</v>
      </c>
      <c r="I40" s="682" t="s">
        <v>541</v>
      </c>
      <c r="J40" s="10"/>
      <c r="K40" s="24">
        <f>SUM(K41:K42)</f>
        <v>4067.6</v>
      </c>
      <c r="L40" s="24">
        <f>SUM(L41:L42)</f>
        <v>0</v>
      </c>
      <c r="M40" s="24">
        <f>SUM(M41:M42)</f>
        <v>4067.6</v>
      </c>
      <c r="N40" s="24">
        <f>SUM(N41:N42)</f>
        <v>4067.6</v>
      </c>
    </row>
    <row r="41" spans="1:14" s="126" customFormat="1" ht="108" x14ac:dyDescent="0.35">
      <c r="A41" s="11"/>
      <c r="B41" s="518" t="s">
        <v>49</v>
      </c>
      <c r="C41" s="23" t="s">
        <v>1</v>
      </c>
      <c r="D41" s="10" t="s">
        <v>37</v>
      </c>
      <c r="E41" s="10" t="s">
        <v>52</v>
      </c>
      <c r="F41" s="680" t="s">
        <v>41</v>
      </c>
      <c r="G41" s="681" t="s">
        <v>45</v>
      </c>
      <c r="H41" s="681" t="s">
        <v>39</v>
      </c>
      <c r="I41" s="682" t="s">
        <v>541</v>
      </c>
      <c r="J41" s="10" t="s">
        <v>50</v>
      </c>
      <c r="K41" s="24">
        <v>4000.1</v>
      </c>
      <c r="L41" s="24">
        <f>M41-K41</f>
        <v>0</v>
      </c>
      <c r="M41" s="24">
        <v>4000.1</v>
      </c>
      <c r="N41" s="24">
        <v>4000.1</v>
      </c>
    </row>
    <row r="42" spans="1:14" s="126" customFormat="1" ht="54" x14ac:dyDescent="0.35">
      <c r="A42" s="11"/>
      <c r="B42" s="518" t="s">
        <v>55</v>
      </c>
      <c r="C42" s="23" t="s">
        <v>1</v>
      </c>
      <c r="D42" s="10" t="s">
        <v>37</v>
      </c>
      <c r="E42" s="10" t="s">
        <v>52</v>
      </c>
      <c r="F42" s="680" t="s">
        <v>41</v>
      </c>
      <c r="G42" s="681" t="s">
        <v>45</v>
      </c>
      <c r="H42" s="681" t="s">
        <v>39</v>
      </c>
      <c r="I42" s="682" t="s">
        <v>541</v>
      </c>
      <c r="J42" s="10" t="s">
        <v>56</v>
      </c>
      <c r="K42" s="24">
        <v>67.5</v>
      </c>
      <c r="L42" s="24">
        <f>M42-K42</f>
        <v>0</v>
      </c>
      <c r="M42" s="24">
        <v>67.5</v>
      </c>
      <c r="N42" s="24">
        <v>67.5</v>
      </c>
    </row>
    <row r="43" spans="1:14" s="7" customFormat="1" ht="18" x14ac:dyDescent="0.35">
      <c r="A43" s="11"/>
      <c r="B43" s="518" t="s">
        <v>62</v>
      </c>
      <c r="C43" s="23" t="s">
        <v>1</v>
      </c>
      <c r="D43" s="10" t="s">
        <v>37</v>
      </c>
      <c r="E43" s="10" t="s">
        <v>52</v>
      </c>
      <c r="F43" s="680" t="s">
        <v>41</v>
      </c>
      <c r="G43" s="681" t="s">
        <v>45</v>
      </c>
      <c r="H43" s="681" t="s">
        <v>63</v>
      </c>
      <c r="I43" s="682" t="s">
        <v>44</v>
      </c>
      <c r="J43" s="10"/>
      <c r="K43" s="24">
        <f t="shared" ref="K43:N44" si="2">K44</f>
        <v>4.5</v>
      </c>
      <c r="L43" s="24">
        <f t="shared" si="2"/>
        <v>0</v>
      </c>
      <c r="M43" s="24">
        <f t="shared" si="2"/>
        <v>4.5</v>
      </c>
      <c r="N43" s="24">
        <f t="shared" si="2"/>
        <v>4.5</v>
      </c>
    </row>
    <row r="44" spans="1:14" s="121" customFormat="1" ht="36" x14ac:dyDescent="0.35">
      <c r="A44" s="11"/>
      <c r="B44" s="518" t="s">
        <v>47</v>
      </c>
      <c r="C44" s="23" t="s">
        <v>1</v>
      </c>
      <c r="D44" s="10" t="s">
        <v>37</v>
      </c>
      <c r="E44" s="10" t="s">
        <v>52</v>
      </c>
      <c r="F44" s="680" t="s">
        <v>41</v>
      </c>
      <c r="G44" s="681" t="s">
        <v>45</v>
      </c>
      <c r="H44" s="681" t="s">
        <v>63</v>
      </c>
      <c r="I44" s="682" t="s">
        <v>48</v>
      </c>
      <c r="J44" s="10"/>
      <c r="K44" s="24">
        <f t="shared" si="2"/>
        <v>4.5</v>
      </c>
      <c r="L44" s="24">
        <f t="shared" si="2"/>
        <v>0</v>
      </c>
      <c r="M44" s="24">
        <f t="shared" si="2"/>
        <v>4.5</v>
      </c>
      <c r="N44" s="24">
        <f t="shared" si="2"/>
        <v>4.5</v>
      </c>
    </row>
    <row r="45" spans="1:14" s="7" customFormat="1" ht="54" x14ac:dyDescent="0.35">
      <c r="A45" s="11"/>
      <c r="B45" s="518" t="s">
        <v>55</v>
      </c>
      <c r="C45" s="23" t="s">
        <v>1</v>
      </c>
      <c r="D45" s="10" t="s">
        <v>37</v>
      </c>
      <c r="E45" s="10" t="s">
        <v>52</v>
      </c>
      <c r="F45" s="680" t="s">
        <v>41</v>
      </c>
      <c r="G45" s="681" t="s">
        <v>45</v>
      </c>
      <c r="H45" s="681" t="s">
        <v>63</v>
      </c>
      <c r="I45" s="682" t="s">
        <v>48</v>
      </c>
      <c r="J45" s="10" t="s">
        <v>56</v>
      </c>
      <c r="K45" s="24">
        <v>4.5</v>
      </c>
      <c r="L45" s="24">
        <f>M45-K45</f>
        <v>0</v>
      </c>
      <c r="M45" s="24">
        <v>4.5</v>
      </c>
      <c r="N45" s="24">
        <v>4.5</v>
      </c>
    </row>
    <row r="46" spans="1:14" s="7" customFormat="1" ht="18" x14ac:dyDescent="0.35">
      <c r="A46" s="11"/>
      <c r="B46" s="518" t="s">
        <v>384</v>
      </c>
      <c r="C46" s="23" t="s">
        <v>1</v>
      </c>
      <c r="D46" s="10" t="s">
        <v>37</v>
      </c>
      <c r="E46" s="10" t="s">
        <v>65</v>
      </c>
      <c r="F46" s="680"/>
      <c r="G46" s="681"/>
      <c r="H46" s="681"/>
      <c r="I46" s="682"/>
      <c r="J46" s="10"/>
      <c r="K46" s="24">
        <f t="shared" ref="K46:N50" si="3">K47</f>
        <v>20.3</v>
      </c>
      <c r="L46" s="24">
        <f t="shared" si="3"/>
        <v>0</v>
      </c>
      <c r="M46" s="24">
        <f t="shared" si="3"/>
        <v>20.3</v>
      </c>
      <c r="N46" s="24">
        <f t="shared" si="3"/>
        <v>17.7</v>
      </c>
    </row>
    <row r="47" spans="1:14" s="7" customFormat="1" ht="54" x14ac:dyDescent="0.35">
      <c r="A47" s="11"/>
      <c r="B47" s="518" t="s">
        <v>53</v>
      </c>
      <c r="C47" s="23" t="s">
        <v>1</v>
      </c>
      <c r="D47" s="10" t="s">
        <v>37</v>
      </c>
      <c r="E47" s="10" t="s">
        <v>65</v>
      </c>
      <c r="F47" s="680" t="s">
        <v>41</v>
      </c>
      <c r="G47" s="681" t="s">
        <v>42</v>
      </c>
      <c r="H47" s="681" t="s">
        <v>43</v>
      </c>
      <c r="I47" s="682" t="s">
        <v>44</v>
      </c>
      <c r="J47" s="10"/>
      <c r="K47" s="24">
        <f t="shared" si="3"/>
        <v>20.3</v>
      </c>
      <c r="L47" s="24">
        <f t="shared" si="3"/>
        <v>0</v>
      </c>
      <c r="M47" s="24">
        <f t="shared" si="3"/>
        <v>20.3</v>
      </c>
      <c r="N47" s="24">
        <f t="shared" si="3"/>
        <v>17.7</v>
      </c>
    </row>
    <row r="48" spans="1:14" s="7" customFormat="1" ht="36" x14ac:dyDescent="0.35">
      <c r="A48" s="11"/>
      <c r="B48" s="518" t="s">
        <v>339</v>
      </c>
      <c r="C48" s="23" t="s">
        <v>1</v>
      </c>
      <c r="D48" s="10" t="s">
        <v>37</v>
      </c>
      <c r="E48" s="10" t="s">
        <v>65</v>
      </c>
      <c r="F48" s="680" t="s">
        <v>41</v>
      </c>
      <c r="G48" s="681" t="s">
        <v>45</v>
      </c>
      <c r="H48" s="681" t="s">
        <v>43</v>
      </c>
      <c r="I48" s="682" t="s">
        <v>44</v>
      </c>
      <c r="J48" s="10"/>
      <c r="K48" s="24">
        <f t="shared" si="3"/>
        <v>20.3</v>
      </c>
      <c r="L48" s="24">
        <f t="shared" si="3"/>
        <v>0</v>
      </c>
      <c r="M48" s="24">
        <f t="shared" si="3"/>
        <v>20.3</v>
      </c>
      <c r="N48" s="24">
        <f t="shared" si="3"/>
        <v>17.7</v>
      </c>
    </row>
    <row r="49" spans="1:14" s="7" customFormat="1" ht="36" x14ac:dyDescent="0.35">
      <c r="A49" s="11"/>
      <c r="B49" s="518" t="s">
        <v>54</v>
      </c>
      <c r="C49" s="23" t="s">
        <v>1</v>
      </c>
      <c r="D49" s="10" t="s">
        <v>37</v>
      </c>
      <c r="E49" s="10" t="s">
        <v>65</v>
      </c>
      <c r="F49" s="680" t="s">
        <v>41</v>
      </c>
      <c r="G49" s="681" t="s">
        <v>45</v>
      </c>
      <c r="H49" s="681" t="s">
        <v>39</v>
      </c>
      <c r="I49" s="682" t="s">
        <v>44</v>
      </c>
      <c r="J49" s="10"/>
      <c r="K49" s="24">
        <f t="shared" si="3"/>
        <v>20.3</v>
      </c>
      <c r="L49" s="24">
        <f t="shared" si="3"/>
        <v>0</v>
      </c>
      <c r="M49" s="24">
        <f t="shared" si="3"/>
        <v>20.3</v>
      </c>
      <c r="N49" s="24">
        <f t="shared" si="3"/>
        <v>17.7</v>
      </c>
    </row>
    <row r="50" spans="1:14" s="7" customFormat="1" ht="72" x14ac:dyDescent="0.35">
      <c r="A50" s="11"/>
      <c r="B50" s="518" t="s">
        <v>386</v>
      </c>
      <c r="C50" s="23" t="s">
        <v>1</v>
      </c>
      <c r="D50" s="10" t="s">
        <v>37</v>
      </c>
      <c r="E50" s="10" t="s">
        <v>65</v>
      </c>
      <c r="F50" s="680" t="s">
        <v>41</v>
      </c>
      <c r="G50" s="681" t="s">
        <v>45</v>
      </c>
      <c r="H50" s="681" t="s">
        <v>39</v>
      </c>
      <c r="I50" s="682" t="s">
        <v>385</v>
      </c>
      <c r="J50" s="10"/>
      <c r="K50" s="24">
        <f t="shared" si="3"/>
        <v>20.3</v>
      </c>
      <c r="L50" s="24">
        <f t="shared" si="3"/>
        <v>0</v>
      </c>
      <c r="M50" s="24">
        <f t="shared" si="3"/>
        <v>20.3</v>
      </c>
      <c r="N50" s="24">
        <f t="shared" si="3"/>
        <v>17.7</v>
      </c>
    </row>
    <row r="51" spans="1:14" s="7" customFormat="1" ht="54" x14ac:dyDescent="0.35">
      <c r="A51" s="11"/>
      <c r="B51" s="518" t="s">
        <v>55</v>
      </c>
      <c r="C51" s="23" t="s">
        <v>1</v>
      </c>
      <c r="D51" s="10" t="s">
        <v>37</v>
      </c>
      <c r="E51" s="10" t="s">
        <v>65</v>
      </c>
      <c r="F51" s="680" t="s">
        <v>41</v>
      </c>
      <c r="G51" s="681" t="s">
        <v>45</v>
      </c>
      <c r="H51" s="681" t="s">
        <v>39</v>
      </c>
      <c r="I51" s="682" t="s">
        <v>385</v>
      </c>
      <c r="J51" s="10" t="s">
        <v>56</v>
      </c>
      <c r="K51" s="24">
        <v>20.3</v>
      </c>
      <c r="L51" s="24">
        <f>M51-K51</f>
        <v>0</v>
      </c>
      <c r="M51" s="24">
        <v>20.3</v>
      </c>
      <c r="N51" s="24">
        <v>17.7</v>
      </c>
    </row>
    <row r="52" spans="1:14" s="121" customFormat="1" ht="18" x14ac:dyDescent="0.35">
      <c r="A52" s="11"/>
      <c r="B52" s="518" t="s">
        <v>66</v>
      </c>
      <c r="C52" s="23" t="s">
        <v>1</v>
      </c>
      <c r="D52" s="10" t="s">
        <v>37</v>
      </c>
      <c r="E52" s="10" t="s">
        <v>67</v>
      </c>
      <c r="F52" s="680"/>
      <c r="G52" s="681"/>
      <c r="H52" s="681"/>
      <c r="I52" s="682"/>
      <c r="J52" s="10"/>
      <c r="K52" s="24">
        <f t="shared" ref="K52:N55" si="4">K53</f>
        <v>12532.7</v>
      </c>
      <c r="L52" s="24">
        <f t="shared" si="4"/>
        <v>17429.099999999999</v>
      </c>
      <c r="M52" s="24">
        <f t="shared" si="4"/>
        <v>29961.8</v>
      </c>
      <c r="N52" s="24">
        <f t="shared" si="4"/>
        <v>35000</v>
      </c>
    </row>
    <row r="53" spans="1:14" s="121" customFormat="1" ht="36" x14ac:dyDescent="0.35">
      <c r="A53" s="11"/>
      <c r="B53" s="518" t="s">
        <v>447</v>
      </c>
      <c r="C53" s="23" t="s">
        <v>1</v>
      </c>
      <c r="D53" s="10" t="s">
        <v>37</v>
      </c>
      <c r="E53" s="10" t="s">
        <v>67</v>
      </c>
      <c r="F53" s="680" t="s">
        <v>68</v>
      </c>
      <c r="G53" s="681" t="s">
        <v>42</v>
      </c>
      <c r="H53" s="681" t="s">
        <v>43</v>
      </c>
      <c r="I53" s="682" t="s">
        <v>44</v>
      </c>
      <c r="J53" s="10"/>
      <c r="K53" s="24">
        <f t="shared" si="4"/>
        <v>12532.7</v>
      </c>
      <c r="L53" s="24">
        <f t="shared" si="4"/>
        <v>17429.099999999999</v>
      </c>
      <c r="M53" s="24">
        <f t="shared" si="4"/>
        <v>29961.8</v>
      </c>
      <c r="N53" s="24">
        <f t="shared" si="4"/>
        <v>35000</v>
      </c>
    </row>
    <row r="54" spans="1:14" s="121" customFormat="1" ht="18" x14ac:dyDescent="0.35">
      <c r="A54" s="11"/>
      <c r="B54" s="551" t="s">
        <v>448</v>
      </c>
      <c r="C54" s="23" t="s">
        <v>1</v>
      </c>
      <c r="D54" s="10" t="s">
        <v>37</v>
      </c>
      <c r="E54" s="10" t="s">
        <v>67</v>
      </c>
      <c r="F54" s="680" t="s">
        <v>68</v>
      </c>
      <c r="G54" s="681" t="s">
        <v>45</v>
      </c>
      <c r="H54" s="681" t="s">
        <v>43</v>
      </c>
      <c r="I54" s="682" t="s">
        <v>44</v>
      </c>
      <c r="J54" s="10"/>
      <c r="K54" s="24">
        <f>K55</f>
        <v>12532.7</v>
      </c>
      <c r="L54" s="24">
        <f>L55</f>
        <v>17429.099999999999</v>
      </c>
      <c r="M54" s="24">
        <f>M55</f>
        <v>29961.8</v>
      </c>
      <c r="N54" s="24">
        <f>N55</f>
        <v>35000</v>
      </c>
    </row>
    <row r="55" spans="1:14" s="121" customFormat="1" ht="36" x14ac:dyDescent="0.35">
      <c r="A55" s="11"/>
      <c r="B55" s="518" t="s">
        <v>446</v>
      </c>
      <c r="C55" s="23" t="s">
        <v>1</v>
      </c>
      <c r="D55" s="10" t="s">
        <v>37</v>
      </c>
      <c r="E55" s="10" t="s">
        <v>67</v>
      </c>
      <c r="F55" s="680" t="s">
        <v>68</v>
      </c>
      <c r="G55" s="681" t="s">
        <v>45</v>
      </c>
      <c r="H55" s="681" t="s">
        <v>43</v>
      </c>
      <c r="I55" s="682" t="s">
        <v>69</v>
      </c>
      <c r="J55" s="10"/>
      <c r="K55" s="24">
        <f t="shared" si="4"/>
        <v>12532.7</v>
      </c>
      <c r="L55" s="24">
        <f t="shared" si="4"/>
        <v>17429.099999999999</v>
      </c>
      <c r="M55" s="24">
        <f t="shared" si="4"/>
        <v>29961.8</v>
      </c>
      <c r="N55" s="24">
        <f t="shared" si="4"/>
        <v>35000</v>
      </c>
    </row>
    <row r="56" spans="1:14" s="121" customFormat="1" ht="18" x14ac:dyDescent="0.35">
      <c r="A56" s="11"/>
      <c r="B56" s="518" t="s">
        <v>57</v>
      </c>
      <c r="C56" s="23" t="s">
        <v>1</v>
      </c>
      <c r="D56" s="10" t="s">
        <v>37</v>
      </c>
      <c r="E56" s="10" t="s">
        <v>67</v>
      </c>
      <c r="F56" s="680" t="s">
        <v>68</v>
      </c>
      <c r="G56" s="681" t="s">
        <v>45</v>
      </c>
      <c r="H56" s="681" t="s">
        <v>43</v>
      </c>
      <c r="I56" s="682" t="s">
        <v>69</v>
      </c>
      <c r="J56" s="10" t="s">
        <v>58</v>
      </c>
      <c r="K56" s="24">
        <f>30000-17467.3</f>
        <v>12532.7</v>
      </c>
      <c r="L56" s="24">
        <f>M56-K56</f>
        <v>17429.099999999999</v>
      </c>
      <c r="M56" s="24">
        <f>30000-17467.3+17429.1</f>
        <v>29961.8</v>
      </c>
      <c r="N56" s="24">
        <v>35000</v>
      </c>
    </row>
    <row r="57" spans="1:14" s="121" customFormat="1" ht="18" x14ac:dyDescent="0.35">
      <c r="A57" s="11"/>
      <c r="B57" s="518" t="s">
        <v>70</v>
      </c>
      <c r="C57" s="23" t="s">
        <v>1</v>
      </c>
      <c r="D57" s="10" t="s">
        <v>37</v>
      </c>
      <c r="E57" s="10" t="s">
        <v>71</v>
      </c>
      <c r="F57" s="680"/>
      <c r="G57" s="681"/>
      <c r="H57" s="681"/>
      <c r="I57" s="682"/>
      <c r="J57" s="10"/>
      <c r="K57" s="24">
        <f>K63+K58</f>
        <v>36536.1</v>
      </c>
      <c r="L57" s="24">
        <f>L63+L58</f>
        <v>0</v>
      </c>
      <c r="M57" s="24">
        <f>M63+M58</f>
        <v>36536.1</v>
      </c>
      <c r="N57" s="24">
        <f>N63+N58</f>
        <v>36536.1</v>
      </c>
    </row>
    <row r="58" spans="1:14" s="121" customFormat="1" ht="72" x14ac:dyDescent="0.35">
      <c r="A58" s="11"/>
      <c r="B58" s="518" t="s">
        <v>72</v>
      </c>
      <c r="C58" s="23" t="s">
        <v>1</v>
      </c>
      <c r="D58" s="10" t="s">
        <v>37</v>
      </c>
      <c r="E58" s="10" t="s">
        <v>71</v>
      </c>
      <c r="F58" s="680" t="s">
        <v>73</v>
      </c>
      <c r="G58" s="681" t="s">
        <v>42</v>
      </c>
      <c r="H58" s="681" t="s">
        <v>43</v>
      </c>
      <c r="I58" s="682" t="s">
        <v>44</v>
      </c>
      <c r="J58" s="10"/>
      <c r="K58" s="24">
        <f t="shared" ref="K58:N61" si="5">K59</f>
        <v>406.2</v>
      </c>
      <c r="L58" s="24">
        <f t="shared" si="5"/>
        <v>0</v>
      </c>
      <c r="M58" s="24">
        <f t="shared" si="5"/>
        <v>406.2</v>
      </c>
      <c r="N58" s="24">
        <f t="shared" si="5"/>
        <v>406.2</v>
      </c>
    </row>
    <row r="59" spans="1:14" s="121" customFormat="1" ht="36" x14ac:dyDescent="0.35">
      <c r="A59" s="11"/>
      <c r="B59" s="518" t="s">
        <v>339</v>
      </c>
      <c r="C59" s="23" t="s">
        <v>1</v>
      </c>
      <c r="D59" s="10" t="s">
        <v>37</v>
      </c>
      <c r="E59" s="10" t="s">
        <v>71</v>
      </c>
      <c r="F59" s="680" t="s">
        <v>73</v>
      </c>
      <c r="G59" s="681" t="s">
        <v>45</v>
      </c>
      <c r="H59" s="681" t="s">
        <v>43</v>
      </c>
      <c r="I59" s="682" t="s">
        <v>44</v>
      </c>
      <c r="J59" s="10"/>
      <c r="K59" s="24">
        <f t="shared" si="5"/>
        <v>406.2</v>
      </c>
      <c r="L59" s="24">
        <f t="shared" si="5"/>
        <v>0</v>
      </c>
      <c r="M59" s="24">
        <f t="shared" si="5"/>
        <v>406.2</v>
      </c>
      <c r="N59" s="24">
        <f t="shared" si="5"/>
        <v>406.2</v>
      </c>
    </row>
    <row r="60" spans="1:14" s="121" customFormat="1" ht="54" x14ac:dyDescent="0.35">
      <c r="A60" s="11"/>
      <c r="B60" s="551" t="s">
        <v>266</v>
      </c>
      <c r="C60" s="23" t="s">
        <v>1</v>
      </c>
      <c r="D60" s="10" t="s">
        <v>37</v>
      </c>
      <c r="E60" s="10" t="s">
        <v>71</v>
      </c>
      <c r="F60" s="680" t="s">
        <v>73</v>
      </c>
      <c r="G60" s="681" t="s">
        <v>45</v>
      </c>
      <c r="H60" s="681" t="s">
        <v>37</v>
      </c>
      <c r="I60" s="682" t="s">
        <v>44</v>
      </c>
      <c r="J60" s="10"/>
      <c r="K60" s="24">
        <f t="shared" si="5"/>
        <v>406.2</v>
      </c>
      <c r="L60" s="24">
        <f t="shared" si="5"/>
        <v>0</v>
      </c>
      <c r="M60" s="24">
        <f t="shared" si="5"/>
        <v>406.2</v>
      </c>
      <c r="N60" s="24">
        <f t="shared" si="5"/>
        <v>406.2</v>
      </c>
    </row>
    <row r="61" spans="1:14" s="121" customFormat="1" ht="54" x14ac:dyDescent="0.35">
      <c r="A61" s="11"/>
      <c r="B61" s="551" t="s">
        <v>74</v>
      </c>
      <c r="C61" s="23" t="s">
        <v>1</v>
      </c>
      <c r="D61" s="10" t="s">
        <v>37</v>
      </c>
      <c r="E61" s="10" t="s">
        <v>71</v>
      </c>
      <c r="F61" s="680" t="s">
        <v>73</v>
      </c>
      <c r="G61" s="681" t="s">
        <v>45</v>
      </c>
      <c r="H61" s="681" t="s">
        <v>37</v>
      </c>
      <c r="I61" s="682" t="s">
        <v>75</v>
      </c>
      <c r="J61" s="10"/>
      <c r="K61" s="24">
        <f t="shared" si="5"/>
        <v>406.2</v>
      </c>
      <c r="L61" s="24">
        <f t="shared" si="5"/>
        <v>0</v>
      </c>
      <c r="M61" s="24">
        <f t="shared" si="5"/>
        <v>406.2</v>
      </c>
      <c r="N61" s="24">
        <f t="shared" si="5"/>
        <v>406.2</v>
      </c>
    </row>
    <row r="62" spans="1:14" s="121" customFormat="1" ht="54" x14ac:dyDescent="0.35">
      <c r="A62" s="11"/>
      <c r="B62" s="525" t="s">
        <v>76</v>
      </c>
      <c r="C62" s="23" t="s">
        <v>1</v>
      </c>
      <c r="D62" s="10" t="s">
        <v>37</v>
      </c>
      <c r="E62" s="10" t="s">
        <v>71</v>
      </c>
      <c r="F62" s="680" t="s">
        <v>73</v>
      </c>
      <c r="G62" s="681" t="s">
        <v>45</v>
      </c>
      <c r="H62" s="681" t="s">
        <v>37</v>
      </c>
      <c r="I62" s="682" t="s">
        <v>75</v>
      </c>
      <c r="J62" s="10" t="s">
        <v>77</v>
      </c>
      <c r="K62" s="24">
        <v>406.2</v>
      </c>
      <c r="L62" s="24">
        <f>M62-K62</f>
        <v>0</v>
      </c>
      <c r="M62" s="24">
        <v>406.2</v>
      </c>
      <c r="N62" s="24">
        <v>406.2</v>
      </c>
    </row>
    <row r="63" spans="1:14" s="121" customFormat="1" ht="54" x14ac:dyDescent="0.35">
      <c r="A63" s="11"/>
      <c r="B63" s="518" t="s">
        <v>40</v>
      </c>
      <c r="C63" s="23" t="s">
        <v>1</v>
      </c>
      <c r="D63" s="10" t="s">
        <v>37</v>
      </c>
      <c r="E63" s="10" t="s">
        <v>71</v>
      </c>
      <c r="F63" s="680" t="s">
        <v>41</v>
      </c>
      <c r="G63" s="681" t="s">
        <v>42</v>
      </c>
      <c r="H63" s="681" t="s">
        <v>43</v>
      </c>
      <c r="I63" s="682" t="s">
        <v>44</v>
      </c>
      <c r="J63" s="10"/>
      <c r="K63" s="24">
        <f>K64</f>
        <v>36129.9</v>
      </c>
      <c r="L63" s="24">
        <f>L64</f>
        <v>0</v>
      </c>
      <c r="M63" s="24">
        <f>M64</f>
        <v>36129.9</v>
      </c>
      <c r="N63" s="24">
        <f>N64</f>
        <v>36129.9</v>
      </c>
    </row>
    <row r="64" spans="1:14" s="121" customFormat="1" ht="36" x14ac:dyDescent="0.35">
      <c r="A64" s="11"/>
      <c r="B64" s="518" t="s">
        <v>339</v>
      </c>
      <c r="C64" s="23" t="s">
        <v>1</v>
      </c>
      <c r="D64" s="10" t="s">
        <v>37</v>
      </c>
      <c r="E64" s="10" t="s">
        <v>71</v>
      </c>
      <c r="F64" s="680" t="s">
        <v>41</v>
      </c>
      <c r="G64" s="681" t="s">
        <v>45</v>
      </c>
      <c r="H64" s="681" t="s">
        <v>43</v>
      </c>
      <c r="I64" s="682" t="s">
        <v>44</v>
      </c>
      <c r="J64" s="10"/>
      <c r="K64" s="24">
        <f>K69+K65+K74</f>
        <v>36129.9</v>
      </c>
      <c r="L64" s="24">
        <f>L69+L65+L74</f>
        <v>0</v>
      </c>
      <c r="M64" s="24">
        <f>M69+M65+M74</f>
        <v>36129.9</v>
      </c>
      <c r="N64" s="24">
        <f>N69+N65+N74</f>
        <v>36129.9</v>
      </c>
    </row>
    <row r="65" spans="1:14" s="121" customFormat="1" ht="18" x14ac:dyDescent="0.35">
      <c r="A65" s="11"/>
      <c r="B65" s="525" t="s">
        <v>62</v>
      </c>
      <c r="C65" s="23" t="s">
        <v>1</v>
      </c>
      <c r="D65" s="10" t="s">
        <v>37</v>
      </c>
      <c r="E65" s="10" t="s">
        <v>71</v>
      </c>
      <c r="F65" s="680" t="s">
        <v>41</v>
      </c>
      <c r="G65" s="681" t="s">
        <v>45</v>
      </c>
      <c r="H65" s="681" t="s">
        <v>63</v>
      </c>
      <c r="I65" s="682" t="s">
        <v>44</v>
      </c>
      <c r="J65" s="10"/>
      <c r="K65" s="24">
        <f>K66</f>
        <v>2413.9</v>
      </c>
      <c r="L65" s="24">
        <f>L66</f>
        <v>0</v>
      </c>
      <c r="M65" s="24">
        <f>M66</f>
        <v>2413.9</v>
      </c>
      <c r="N65" s="24">
        <f>N66</f>
        <v>2413.9</v>
      </c>
    </row>
    <row r="66" spans="1:14" s="121" customFormat="1" ht="54" x14ac:dyDescent="0.35">
      <c r="A66" s="11"/>
      <c r="B66" s="525" t="s">
        <v>380</v>
      </c>
      <c r="C66" s="23" t="s">
        <v>1</v>
      </c>
      <c r="D66" s="10" t="s">
        <v>37</v>
      </c>
      <c r="E66" s="10" t="s">
        <v>71</v>
      </c>
      <c r="F66" s="680" t="s">
        <v>41</v>
      </c>
      <c r="G66" s="681" t="s">
        <v>45</v>
      </c>
      <c r="H66" s="681" t="s">
        <v>63</v>
      </c>
      <c r="I66" s="682" t="s">
        <v>379</v>
      </c>
      <c r="J66" s="10"/>
      <c r="K66" s="24">
        <f>K67+K68</f>
        <v>2413.9</v>
      </c>
      <c r="L66" s="24">
        <f>L67+L68</f>
        <v>0</v>
      </c>
      <c r="M66" s="24">
        <f>M67+M68</f>
        <v>2413.9</v>
      </c>
      <c r="N66" s="24">
        <f>N67+N68</f>
        <v>2413.9</v>
      </c>
    </row>
    <row r="67" spans="1:14" s="121" customFormat="1" ht="54" x14ac:dyDescent="0.35">
      <c r="A67" s="11"/>
      <c r="B67" s="518" t="s">
        <v>55</v>
      </c>
      <c r="C67" s="23" t="s">
        <v>1</v>
      </c>
      <c r="D67" s="10" t="s">
        <v>37</v>
      </c>
      <c r="E67" s="10" t="s">
        <v>71</v>
      </c>
      <c r="F67" s="680" t="s">
        <v>41</v>
      </c>
      <c r="G67" s="681" t="s">
        <v>45</v>
      </c>
      <c r="H67" s="681" t="s">
        <v>63</v>
      </c>
      <c r="I67" s="682" t="s">
        <v>379</v>
      </c>
      <c r="J67" s="10" t="s">
        <v>56</v>
      </c>
      <c r="K67" s="24">
        <v>2187.6</v>
      </c>
      <c r="L67" s="24">
        <f>M67-K67</f>
        <v>0</v>
      </c>
      <c r="M67" s="24">
        <v>2187.6</v>
      </c>
      <c r="N67" s="24">
        <v>2187.6</v>
      </c>
    </row>
    <row r="68" spans="1:14" s="121" customFormat="1" ht="18" x14ac:dyDescent="0.35">
      <c r="A68" s="11"/>
      <c r="B68" s="518" t="s">
        <v>57</v>
      </c>
      <c r="C68" s="23" t="s">
        <v>1</v>
      </c>
      <c r="D68" s="10" t="s">
        <v>37</v>
      </c>
      <c r="E68" s="10" t="s">
        <v>71</v>
      </c>
      <c r="F68" s="680" t="s">
        <v>41</v>
      </c>
      <c r="G68" s="681" t="s">
        <v>45</v>
      </c>
      <c r="H68" s="681" t="s">
        <v>63</v>
      </c>
      <c r="I68" s="682" t="s">
        <v>379</v>
      </c>
      <c r="J68" s="10" t="s">
        <v>58</v>
      </c>
      <c r="K68" s="24">
        <v>226.3</v>
      </c>
      <c r="L68" s="24">
        <f>M68-K68</f>
        <v>0</v>
      </c>
      <c r="M68" s="24">
        <v>226.3</v>
      </c>
      <c r="N68" s="24">
        <v>226.3</v>
      </c>
    </row>
    <row r="69" spans="1:14" s="121" customFormat="1" ht="18" x14ac:dyDescent="0.35">
      <c r="A69" s="11"/>
      <c r="B69" s="518" t="s">
        <v>64</v>
      </c>
      <c r="C69" s="23" t="s">
        <v>1</v>
      </c>
      <c r="D69" s="10" t="s">
        <v>37</v>
      </c>
      <c r="E69" s="10" t="s">
        <v>71</v>
      </c>
      <c r="F69" s="680" t="s">
        <v>41</v>
      </c>
      <c r="G69" s="681" t="s">
        <v>45</v>
      </c>
      <c r="H69" s="681" t="s">
        <v>52</v>
      </c>
      <c r="I69" s="682" t="s">
        <v>44</v>
      </c>
      <c r="J69" s="10"/>
      <c r="K69" s="24">
        <f>K70+K72</f>
        <v>3227.8</v>
      </c>
      <c r="L69" s="24">
        <f>L70+L72</f>
        <v>0</v>
      </c>
      <c r="M69" s="24">
        <f>M70+M72</f>
        <v>3227.8</v>
      </c>
      <c r="N69" s="24">
        <f>N70+N72</f>
        <v>3227.8</v>
      </c>
    </row>
    <row r="70" spans="1:14" s="121" customFormat="1" ht="54" x14ac:dyDescent="0.35">
      <c r="A70" s="11"/>
      <c r="B70" s="567" t="s">
        <v>352</v>
      </c>
      <c r="C70" s="23" t="s">
        <v>1</v>
      </c>
      <c r="D70" s="10" t="s">
        <v>37</v>
      </c>
      <c r="E70" s="10" t="s">
        <v>71</v>
      </c>
      <c r="F70" s="680" t="s">
        <v>41</v>
      </c>
      <c r="G70" s="681" t="s">
        <v>45</v>
      </c>
      <c r="H70" s="681" t="s">
        <v>52</v>
      </c>
      <c r="I70" s="682" t="s">
        <v>105</v>
      </c>
      <c r="J70" s="10"/>
      <c r="K70" s="24">
        <f>K71</f>
        <v>1138.8</v>
      </c>
      <c r="L70" s="24">
        <f>L71</f>
        <v>0</v>
      </c>
      <c r="M70" s="24">
        <f>M71</f>
        <v>1138.8</v>
      </c>
      <c r="N70" s="24">
        <f>N71</f>
        <v>1138.8</v>
      </c>
    </row>
    <row r="71" spans="1:14" s="121" customFormat="1" ht="54" x14ac:dyDescent="0.35">
      <c r="A71" s="11"/>
      <c r="B71" s="518" t="s">
        <v>55</v>
      </c>
      <c r="C71" s="23" t="s">
        <v>1</v>
      </c>
      <c r="D71" s="10" t="s">
        <v>37</v>
      </c>
      <c r="E71" s="10" t="s">
        <v>71</v>
      </c>
      <c r="F71" s="680" t="s">
        <v>41</v>
      </c>
      <c r="G71" s="681" t="s">
        <v>45</v>
      </c>
      <c r="H71" s="681" t="s">
        <v>52</v>
      </c>
      <c r="I71" s="682" t="s">
        <v>105</v>
      </c>
      <c r="J71" s="10" t="s">
        <v>56</v>
      </c>
      <c r="K71" s="24">
        <v>1138.8</v>
      </c>
      <c r="L71" s="24">
        <f>M71-K71</f>
        <v>0</v>
      </c>
      <c r="M71" s="24">
        <v>1138.8</v>
      </c>
      <c r="N71" s="24">
        <v>1138.8</v>
      </c>
    </row>
    <row r="72" spans="1:14" s="121" customFormat="1" ht="54" x14ac:dyDescent="0.35">
      <c r="A72" s="11"/>
      <c r="B72" s="518" t="s">
        <v>354</v>
      </c>
      <c r="C72" s="23" t="s">
        <v>1</v>
      </c>
      <c r="D72" s="10" t="s">
        <v>37</v>
      </c>
      <c r="E72" s="10" t="s">
        <v>71</v>
      </c>
      <c r="F72" s="680" t="s">
        <v>41</v>
      </c>
      <c r="G72" s="681" t="s">
        <v>45</v>
      </c>
      <c r="H72" s="681" t="s">
        <v>52</v>
      </c>
      <c r="I72" s="682" t="s">
        <v>353</v>
      </c>
      <c r="J72" s="10"/>
      <c r="K72" s="24">
        <f>K73</f>
        <v>2089</v>
      </c>
      <c r="L72" s="24">
        <f>L73</f>
        <v>0</v>
      </c>
      <c r="M72" s="24">
        <f>M73</f>
        <v>2089</v>
      </c>
      <c r="N72" s="24">
        <f>N73</f>
        <v>2089</v>
      </c>
    </row>
    <row r="73" spans="1:14" s="121" customFormat="1" ht="54" x14ac:dyDescent="0.35">
      <c r="A73" s="11"/>
      <c r="B73" s="518" t="s">
        <v>55</v>
      </c>
      <c r="C73" s="23" t="s">
        <v>1</v>
      </c>
      <c r="D73" s="10" t="s">
        <v>37</v>
      </c>
      <c r="E73" s="10" t="s">
        <v>71</v>
      </c>
      <c r="F73" s="680" t="s">
        <v>41</v>
      </c>
      <c r="G73" s="681" t="s">
        <v>45</v>
      </c>
      <c r="H73" s="681" t="s">
        <v>52</v>
      </c>
      <c r="I73" s="682" t="s">
        <v>353</v>
      </c>
      <c r="J73" s="10" t="s">
        <v>56</v>
      </c>
      <c r="K73" s="24">
        <v>2089</v>
      </c>
      <c r="L73" s="24">
        <f>M73-K73</f>
        <v>0</v>
      </c>
      <c r="M73" s="24">
        <v>2089</v>
      </c>
      <c r="N73" s="24">
        <v>2089</v>
      </c>
    </row>
    <row r="74" spans="1:14" s="121" customFormat="1" ht="90" x14ac:dyDescent="0.35">
      <c r="A74" s="11"/>
      <c r="B74" s="518" t="s">
        <v>603</v>
      </c>
      <c r="C74" s="23" t="s">
        <v>1</v>
      </c>
      <c r="D74" s="10" t="s">
        <v>37</v>
      </c>
      <c r="E74" s="10" t="s">
        <v>71</v>
      </c>
      <c r="F74" s="680" t="s">
        <v>41</v>
      </c>
      <c r="G74" s="681" t="s">
        <v>45</v>
      </c>
      <c r="H74" s="681" t="s">
        <v>592</v>
      </c>
      <c r="I74" s="682" t="s">
        <v>44</v>
      </c>
      <c r="J74" s="10"/>
      <c r="K74" s="24">
        <f>K75</f>
        <v>30488.2</v>
      </c>
      <c r="L74" s="24">
        <f>L75</f>
        <v>0</v>
      </c>
      <c r="M74" s="24">
        <f>M75</f>
        <v>30488.2</v>
      </c>
      <c r="N74" s="24">
        <f>N75</f>
        <v>30488.2</v>
      </c>
    </row>
    <row r="75" spans="1:14" s="121" customFormat="1" ht="36" x14ac:dyDescent="0.35">
      <c r="A75" s="11"/>
      <c r="B75" s="551" t="s">
        <v>466</v>
      </c>
      <c r="C75" s="23" t="s">
        <v>1</v>
      </c>
      <c r="D75" s="10" t="s">
        <v>37</v>
      </c>
      <c r="E75" s="10" t="s">
        <v>71</v>
      </c>
      <c r="F75" s="680" t="s">
        <v>41</v>
      </c>
      <c r="G75" s="681" t="s">
        <v>45</v>
      </c>
      <c r="H75" s="681" t="s">
        <v>592</v>
      </c>
      <c r="I75" s="682" t="s">
        <v>91</v>
      </c>
      <c r="J75" s="10"/>
      <c r="K75" s="24">
        <f>K76+K77</f>
        <v>30488.2</v>
      </c>
      <c r="L75" s="24">
        <f>L76+L77</f>
        <v>0</v>
      </c>
      <c r="M75" s="24">
        <f>M76+M77</f>
        <v>30488.2</v>
      </c>
      <c r="N75" s="24">
        <f>N76+N77</f>
        <v>30488.2</v>
      </c>
    </row>
    <row r="76" spans="1:14" s="121" customFormat="1" ht="108" x14ac:dyDescent="0.35">
      <c r="A76" s="11"/>
      <c r="B76" s="518" t="s">
        <v>49</v>
      </c>
      <c r="C76" s="23" t="s">
        <v>1</v>
      </c>
      <c r="D76" s="10" t="s">
        <v>37</v>
      </c>
      <c r="E76" s="10" t="s">
        <v>71</v>
      </c>
      <c r="F76" s="680" t="s">
        <v>41</v>
      </c>
      <c r="G76" s="681" t="s">
        <v>45</v>
      </c>
      <c r="H76" s="681" t="s">
        <v>592</v>
      </c>
      <c r="I76" s="682" t="s">
        <v>91</v>
      </c>
      <c r="J76" s="10" t="s">
        <v>50</v>
      </c>
      <c r="K76" s="24">
        <v>23999.5</v>
      </c>
      <c r="L76" s="24">
        <f>M76-K76</f>
        <v>0</v>
      </c>
      <c r="M76" s="24">
        <v>23999.5</v>
      </c>
      <c r="N76" s="24">
        <v>23999.5</v>
      </c>
    </row>
    <row r="77" spans="1:14" s="121" customFormat="1" ht="54" x14ac:dyDescent="0.35">
      <c r="A77" s="11"/>
      <c r="B77" s="518" t="s">
        <v>55</v>
      </c>
      <c r="C77" s="23" t="s">
        <v>1</v>
      </c>
      <c r="D77" s="10" t="s">
        <v>37</v>
      </c>
      <c r="E77" s="10" t="s">
        <v>71</v>
      </c>
      <c r="F77" s="680" t="s">
        <v>41</v>
      </c>
      <c r="G77" s="681" t="s">
        <v>45</v>
      </c>
      <c r="H77" s="681" t="s">
        <v>592</v>
      </c>
      <c r="I77" s="682" t="s">
        <v>91</v>
      </c>
      <c r="J77" s="10" t="s">
        <v>56</v>
      </c>
      <c r="K77" s="24">
        <f>6314.2+174.5</f>
        <v>6488.7</v>
      </c>
      <c r="L77" s="24">
        <f>M77-K77</f>
        <v>0</v>
      </c>
      <c r="M77" s="24">
        <f>6314.2+174.5</f>
        <v>6488.7</v>
      </c>
      <c r="N77" s="24">
        <v>6488.7</v>
      </c>
    </row>
    <row r="78" spans="1:14" s="121" customFormat="1" ht="36" x14ac:dyDescent="0.35">
      <c r="A78" s="11"/>
      <c r="B78" s="518" t="s">
        <v>78</v>
      </c>
      <c r="C78" s="23" t="s">
        <v>1</v>
      </c>
      <c r="D78" s="10" t="s">
        <v>63</v>
      </c>
      <c r="E78" s="10"/>
      <c r="F78" s="680"/>
      <c r="G78" s="681"/>
      <c r="H78" s="681"/>
      <c r="I78" s="682"/>
      <c r="J78" s="10"/>
      <c r="K78" s="24">
        <f>K79+K87</f>
        <v>12719.499999999996</v>
      </c>
      <c r="L78" s="24">
        <f>L79+L87</f>
        <v>0</v>
      </c>
      <c r="M78" s="24">
        <f>M79+M87</f>
        <v>12719.499999999996</v>
      </c>
      <c r="N78" s="24">
        <f>N79+N87</f>
        <v>12720.499999999996</v>
      </c>
    </row>
    <row r="79" spans="1:14" s="121" customFormat="1" ht="72" x14ac:dyDescent="0.35">
      <c r="A79" s="11"/>
      <c r="B79" s="595" t="s">
        <v>464</v>
      </c>
      <c r="C79" s="23" t="s">
        <v>1</v>
      </c>
      <c r="D79" s="10" t="s">
        <v>63</v>
      </c>
      <c r="E79" s="10" t="s">
        <v>104</v>
      </c>
      <c r="F79" s="680"/>
      <c r="G79" s="681"/>
      <c r="H79" s="681"/>
      <c r="I79" s="682"/>
      <c r="J79" s="10"/>
      <c r="K79" s="24">
        <f t="shared" ref="K79:N81" si="6">K80</f>
        <v>362.29999999999995</v>
      </c>
      <c r="L79" s="24">
        <f t="shared" si="6"/>
        <v>0</v>
      </c>
      <c r="M79" s="24">
        <f t="shared" si="6"/>
        <v>362.29999999999995</v>
      </c>
      <c r="N79" s="24">
        <f t="shared" si="6"/>
        <v>362.29999999999995</v>
      </c>
    </row>
    <row r="80" spans="1:14" s="121" customFormat="1" ht="54" x14ac:dyDescent="0.35">
      <c r="A80" s="11"/>
      <c r="B80" s="518" t="s">
        <v>80</v>
      </c>
      <c r="C80" s="23" t="s">
        <v>1</v>
      </c>
      <c r="D80" s="10" t="s">
        <v>63</v>
      </c>
      <c r="E80" s="10" t="s">
        <v>104</v>
      </c>
      <c r="F80" s="680" t="s">
        <v>81</v>
      </c>
      <c r="G80" s="681" t="s">
        <v>42</v>
      </c>
      <c r="H80" s="681" t="s">
        <v>43</v>
      </c>
      <c r="I80" s="682" t="s">
        <v>44</v>
      </c>
      <c r="J80" s="10"/>
      <c r="K80" s="24">
        <f t="shared" si="6"/>
        <v>362.29999999999995</v>
      </c>
      <c r="L80" s="24">
        <f t="shared" si="6"/>
        <v>0</v>
      </c>
      <c r="M80" s="24">
        <f t="shared" si="6"/>
        <v>362.29999999999995</v>
      </c>
      <c r="N80" s="24">
        <f t="shared" si="6"/>
        <v>362.29999999999995</v>
      </c>
    </row>
    <row r="81" spans="1:14" s="121" customFormat="1" ht="54" x14ac:dyDescent="0.35">
      <c r="A81" s="11"/>
      <c r="B81" s="568" t="s">
        <v>82</v>
      </c>
      <c r="C81" s="23" t="s">
        <v>1</v>
      </c>
      <c r="D81" s="10" t="s">
        <v>63</v>
      </c>
      <c r="E81" s="10" t="s">
        <v>104</v>
      </c>
      <c r="F81" s="680" t="s">
        <v>81</v>
      </c>
      <c r="G81" s="681" t="s">
        <v>45</v>
      </c>
      <c r="H81" s="681" t="s">
        <v>43</v>
      </c>
      <c r="I81" s="682" t="s">
        <v>44</v>
      </c>
      <c r="J81" s="10"/>
      <c r="K81" s="24">
        <f t="shared" si="6"/>
        <v>362.29999999999995</v>
      </c>
      <c r="L81" s="24">
        <f t="shared" si="6"/>
        <v>0</v>
      </c>
      <c r="M81" s="24">
        <f t="shared" si="6"/>
        <v>362.29999999999995</v>
      </c>
      <c r="N81" s="24">
        <f t="shared" si="6"/>
        <v>362.29999999999995</v>
      </c>
    </row>
    <row r="82" spans="1:14" s="121" customFormat="1" ht="72" x14ac:dyDescent="0.35">
      <c r="A82" s="11"/>
      <c r="B82" s="518" t="s">
        <v>83</v>
      </c>
      <c r="C82" s="23" t="s">
        <v>1</v>
      </c>
      <c r="D82" s="10" t="s">
        <v>63</v>
      </c>
      <c r="E82" s="10" t="s">
        <v>104</v>
      </c>
      <c r="F82" s="680" t="s">
        <v>81</v>
      </c>
      <c r="G82" s="681" t="s">
        <v>45</v>
      </c>
      <c r="H82" s="681" t="s">
        <v>37</v>
      </c>
      <c r="I82" s="682" t="s">
        <v>44</v>
      </c>
      <c r="J82" s="10"/>
      <c r="K82" s="24">
        <f>K83+K85</f>
        <v>362.29999999999995</v>
      </c>
      <c r="L82" s="24">
        <f>L83+L85</f>
        <v>0</v>
      </c>
      <c r="M82" s="24">
        <f>M83+M85</f>
        <v>362.29999999999995</v>
      </c>
      <c r="N82" s="24">
        <f>N83+N85</f>
        <v>362.29999999999995</v>
      </c>
    </row>
    <row r="83" spans="1:14" s="121" customFormat="1" ht="36" x14ac:dyDescent="0.35">
      <c r="A83" s="11"/>
      <c r="B83" s="568" t="s">
        <v>452</v>
      </c>
      <c r="C83" s="23" t="s">
        <v>1</v>
      </c>
      <c r="D83" s="10" t="s">
        <v>63</v>
      </c>
      <c r="E83" s="10" t="s">
        <v>104</v>
      </c>
      <c r="F83" s="680" t="s">
        <v>81</v>
      </c>
      <c r="G83" s="681" t="s">
        <v>45</v>
      </c>
      <c r="H83" s="681" t="s">
        <v>37</v>
      </c>
      <c r="I83" s="682" t="s">
        <v>84</v>
      </c>
      <c r="J83" s="10"/>
      <c r="K83" s="24">
        <f>K84</f>
        <v>298.39999999999998</v>
      </c>
      <c r="L83" s="24">
        <f>L84</f>
        <v>0</v>
      </c>
      <c r="M83" s="24">
        <f>M84</f>
        <v>298.39999999999998</v>
      </c>
      <c r="N83" s="24">
        <f>N84</f>
        <v>298.39999999999998</v>
      </c>
    </row>
    <row r="84" spans="1:14" s="121" customFormat="1" ht="54" x14ac:dyDescent="0.35">
      <c r="A84" s="11"/>
      <c r="B84" s="518" t="s">
        <v>55</v>
      </c>
      <c r="C84" s="23" t="s">
        <v>1</v>
      </c>
      <c r="D84" s="10" t="s">
        <v>63</v>
      </c>
      <c r="E84" s="10" t="s">
        <v>104</v>
      </c>
      <c r="F84" s="680" t="s">
        <v>81</v>
      </c>
      <c r="G84" s="681" t="s">
        <v>45</v>
      </c>
      <c r="H84" s="681" t="s">
        <v>37</v>
      </c>
      <c r="I84" s="682" t="s">
        <v>84</v>
      </c>
      <c r="J84" s="10" t="s">
        <v>56</v>
      </c>
      <c r="K84" s="24">
        <v>298.39999999999998</v>
      </c>
      <c r="L84" s="24">
        <f>M84-K84</f>
        <v>0</v>
      </c>
      <c r="M84" s="24">
        <v>298.39999999999998</v>
      </c>
      <c r="N84" s="24">
        <v>298.39999999999998</v>
      </c>
    </row>
    <row r="85" spans="1:14" s="121" customFormat="1" ht="54" x14ac:dyDescent="0.35">
      <c r="A85" s="11"/>
      <c r="B85" s="518" t="s">
        <v>85</v>
      </c>
      <c r="C85" s="23" t="s">
        <v>1</v>
      </c>
      <c r="D85" s="10" t="s">
        <v>63</v>
      </c>
      <c r="E85" s="10" t="s">
        <v>104</v>
      </c>
      <c r="F85" s="680" t="s">
        <v>81</v>
      </c>
      <c r="G85" s="681" t="s">
        <v>45</v>
      </c>
      <c r="H85" s="681" t="s">
        <v>37</v>
      </c>
      <c r="I85" s="682" t="s">
        <v>86</v>
      </c>
      <c r="J85" s="10"/>
      <c r="K85" s="24">
        <f>K86</f>
        <v>63.9</v>
      </c>
      <c r="L85" s="24">
        <f>L86</f>
        <v>0</v>
      </c>
      <c r="M85" s="24">
        <f>M86</f>
        <v>63.9</v>
      </c>
      <c r="N85" s="24">
        <f>N86</f>
        <v>63.9</v>
      </c>
    </row>
    <row r="86" spans="1:14" s="121" customFormat="1" ht="54" x14ac:dyDescent="0.35">
      <c r="A86" s="11"/>
      <c r="B86" s="518" t="s">
        <v>55</v>
      </c>
      <c r="C86" s="23" t="s">
        <v>1</v>
      </c>
      <c r="D86" s="10" t="s">
        <v>63</v>
      </c>
      <c r="E86" s="10" t="s">
        <v>104</v>
      </c>
      <c r="F86" s="680" t="s">
        <v>81</v>
      </c>
      <c r="G86" s="681" t="s">
        <v>45</v>
      </c>
      <c r="H86" s="681" t="s">
        <v>37</v>
      </c>
      <c r="I86" s="682" t="s">
        <v>86</v>
      </c>
      <c r="J86" s="10" t="s">
        <v>56</v>
      </c>
      <c r="K86" s="24">
        <v>63.9</v>
      </c>
      <c r="L86" s="24">
        <f>M86-K86</f>
        <v>0</v>
      </c>
      <c r="M86" s="24">
        <v>63.9</v>
      </c>
      <c r="N86" s="24">
        <v>63.9</v>
      </c>
    </row>
    <row r="87" spans="1:14" s="121" customFormat="1" ht="54" x14ac:dyDescent="0.35">
      <c r="A87" s="11"/>
      <c r="B87" s="567" t="s">
        <v>87</v>
      </c>
      <c r="C87" s="23" t="s">
        <v>1</v>
      </c>
      <c r="D87" s="10" t="s">
        <v>63</v>
      </c>
      <c r="E87" s="10" t="s">
        <v>88</v>
      </c>
      <c r="F87" s="680"/>
      <c r="G87" s="681"/>
      <c r="H87" s="681"/>
      <c r="I87" s="682"/>
      <c r="J87" s="10"/>
      <c r="K87" s="24">
        <f>K88</f>
        <v>12357.199999999997</v>
      </c>
      <c r="L87" s="24">
        <f>L88</f>
        <v>0</v>
      </c>
      <c r="M87" s="24">
        <f>M88</f>
        <v>12357.199999999997</v>
      </c>
      <c r="N87" s="24">
        <f>N88</f>
        <v>12358.199999999997</v>
      </c>
    </row>
    <row r="88" spans="1:14" s="121" customFormat="1" ht="54" x14ac:dyDescent="0.35">
      <c r="A88" s="11"/>
      <c r="B88" s="518" t="s">
        <v>80</v>
      </c>
      <c r="C88" s="23" t="s">
        <v>1</v>
      </c>
      <c r="D88" s="10" t="s">
        <v>63</v>
      </c>
      <c r="E88" s="10" t="s">
        <v>88</v>
      </c>
      <c r="F88" s="680" t="s">
        <v>81</v>
      </c>
      <c r="G88" s="681" t="s">
        <v>42</v>
      </c>
      <c r="H88" s="681" t="s">
        <v>43</v>
      </c>
      <c r="I88" s="682" t="s">
        <v>44</v>
      </c>
      <c r="J88" s="10"/>
      <c r="K88" s="24">
        <f>K96+K89+K102</f>
        <v>12357.199999999997</v>
      </c>
      <c r="L88" s="24">
        <f>L96+L89+L102</f>
        <v>0</v>
      </c>
      <c r="M88" s="24">
        <f>M96+M89+M102</f>
        <v>12357.199999999997</v>
      </c>
      <c r="N88" s="24">
        <f>N96+N89+N102</f>
        <v>12358.199999999997</v>
      </c>
    </row>
    <row r="89" spans="1:14" s="121" customFormat="1" ht="36" x14ac:dyDescent="0.35">
      <c r="A89" s="11"/>
      <c r="B89" s="567" t="s">
        <v>125</v>
      </c>
      <c r="C89" s="23" t="s">
        <v>1</v>
      </c>
      <c r="D89" s="10" t="s">
        <v>63</v>
      </c>
      <c r="E89" s="10" t="s">
        <v>88</v>
      </c>
      <c r="F89" s="680" t="s">
        <v>81</v>
      </c>
      <c r="G89" s="681" t="s">
        <v>89</v>
      </c>
      <c r="H89" s="681" t="s">
        <v>43</v>
      </c>
      <c r="I89" s="682" t="s">
        <v>44</v>
      </c>
      <c r="J89" s="10"/>
      <c r="K89" s="24">
        <f>K90+K93</f>
        <v>1480.3999999999999</v>
      </c>
      <c r="L89" s="24">
        <f>L90+L93</f>
        <v>0</v>
      </c>
      <c r="M89" s="24">
        <f>M90+M93</f>
        <v>1480.3999999999999</v>
      </c>
      <c r="N89" s="24">
        <f>N90+N93</f>
        <v>1480.3999999999999</v>
      </c>
    </row>
    <row r="90" spans="1:14" s="121" customFormat="1" ht="36" x14ac:dyDescent="0.35">
      <c r="A90" s="11"/>
      <c r="B90" s="567" t="s">
        <v>271</v>
      </c>
      <c r="C90" s="23" t="s">
        <v>1</v>
      </c>
      <c r="D90" s="10" t="s">
        <v>63</v>
      </c>
      <c r="E90" s="10" t="s">
        <v>88</v>
      </c>
      <c r="F90" s="680" t="s">
        <v>81</v>
      </c>
      <c r="G90" s="681" t="s">
        <v>89</v>
      </c>
      <c r="H90" s="681" t="s">
        <v>37</v>
      </c>
      <c r="I90" s="682" t="s">
        <v>44</v>
      </c>
      <c r="J90" s="10"/>
      <c r="K90" s="24">
        <f t="shared" ref="K90:N91" si="7">K91</f>
        <v>21.8</v>
      </c>
      <c r="L90" s="24">
        <f t="shared" si="7"/>
        <v>0</v>
      </c>
      <c r="M90" s="24">
        <f t="shared" si="7"/>
        <v>21.8</v>
      </c>
      <c r="N90" s="24">
        <f t="shared" si="7"/>
        <v>21.8</v>
      </c>
    </row>
    <row r="91" spans="1:14" s="121" customFormat="1" ht="36" x14ac:dyDescent="0.35">
      <c r="A91" s="11"/>
      <c r="B91" s="551" t="s">
        <v>127</v>
      </c>
      <c r="C91" s="23" t="s">
        <v>1</v>
      </c>
      <c r="D91" s="10" t="s">
        <v>63</v>
      </c>
      <c r="E91" s="10" t="s">
        <v>88</v>
      </c>
      <c r="F91" s="680" t="s">
        <v>81</v>
      </c>
      <c r="G91" s="681" t="s">
        <v>89</v>
      </c>
      <c r="H91" s="681" t="s">
        <v>37</v>
      </c>
      <c r="I91" s="682" t="s">
        <v>90</v>
      </c>
      <c r="J91" s="10"/>
      <c r="K91" s="24">
        <f t="shared" si="7"/>
        <v>21.8</v>
      </c>
      <c r="L91" s="24">
        <f t="shared" si="7"/>
        <v>0</v>
      </c>
      <c r="M91" s="24">
        <f t="shared" si="7"/>
        <v>21.8</v>
      </c>
      <c r="N91" s="24">
        <f t="shared" si="7"/>
        <v>21.8</v>
      </c>
    </row>
    <row r="92" spans="1:14" s="121" customFormat="1" ht="54" x14ac:dyDescent="0.35">
      <c r="A92" s="11"/>
      <c r="B92" s="518" t="s">
        <v>55</v>
      </c>
      <c r="C92" s="23" t="s">
        <v>1</v>
      </c>
      <c r="D92" s="10" t="s">
        <v>63</v>
      </c>
      <c r="E92" s="10" t="s">
        <v>88</v>
      </c>
      <c r="F92" s="680" t="s">
        <v>81</v>
      </c>
      <c r="G92" s="681" t="s">
        <v>89</v>
      </c>
      <c r="H92" s="681" t="s">
        <v>37</v>
      </c>
      <c r="I92" s="682" t="s">
        <v>90</v>
      </c>
      <c r="J92" s="10" t="s">
        <v>56</v>
      </c>
      <c r="K92" s="24">
        <v>21.8</v>
      </c>
      <c r="L92" s="24">
        <f>M92-K92</f>
        <v>0</v>
      </c>
      <c r="M92" s="24">
        <v>21.8</v>
      </c>
      <c r="N92" s="24">
        <v>21.8</v>
      </c>
    </row>
    <row r="93" spans="1:14" s="121" customFormat="1" ht="54" x14ac:dyDescent="0.35">
      <c r="A93" s="11"/>
      <c r="B93" s="551" t="s">
        <v>126</v>
      </c>
      <c r="C93" s="23" t="s">
        <v>1</v>
      </c>
      <c r="D93" s="10" t="s">
        <v>63</v>
      </c>
      <c r="E93" s="10" t="s">
        <v>88</v>
      </c>
      <c r="F93" s="680" t="s">
        <v>81</v>
      </c>
      <c r="G93" s="681" t="s">
        <v>89</v>
      </c>
      <c r="H93" s="681" t="s">
        <v>39</v>
      </c>
      <c r="I93" s="682" t="s">
        <v>44</v>
      </c>
      <c r="J93" s="10"/>
      <c r="K93" s="24">
        <f t="shared" ref="K93:N94" si="8">K94</f>
        <v>1458.6</v>
      </c>
      <c r="L93" s="24">
        <f t="shared" si="8"/>
        <v>0</v>
      </c>
      <c r="M93" s="24">
        <f t="shared" si="8"/>
        <v>1458.6</v>
      </c>
      <c r="N93" s="24">
        <f t="shared" si="8"/>
        <v>1458.6</v>
      </c>
    </row>
    <row r="94" spans="1:14" s="121" customFormat="1" ht="36" x14ac:dyDescent="0.35">
      <c r="A94" s="11"/>
      <c r="B94" s="551" t="s">
        <v>127</v>
      </c>
      <c r="C94" s="23" t="s">
        <v>1</v>
      </c>
      <c r="D94" s="10" t="s">
        <v>63</v>
      </c>
      <c r="E94" s="10" t="s">
        <v>88</v>
      </c>
      <c r="F94" s="680" t="s">
        <v>81</v>
      </c>
      <c r="G94" s="681" t="s">
        <v>89</v>
      </c>
      <c r="H94" s="681" t="s">
        <v>39</v>
      </c>
      <c r="I94" s="682" t="s">
        <v>90</v>
      </c>
      <c r="J94" s="10"/>
      <c r="K94" s="24">
        <f t="shared" si="8"/>
        <v>1458.6</v>
      </c>
      <c r="L94" s="24">
        <f t="shared" si="8"/>
        <v>0</v>
      </c>
      <c r="M94" s="24">
        <f t="shared" si="8"/>
        <v>1458.6</v>
      </c>
      <c r="N94" s="24">
        <f t="shared" si="8"/>
        <v>1458.6</v>
      </c>
    </row>
    <row r="95" spans="1:14" s="121" customFormat="1" ht="54" x14ac:dyDescent="0.35">
      <c r="A95" s="11"/>
      <c r="B95" s="518" t="s">
        <v>55</v>
      </c>
      <c r="C95" s="23" t="s">
        <v>1</v>
      </c>
      <c r="D95" s="10" t="s">
        <v>63</v>
      </c>
      <c r="E95" s="10" t="s">
        <v>88</v>
      </c>
      <c r="F95" s="680" t="s">
        <v>81</v>
      </c>
      <c r="G95" s="681" t="s">
        <v>89</v>
      </c>
      <c r="H95" s="681" t="s">
        <v>39</v>
      </c>
      <c r="I95" s="682" t="s">
        <v>90</v>
      </c>
      <c r="J95" s="10" t="s">
        <v>56</v>
      </c>
      <c r="K95" s="24">
        <v>1458.6</v>
      </c>
      <c r="L95" s="24">
        <f>M95-K95</f>
        <v>0</v>
      </c>
      <c r="M95" s="24">
        <v>1458.6</v>
      </c>
      <c r="N95" s="24">
        <v>1458.6</v>
      </c>
    </row>
    <row r="96" spans="1:14" s="121" customFormat="1" ht="72" x14ac:dyDescent="0.35">
      <c r="A96" s="11"/>
      <c r="B96" s="567" t="s">
        <v>368</v>
      </c>
      <c r="C96" s="23" t="s">
        <v>1</v>
      </c>
      <c r="D96" s="10" t="s">
        <v>63</v>
      </c>
      <c r="E96" s="10" t="s">
        <v>88</v>
      </c>
      <c r="F96" s="680" t="s">
        <v>81</v>
      </c>
      <c r="G96" s="681" t="s">
        <v>30</v>
      </c>
      <c r="H96" s="681" t="s">
        <v>43</v>
      </c>
      <c r="I96" s="682" t="s">
        <v>44</v>
      </c>
      <c r="J96" s="10"/>
      <c r="K96" s="24">
        <f t="shared" ref="K96:N97" si="9">K97</f>
        <v>10854.999999999998</v>
      </c>
      <c r="L96" s="24">
        <f t="shared" si="9"/>
        <v>0</v>
      </c>
      <c r="M96" s="24">
        <f t="shared" si="9"/>
        <v>10854.999999999998</v>
      </c>
      <c r="N96" s="24">
        <f t="shared" si="9"/>
        <v>10855.999999999998</v>
      </c>
    </row>
    <row r="97" spans="1:14" s="121" customFormat="1" ht="72" x14ac:dyDescent="0.35">
      <c r="A97" s="11"/>
      <c r="B97" s="551" t="s">
        <v>323</v>
      </c>
      <c r="C97" s="23" t="s">
        <v>1</v>
      </c>
      <c r="D97" s="10" t="s">
        <v>63</v>
      </c>
      <c r="E97" s="10" t="s">
        <v>88</v>
      </c>
      <c r="F97" s="680" t="s">
        <v>81</v>
      </c>
      <c r="G97" s="681" t="s">
        <v>30</v>
      </c>
      <c r="H97" s="681" t="s">
        <v>37</v>
      </c>
      <c r="I97" s="682" t="s">
        <v>44</v>
      </c>
      <c r="J97" s="10"/>
      <c r="K97" s="24">
        <f t="shared" si="9"/>
        <v>10854.999999999998</v>
      </c>
      <c r="L97" s="24">
        <f t="shared" si="9"/>
        <v>0</v>
      </c>
      <c r="M97" s="24">
        <f t="shared" si="9"/>
        <v>10854.999999999998</v>
      </c>
      <c r="N97" s="24">
        <f t="shared" si="9"/>
        <v>10855.999999999998</v>
      </c>
    </row>
    <row r="98" spans="1:14" s="121" customFormat="1" ht="36" x14ac:dyDescent="0.35">
      <c r="A98" s="11"/>
      <c r="B98" s="596" t="s">
        <v>466</v>
      </c>
      <c r="C98" s="23" t="s">
        <v>1</v>
      </c>
      <c r="D98" s="10" t="s">
        <v>63</v>
      </c>
      <c r="E98" s="10" t="s">
        <v>88</v>
      </c>
      <c r="F98" s="680" t="s">
        <v>81</v>
      </c>
      <c r="G98" s="681" t="s">
        <v>30</v>
      </c>
      <c r="H98" s="681" t="s">
        <v>37</v>
      </c>
      <c r="I98" s="682" t="s">
        <v>91</v>
      </c>
      <c r="J98" s="10"/>
      <c r="K98" s="24">
        <f>K99+K100+K101</f>
        <v>10854.999999999998</v>
      </c>
      <c r="L98" s="24">
        <f>L99+L100+L101</f>
        <v>0</v>
      </c>
      <c r="M98" s="24">
        <f>M99+M100+M101</f>
        <v>10854.999999999998</v>
      </c>
      <c r="N98" s="24">
        <f>N99+N100+N101</f>
        <v>10855.999999999998</v>
      </c>
    </row>
    <row r="99" spans="1:14" s="121" customFormat="1" ht="108" x14ac:dyDescent="0.35">
      <c r="A99" s="11"/>
      <c r="B99" s="518" t="s">
        <v>49</v>
      </c>
      <c r="C99" s="23" t="s">
        <v>1</v>
      </c>
      <c r="D99" s="10" t="s">
        <v>63</v>
      </c>
      <c r="E99" s="10" t="s">
        <v>88</v>
      </c>
      <c r="F99" s="680" t="s">
        <v>81</v>
      </c>
      <c r="G99" s="681" t="s">
        <v>30</v>
      </c>
      <c r="H99" s="681" t="s">
        <v>37</v>
      </c>
      <c r="I99" s="682" t="s">
        <v>91</v>
      </c>
      <c r="J99" s="10" t="s">
        <v>50</v>
      </c>
      <c r="K99" s="24">
        <v>8959.9</v>
      </c>
      <c r="L99" s="24">
        <f>M99-K99</f>
        <v>0</v>
      </c>
      <c r="M99" s="24">
        <v>8959.9</v>
      </c>
      <c r="N99" s="24">
        <v>8959.9</v>
      </c>
    </row>
    <row r="100" spans="1:14" s="121" customFormat="1" ht="54" x14ac:dyDescent="0.35">
      <c r="A100" s="11"/>
      <c r="B100" s="518" t="s">
        <v>55</v>
      </c>
      <c r="C100" s="23" t="s">
        <v>1</v>
      </c>
      <c r="D100" s="10" t="s">
        <v>63</v>
      </c>
      <c r="E100" s="10" t="s">
        <v>88</v>
      </c>
      <c r="F100" s="680" t="s">
        <v>81</v>
      </c>
      <c r="G100" s="681" t="s">
        <v>30</v>
      </c>
      <c r="H100" s="681" t="s">
        <v>37</v>
      </c>
      <c r="I100" s="682" t="s">
        <v>91</v>
      </c>
      <c r="J100" s="10" t="s">
        <v>56</v>
      </c>
      <c r="K100" s="24">
        <v>1891.8</v>
      </c>
      <c r="L100" s="24">
        <f>M100-K100</f>
        <v>0</v>
      </c>
      <c r="M100" s="24">
        <v>1891.8</v>
      </c>
      <c r="N100" s="24">
        <v>1892.8</v>
      </c>
    </row>
    <row r="101" spans="1:14" s="121" customFormat="1" ht="18" x14ac:dyDescent="0.35">
      <c r="A101" s="11"/>
      <c r="B101" s="518" t="s">
        <v>57</v>
      </c>
      <c r="C101" s="23" t="s">
        <v>1</v>
      </c>
      <c r="D101" s="10" t="s">
        <v>63</v>
      </c>
      <c r="E101" s="10" t="s">
        <v>88</v>
      </c>
      <c r="F101" s="680" t="s">
        <v>81</v>
      </c>
      <c r="G101" s="681" t="s">
        <v>30</v>
      </c>
      <c r="H101" s="681" t="s">
        <v>37</v>
      </c>
      <c r="I101" s="682" t="s">
        <v>91</v>
      </c>
      <c r="J101" s="10" t="s">
        <v>58</v>
      </c>
      <c r="K101" s="24">
        <v>3.3</v>
      </c>
      <c r="L101" s="24">
        <f>M101-K101</f>
        <v>0</v>
      </c>
      <c r="M101" s="24">
        <v>3.3</v>
      </c>
      <c r="N101" s="24">
        <v>3.3</v>
      </c>
    </row>
    <row r="102" spans="1:14" s="121" customFormat="1" ht="54" x14ac:dyDescent="0.35">
      <c r="A102" s="11"/>
      <c r="B102" s="532" t="s">
        <v>492</v>
      </c>
      <c r="C102" s="23" t="s">
        <v>1</v>
      </c>
      <c r="D102" s="10" t="s">
        <v>63</v>
      </c>
      <c r="E102" s="10" t="s">
        <v>88</v>
      </c>
      <c r="F102" s="680" t="s">
        <v>81</v>
      </c>
      <c r="G102" s="681" t="s">
        <v>31</v>
      </c>
      <c r="H102" s="681" t="s">
        <v>43</v>
      </c>
      <c r="I102" s="682" t="s">
        <v>44</v>
      </c>
      <c r="J102" s="10"/>
      <c r="K102" s="24">
        <f t="shared" ref="K102:N104" si="10">K103</f>
        <v>21.8</v>
      </c>
      <c r="L102" s="24">
        <f t="shared" si="10"/>
        <v>0</v>
      </c>
      <c r="M102" s="24">
        <f t="shared" si="10"/>
        <v>21.8</v>
      </c>
      <c r="N102" s="24">
        <f t="shared" si="10"/>
        <v>21.8</v>
      </c>
    </row>
    <row r="103" spans="1:14" s="121" customFormat="1" ht="72" x14ac:dyDescent="0.35">
      <c r="A103" s="11"/>
      <c r="B103" s="533" t="s">
        <v>493</v>
      </c>
      <c r="C103" s="23" t="s">
        <v>1</v>
      </c>
      <c r="D103" s="10" t="s">
        <v>63</v>
      </c>
      <c r="E103" s="10" t="s">
        <v>88</v>
      </c>
      <c r="F103" s="680" t="s">
        <v>81</v>
      </c>
      <c r="G103" s="681" t="s">
        <v>31</v>
      </c>
      <c r="H103" s="681" t="s">
        <v>37</v>
      </c>
      <c r="I103" s="682" t="s">
        <v>44</v>
      </c>
      <c r="J103" s="10"/>
      <c r="K103" s="24">
        <f t="shared" si="10"/>
        <v>21.8</v>
      </c>
      <c r="L103" s="24">
        <f t="shared" si="10"/>
        <v>0</v>
      </c>
      <c r="M103" s="24">
        <f t="shared" si="10"/>
        <v>21.8</v>
      </c>
      <c r="N103" s="24">
        <f t="shared" si="10"/>
        <v>21.8</v>
      </c>
    </row>
    <row r="104" spans="1:14" s="121" customFormat="1" ht="54" x14ac:dyDescent="0.35">
      <c r="A104" s="11"/>
      <c r="B104" s="534" t="s">
        <v>85</v>
      </c>
      <c r="C104" s="23" t="s">
        <v>1</v>
      </c>
      <c r="D104" s="10" t="s">
        <v>63</v>
      </c>
      <c r="E104" s="10" t="s">
        <v>88</v>
      </c>
      <c r="F104" s="680" t="s">
        <v>81</v>
      </c>
      <c r="G104" s="681" t="s">
        <v>31</v>
      </c>
      <c r="H104" s="681" t="s">
        <v>37</v>
      </c>
      <c r="I104" s="682" t="s">
        <v>86</v>
      </c>
      <c r="J104" s="10"/>
      <c r="K104" s="24">
        <f t="shared" si="10"/>
        <v>21.8</v>
      </c>
      <c r="L104" s="24">
        <f t="shared" si="10"/>
        <v>0</v>
      </c>
      <c r="M104" s="24">
        <f t="shared" si="10"/>
        <v>21.8</v>
      </c>
      <c r="N104" s="24">
        <f t="shared" si="10"/>
        <v>21.8</v>
      </c>
    </row>
    <row r="105" spans="1:14" s="121" customFormat="1" ht="54" x14ac:dyDescent="0.35">
      <c r="A105" s="11"/>
      <c r="B105" s="535" t="s">
        <v>55</v>
      </c>
      <c r="C105" s="23" t="s">
        <v>1</v>
      </c>
      <c r="D105" s="10" t="s">
        <v>63</v>
      </c>
      <c r="E105" s="10" t="s">
        <v>88</v>
      </c>
      <c r="F105" s="680" t="s">
        <v>81</v>
      </c>
      <c r="G105" s="681" t="s">
        <v>31</v>
      </c>
      <c r="H105" s="681" t="s">
        <v>37</v>
      </c>
      <c r="I105" s="682" t="s">
        <v>86</v>
      </c>
      <c r="J105" s="10" t="s">
        <v>56</v>
      </c>
      <c r="K105" s="24">
        <v>21.8</v>
      </c>
      <c r="L105" s="24">
        <f>M105-K105</f>
        <v>0</v>
      </c>
      <c r="M105" s="24">
        <v>21.8</v>
      </c>
      <c r="N105" s="24">
        <v>21.8</v>
      </c>
    </row>
    <row r="106" spans="1:14" s="121" customFormat="1" ht="18" x14ac:dyDescent="0.35">
      <c r="A106" s="11"/>
      <c r="B106" s="518" t="s">
        <v>92</v>
      </c>
      <c r="C106" s="23" t="s">
        <v>1</v>
      </c>
      <c r="D106" s="10" t="s">
        <v>52</v>
      </c>
      <c r="E106" s="10"/>
      <c r="F106" s="680"/>
      <c r="G106" s="681"/>
      <c r="H106" s="681"/>
      <c r="I106" s="682"/>
      <c r="J106" s="10"/>
      <c r="K106" s="24">
        <f>K107+K116+K122</f>
        <v>27573.599999999999</v>
      </c>
      <c r="L106" s="24">
        <f>L107+L116+L122</f>
        <v>0</v>
      </c>
      <c r="M106" s="24">
        <f>M107+M116+M122</f>
        <v>27573.599999999999</v>
      </c>
      <c r="N106" s="24">
        <f>N107+N116+N122</f>
        <v>26840.6</v>
      </c>
    </row>
    <row r="107" spans="1:14" s="7" customFormat="1" ht="18" x14ac:dyDescent="0.35">
      <c r="A107" s="11"/>
      <c r="B107" s="518" t="s">
        <v>93</v>
      </c>
      <c r="C107" s="23" t="s">
        <v>1</v>
      </c>
      <c r="D107" s="10" t="s">
        <v>52</v>
      </c>
      <c r="E107" s="10" t="s">
        <v>65</v>
      </c>
      <c r="F107" s="680"/>
      <c r="G107" s="681"/>
      <c r="H107" s="681"/>
      <c r="I107" s="682"/>
      <c r="J107" s="10"/>
      <c r="K107" s="24">
        <f t="shared" ref="K107:N108" si="11">K108</f>
        <v>19075.7</v>
      </c>
      <c r="L107" s="24">
        <f t="shared" si="11"/>
        <v>0</v>
      </c>
      <c r="M107" s="24">
        <f t="shared" si="11"/>
        <v>19075.7</v>
      </c>
      <c r="N107" s="24">
        <f t="shared" si="11"/>
        <v>19075.7</v>
      </c>
    </row>
    <row r="108" spans="1:14" s="121" customFormat="1" ht="54" x14ac:dyDescent="0.35">
      <c r="A108" s="11"/>
      <c r="B108" s="518" t="s">
        <v>94</v>
      </c>
      <c r="C108" s="23" t="s">
        <v>1</v>
      </c>
      <c r="D108" s="10" t="s">
        <v>52</v>
      </c>
      <c r="E108" s="10" t="s">
        <v>65</v>
      </c>
      <c r="F108" s="680" t="s">
        <v>67</v>
      </c>
      <c r="G108" s="681" t="s">
        <v>42</v>
      </c>
      <c r="H108" s="681" t="s">
        <v>43</v>
      </c>
      <c r="I108" s="682" t="s">
        <v>44</v>
      </c>
      <c r="J108" s="10"/>
      <c r="K108" s="24">
        <f t="shared" si="11"/>
        <v>19075.7</v>
      </c>
      <c r="L108" s="24">
        <f t="shared" si="11"/>
        <v>0</v>
      </c>
      <c r="M108" s="24">
        <f t="shared" si="11"/>
        <v>19075.7</v>
      </c>
      <c r="N108" s="24">
        <f t="shared" si="11"/>
        <v>19075.7</v>
      </c>
    </row>
    <row r="109" spans="1:14" s="7" customFormat="1" ht="36" x14ac:dyDescent="0.35">
      <c r="A109" s="11"/>
      <c r="B109" s="518" t="s">
        <v>339</v>
      </c>
      <c r="C109" s="23" t="s">
        <v>1</v>
      </c>
      <c r="D109" s="10" t="s">
        <v>52</v>
      </c>
      <c r="E109" s="10" t="s">
        <v>65</v>
      </c>
      <c r="F109" s="680" t="s">
        <v>67</v>
      </c>
      <c r="G109" s="681" t="s">
        <v>45</v>
      </c>
      <c r="H109" s="681" t="s">
        <v>43</v>
      </c>
      <c r="I109" s="682" t="s">
        <v>44</v>
      </c>
      <c r="J109" s="10"/>
      <c r="K109" s="24">
        <f>K110+K113</f>
        <v>19075.7</v>
      </c>
      <c r="L109" s="24">
        <f>L110+L113</f>
        <v>0</v>
      </c>
      <c r="M109" s="24">
        <f>M110+M113</f>
        <v>19075.7</v>
      </c>
      <c r="N109" s="24">
        <f>N110+N113</f>
        <v>19075.7</v>
      </c>
    </row>
    <row r="110" spans="1:14" s="7" customFormat="1" ht="54" x14ac:dyDescent="0.35">
      <c r="A110" s="11"/>
      <c r="B110" s="518" t="s">
        <v>95</v>
      </c>
      <c r="C110" s="23" t="s">
        <v>1</v>
      </c>
      <c r="D110" s="10" t="s">
        <v>52</v>
      </c>
      <c r="E110" s="10" t="s">
        <v>65</v>
      </c>
      <c r="F110" s="680" t="s">
        <v>67</v>
      </c>
      <c r="G110" s="681" t="s">
        <v>45</v>
      </c>
      <c r="H110" s="681" t="s">
        <v>37</v>
      </c>
      <c r="I110" s="682" t="s">
        <v>44</v>
      </c>
      <c r="J110" s="10"/>
      <c r="K110" s="24">
        <f t="shared" ref="K110:N111" si="12">K111</f>
        <v>15776.9</v>
      </c>
      <c r="L110" s="24">
        <f t="shared" si="12"/>
        <v>0</v>
      </c>
      <c r="M110" s="24">
        <f t="shared" si="12"/>
        <v>15776.9</v>
      </c>
      <c r="N110" s="24">
        <f t="shared" si="12"/>
        <v>15776.9</v>
      </c>
    </row>
    <row r="111" spans="1:14" s="7" customFormat="1" ht="72" x14ac:dyDescent="0.35">
      <c r="A111" s="11"/>
      <c r="B111" s="566" t="s">
        <v>409</v>
      </c>
      <c r="C111" s="23" t="s">
        <v>1</v>
      </c>
      <c r="D111" s="10" t="s">
        <v>52</v>
      </c>
      <c r="E111" s="10" t="s">
        <v>65</v>
      </c>
      <c r="F111" s="680" t="s">
        <v>67</v>
      </c>
      <c r="G111" s="681" t="s">
        <v>45</v>
      </c>
      <c r="H111" s="681" t="s">
        <v>37</v>
      </c>
      <c r="I111" s="682" t="s">
        <v>61</v>
      </c>
      <c r="J111" s="10"/>
      <c r="K111" s="24">
        <f t="shared" si="12"/>
        <v>15776.9</v>
      </c>
      <c r="L111" s="24">
        <f t="shared" si="12"/>
        <v>0</v>
      </c>
      <c r="M111" s="24">
        <f t="shared" si="12"/>
        <v>15776.9</v>
      </c>
      <c r="N111" s="24">
        <f t="shared" si="12"/>
        <v>15776.9</v>
      </c>
    </row>
    <row r="112" spans="1:14" s="121" customFormat="1" ht="18" x14ac:dyDescent="0.35">
      <c r="A112" s="11"/>
      <c r="B112" s="518" t="s">
        <v>57</v>
      </c>
      <c r="C112" s="23" t="s">
        <v>1</v>
      </c>
      <c r="D112" s="10" t="s">
        <v>52</v>
      </c>
      <c r="E112" s="10" t="s">
        <v>65</v>
      </c>
      <c r="F112" s="680" t="s">
        <v>67</v>
      </c>
      <c r="G112" s="681" t="s">
        <v>45</v>
      </c>
      <c r="H112" s="681" t="s">
        <v>37</v>
      </c>
      <c r="I112" s="682" t="s">
        <v>61</v>
      </c>
      <c r="J112" s="10" t="s">
        <v>58</v>
      </c>
      <c r="K112" s="24">
        <v>15776.9</v>
      </c>
      <c r="L112" s="24">
        <f>M112-K112</f>
        <v>0</v>
      </c>
      <c r="M112" s="24">
        <v>15776.9</v>
      </c>
      <c r="N112" s="24">
        <v>15776.9</v>
      </c>
    </row>
    <row r="113" spans="1:14" s="7" customFormat="1" ht="54" x14ac:dyDescent="0.35">
      <c r="A113" s="11"/>
      <c r="B113" s="518" t="s">
        <v>96</v>
      </c>
      <c r="C113" s="23" t="s">
        <v>1</v>
      </c>
      <c r="D113" s="10" t="s">
        <v>52</v>
      </c>
      <c r="E113" s="10" t="s">
        <v>65</v>
      </c>
      <c r="F113" s="680" t="s">
        <v>67</v>
      </c>
      <c r="G113" s="681" t="s">
        <v>45</v>
      </c>
      <c r="H113" s="681" t="s">
        <v>39</v>
      </c>
      <c r="I113" s="682" t="s">
        <v>44</v>
      </c>
      <c r="J113" s="10"/>
      <c r="K113" s="24">
        <f t="shared" ref="K113:N114" si="13">K114</f>
        <v>3298.8</v>
      </c>
      <c r="L113" s="24">
        <f t="shared" si="13"/>
        <v>0</v>
      </c>
      <c r="M113" s="24">
        <f t="shared" si="13"/>
        <v>3298.8</v>
      </c>
      <c r="N113" s="24">
        <f t="shared" si="13"/>
        <v>3298.8</v>
      </c>
    </row>
    <row r="114" spans="1:14" s="7" customFormat="1" ht="180" x14ac:dyDescent="0.35">
      <c r="A114" s="11"/>
      <c r="B114" s="518" t="s">
        <v>527</v>
      </c>
      <c r="C114" s="23" t="s">
        <v>1</v>
      </c>
      <c r="D114" s="10" t="s">
        <v>52</v>
      </c>
      <c r="E114" s="10" t="s">
        <v>65</v>
      </c>
      <c r="F114" s="680" t="s">
        <v>67</v>
      </c>
      <c r="G114" s="681" t="s">
        <v>45</v>
      </c>
      <c r="H114" s="681" t="s">
        <v>39</v>
      </c>
      <c r="I114" s="682" t="s">
        <v>97</v>
      </c>
      <c r="J114" s="10"/>
      <c r="K114" s="24">
        <f t="shared" si="13"/>
        <v>3298.8</v>
      </c>
      <c r="L114" s="24">
        <f t="shared" si="13"/>
        <v>0</v>
      </c>
      <c r="M114" s="24">
        <f t="shared" si="13"/>
        <v>3298.8</v>
      </c>
      <c r="N114" s="24">
        <f t="shared" si="13"/>
        <v>3298.8</v>
      </c>
    </row>
    <row r="115" spans="1:14" s="121" customFormat="1" ht="54" x14ac:dyDescent="0.35">
      <c r="A115" s="11"/>
      <c r="B115" s="518" t="s">
        <v>55</v>
      </c>
      <c r="C115" s="23" t="s">
        <v>1</v>
      </c>
      <c r="D115" s="10" t="s">
        <v>52</v>
      </c>
      <c r="E115" s="10" t="s">
        <v>65</v>
      </c>
      <c r="F115" s="680" t="s">
        <v>67</v>
      </c>
      <c r="G115" s="681" t="s">
        <v>45</v>
      </c>
      <c r="H115" s="681" t="s">
        <v>39</v>
      </c>
      <c r="I115" s="682" t="s">
        <v>97</v>
      </c>
      <c r="J115" s="10" t="s">
        <v>56</v>
      </c>
      <c r="K115" s="24">
        <v>3298.8</v>
      </c>
      <c r="L115" s="24">
        <f>M115-K115</f>
        <v>0</v>
      </c>
      <c r="M115" s="24">
        <v>3298.8</v>
      </c>
      <c r="N115" s="24">
        <v>3298.8</v>
      </c>
    </row>
    <row r="116" spans="1:14" s="7" customFormat="1" ht="18" x14ac:dyDescent="0.35">
      <c r="A116" s="11"/>
      <c r="B116" s="567" t="s">
        <v>98</v>
      </c>
      <c r="C116" s="23" t="s">
        <v>1</v>
      </c>
      <c r="D116" s="10" t="s">
        <v>52</v>
      </c>
      <c r="E116" s="10" t="s">
        <v>79</v>
      </c>
      <c r="F116" s="680"/>
      <c r="G116" s="681"/>
      <c r="H116" s="681"/>
      <c r="I116" s="682"/>
      <c r="J116" s="10"/>
      <c r="K116" s="24">
        <f t="shared" ref="K116:N120" si="14">K117</f>
        <v>6181.8</v>
      </c>
      <c r="L116" s="24">
        <f t="shared" si="14"/>
        <v>0</v>
      </c>
      <c r="M116" s="24">
        <f t="shared" si="14"/>
        <v>6181.8</v>
      </c>
      <c r="N116" s="24">
        <f t="shared" si="14"/>
        <v>6648.8</v>
      </c>
    </row>
    <row r="117" spans="1:14" s="121" customFormat="1" ht="54" x14ac:dyDescent="0.35">
      <c r="A117" s="11"/>
      <c r="B117" s="518" t="s">
        <v>99</v>
      </c>
      <c r="C117" s="23" t="s">
        <v>1</v>
      </c>
      <c r="D117" s="10" t="s">
        <v>52</v>
      </c>
      <c r="E117" s="10" t="s">
        <v>79</v>
      </c>
      <c r="F117" s="680" t="s">
        <v>100</v>
      </c>
      <c r="G117" s="681" t="s">
        <v>42</v>
      </c>
      <c r="H117" s="681" t="s">
        <v>43</v>
      </c>
      <c r="I117" s="682" t="s">
        <v>44</v>
      </c>
      <c r="J117" s="10"/>
      <c r="K117" s="24">
        <f t="shared" si="14"/>
        <v>6181.8</v>
      </c>
      <c r="L117" s="24">
        <f t="shared" si="14"/>
        <v>0</v>
      </c>
      <c r="M117" s="24">
        <f t="shared" si="14"/>
        <v>6181.8</v>
      </c>
      <c r="N117" s="24">
        <f t="shared" si="14"/>
        <v>6648.8</v>
      </c>
    </row>
    <row r="118" spans="1:14" s="7" customFormat="1" ht="36" x14ac:dyDescent="0.35">
      <c r="A118" s="11"/>
      <c r="B118" s="518" t="s">
        <v>339</v>
      </c>
      <c r="C118" s="23" t="s">
        <v>1</v>
      </c>
      <c r="D118" s="10" t="s">
        <v>52</v>
      </c>
      <c r="E118" s="10" t="s">
        <v>79</v>
      </c>
      <c r="F118" s="680" t="s">
        <v>100</v>
      </c>
      <c r="G118" s="681" t="s">
        <v>45</v>
      </c>
      <c r="H118" s="681" t="s">
        <v>43</v>
      </c>
      <c r="I118" s="682" t="s">
        <v>44</v>
      </c>
      <c r="J118" s="10"/>
      <c r="K118" s="24">
        <f t="shared" si="14"/>
        <v>6181.8</v>
      </c>
      <c r="L118" s="24">
        <f t="shared" si="14"/>
        <v>0</v>
      </c>
      <c r="M118" s="24">
        <f t="shared" si="14"/>
        <v>6181.8</v>
      </c>
      <c r="N118" s="24">
        <f t="shared" si="14"/>
        <v>6648.8</v>
      </c>
    </row>
    <row r="119" spans="1:14" s="7" customFormat="1" ht="90" x14ac:dyDescent="0.35">
      <c r="A119" s="11"/>
      <c r="B119" s="518" t="s">
        <v>101</v>
      </c>
      <c r="C119" s="23" t="s">
        <v>1</v>
      </c>
      <c r="D119" s="10" t="s">
        <v>52</v>
      </c>
      <c r="E119" s="10" t="s">
        <v>79</v>
      </c>
      <c r="F119" s="680" t="s">
        <v>100</v>
      </c>
      <c r="G119" s="681" t="s">
        <v>45</v>
      </c>
      <c r="H119" s="681" t="s">
        <v>37</v>
      </c>
      <c r="I119" s="682" t="s">
        <v>44</v>
      </c>
      <c r="J119" s="10"/>
      <c r="K119" s="24">
        <f t="shared" si="14"/>
        <v>6181.8</v>
      </c>
      <c r="L119" s="24">
        <f t="shared" si="14"/>
        <v>0</v>
      </c>
      <c r="M119" s="24">
        <f t="shared" si="14"/>
        <v>6181.8</v>
      </c>
      <c r="N119" s="24">
        <f t="shared" si="14"/>
        <v>6648.8</v>
      </c>
    </row>
    <row r="120" spans="1:14" s="7" customFormat="1" ht="72" x14ac:dyDescent="0.35">
      <c r="A120" s="11"/>
      <c r="B120" s="568" t="s">
        <v>102</v>
      </c>
      <c r="C120" s="23" t="s">
        <v>1</v>
      </c>
      <c r="D120" s="10" t="s">
        <v>52</v>
      </c>
      <c r="E120" s="10" t="s">
        <v>79</v>
      </c>
      <c r="F120" s="680" t="s">
        <v>100</v>
      </c>
      <c r="G120" s="681" t="s">
        <v>45</v>
      </c>
      <c r="H120" s="681" t="s">
        <v>37</v>
      </c>
      <c r="I120" s="682" t="s">
        <v>103</v>
      </c>
      <c r="J120" s="10"/>
      <c r="K120" s="24">
        <f t="shared" si="14"/>
        <v>6181.8</v>
      </c>
      <c r="L120" s="24">
        <f t="shared" si="14"/>
        <v>0</v>
      </c>
      <c r="M120" s="24">
        <f t="shared" si="14"/>
        <v>6181.8</v>
      </c>
      <c r="N120" s="24">
        <f t="shared" si="14"/>
        <v>6648.8</v>
      </c>
    </row>
    <row r="121" spans="1:14" s="121" customFormat="1" ht="54" x14ac:dyDescent="0.35">
      <c r="A121" s="11"/>
      <c r="B121" s="518" t="s">
        <v>55</v>
      </c>
      <c r="C121" s="23" t="s">
        <v>1</v>
      </c>
      <c r="D121" s="10" t="s">
        <v>52</v>
      </c>
      <c r="E121" s="10" t="s">
        <v>79</v>
      </c>
      <c r="F121" s="680" t="s">
        <v>100</v>
      </c>
      <c r="G121" s="681" t="s">
        <v>45</v>
      </c>
      <c r="H121" s="681" t="s">
        <v>37</v>
      </c>
      <c r="I121" s="682" t="s">
        <v>103</v>
      </c>
      <c r="J121" s="10" t="s">
        <v>56</v>
      </c>
      <c r="K121" s="24">
        <v>6181.8</v>
      </c>
      <c r="L121" s="24">
        <f>M121-K121</f>
        <v>0</v>
      </c>
      <c r="M121" s="24">
        <v>6181.8</v>
      </c>
      <c r="N121" s="24">
        <v>6648.8</v>
      </c>
    </row>
    <row r="122" spans="1:14" s="7" customFormat="1" ht="36" x14ac:dyDescent="0.35">
      <c r="A122" s="11"/>
      <c r="B122" s="567" t="s">
        <v>106</v>
      </c>
      <c r="C122" s="23" t="s">
        <v>1</v>
      </c>
      <c r="D122" s="10" t="s">
        <v>52</v>
      </c>
      <c r="E122" s="10" t="s">
        <v>100</v>
      </c>
      <c r="F122" s="680"/>
      <c r="G122" s="681"/>
      <c r="H122" s="681"/>
      <c r="I122" s="682"/>
      <c r="J122" s="10"/>
      <c r="K122" s="24">
        <f t="shared" ref="K122" si="15">K123+K132+K137</f>
        <v>2316.1</v>
      </c>
      <c r="L122" s="24">
        <f>L123+L132+L137</f>
        <v>0</v>
      </c>
      <c r="M122" s="24">
        <f t="shared" ref="M122:N122" si="16">M123+M132+M137</f>
        <v>2316.1</v>
      </c>
      <c r="N122" s="24">
        <f t="shared" si="16"/>
        <v>1116.0999999999999</v>
      </c>
    </row>
    <row r="123" spans="1:14" s="121" customFormat="1" ht="72" x14ac:dyDescent="0.35">
      <c r="A123" s="11"/>
      <c r="B123" s="518" t="s">
        <v>107</v>
      </c>
      <c r="C123" s="23" t="s">
        <v>1</v>
      </c>
      <c r="D123" s="10" t="s">
        <v>52</v>
      </c>
      <c r="E123" s="10" t="s">
        <v>100</v>
      </c>
      <c r="F123" s="680" t="s">
        <v>71</v>
      </c>
      <c r="G123" s="681" t="s">
        <v>42</v>
      </c>
      <c r="H123" s="681" t="s">
        <v>43</v>
      </c>
      <c r="I123" s="682" t="s">
        <v>44</v>
      </c>
      <c r="J123" s="10"/>
      <c r="K123" s="24">
        <f>K128+K124</f>
        <v>1066.0999999999999</v>
      </c>
      <c r="L123" s="24">
        <f>L128+L124</f>
        <v>0</v>
      </c>
      <c r="M123" s="24">
        <f>M128+M124</f>
        <v>1066.0999999999999</v>
      </c>
      <c r="N123" s="24">
        <f>N128+N124</f>
        <v>1066.0999999999999</v>
      </c>
    </row>
    <row r="124" spans="1:14" s="121" customFormat="1" ht="54" x14ac:dyDescent="0.35">
      <c r="A124" s="11"/>
      <c r="B124" s="567" t="s">
        <v>108</v>
      </c>
      <c r="C124" s="23" t="s">
        <v>1</v>
      </c>
      <c r="D124" s="10" t="s">
        <v>52</v>
      </c>
      <c r="E124" s="10" t="s">
        <v>100</v>
      </c>
      <c r="F124" s="680" t="s">
        <v>71</v>
      </c>
      <c r="G124" s="681" t="s">
        <v>45</v>
      </c>
      <c r="H124" s="681" t="s">
        <v>43</v>
      </c>
      <c r="I124" s="682" t="s">
        <v>44</v>
      </c>
      <c r="J124" s="10"/>
      <c r="K124" s="24">
        <f t="shared" ref="K124:N126" si="17">K125</f>
        <v>340</v>
      </c>
      <c r="L124" s="24">
        <f t="shared" si="17"/>
        <v>0</v>
      </c>
      <c r="M124" s="24">
        <f t="shared" si="17"/>
        <v>340</v>
      </c>
      <c r="N124" s="24">
        <f t="shared" si="17"/>
        <v>340</v>
      </c>
    </row>
    <row r="125" spans="1:14" s="121" customFormat="1" ht="36" x14ac:dyDescent="0.35">
      <c r="A125" s="11"/>
      <c r="B125" s="518" t="s">
        <v>109</v>
      </c>
      <c r="C125" s="23" t="s">
        <v>1</v>
      </c>
      <c r="D125" s="10" t="s">
        <v>52</v>
      </c>
      <c r="E125" s="10" t="s">
        <v>100</v>
      </c>
      <c r="F125" s="680" t="s">
        <v>71</v>
      </c>
      <c r="G125" s="681" t="s">
        <v>45</v>
      </c>
      <c r="H125" s="681" t="s">
        <v>37</v>
      </c>
      <c r="I125" s="682" t="s">
        <v>44</v>
      </c>
      <c r="J125" s="10"/>
      <c r="K125" s="24">
        <f t="shared" si="17"/>
        <v>340</v>
      </c>
      <c r="L125" s="24">
        <f t="shared" si="17"/>
        <v>0</v>
      </c>
      <c r="M125" s="24">
        <f t="shared" si="17"/>
        <v>340</v>
      </c>
      <c r="N125" s="24">
        <f t="shared" si="17"/>
        <v>340</v>
      </c>
    </row>
    <row r="126" spans="1:14" s="121" customFormat="1" ht="36" x14ac:dyDescent="0.35">
      <c r="A126" s="11"/>
      <c r="B126" s="567" t="s">
        <v>110</v>
      </c>
      <c r="C126" s="23" t="s">
        <v>1</v>
      </c>
      <c r="D126" s="10" t="s">
        <v>52</v>
      </c>
      <c r="E126" s="10" t="s">
        <v>100</v>
      </c>
      <c r="F126" s="680" t="s">
        <v>71</v>
      </c>
      <c r="G126" s="681" t="s">
        <v>45</v>
      </c>
      <c r="H126" s="681" t="s">
        <v>37</v>
      </c>
      <c r="I126" s="682" t="s">
        <v>111</v>
      </c>
      <c r="J126" s="10"/>
      <c r="K126" s="24">
        <f t="shared" si="17"/>
        <v>340</v>
      </c>
      <c r="L126" s="24">
        <f t="shared" si="17"/>
        <v>0</v>
      </c>
      <c r="M126" s="24">
        <f t="shared" si="17"/>
        <v>340</v>
      </c>
      <c r="N126" s="24">
        <f t="shared" si="17"/>
        <v>340</v>
      </c>
    </row>
    <row r="127" spans="1:14" s="121" customFormat="1" ht="54" x14ac:dyDescent="0.35">
      <c r="A127" s="11"/>
      <c r="B127" s="518" t="s">
        <v>55</v>
      </c>
      <c r="C127" s="23" t="s">
        <v>1</v>
      </c>
      <c r="D127" s="10" t="s">
        <v>52</v>
      </c>
      <c r="E127" s="10" t="s">
        <v>100</v>
      </c>
      <c r="F127" s="680" t="s">
        <v>71</v>
      </c>
      <c r="G127" s="681" t="s">
        <v>45</v>
      </c>
      <c r="H127" s="681" t="s">
        <v>37</v>
      </c>
      <c r="I127" s="682" t="s">
        <v>111</v>
      </c>
      <c r="J127" s="10" t="s">
        <v>56</v>
      </c>
      <c r="K127" s="24">
        <v>340</v>
      </c>
      <c r="L127" s="24">
        <f>M127-K127</f>
        <v>0</v>
      </c>
      <c r="M127" s="24">
        <v>340</v>
      </c>
      <c r="N127" s="24">
        <v>340</v>
      </c>
    </row>
    <row r="128" spans="1:14" s="121" customFormat="1" ht="36" x14ac:dyDescent="0.35">
      <c r="A128" s="11"/>
      <c r="B128" s="567" t="s">
        <v>112</v>
      </c>
      <c r="C128" s="23" t="s">
        <v>1</v>
      </c>
      <c r="D128" s="10" t="s">
        <v>52</v>
      </c>
      <c r="E128" s="10" t="s">
        <v>100</v>
      </c>
      <c r="F128" s="680" t="s">
        <v>71</v>
      </c>
      <c r="G128" s="681" t="s">
        <v>89</v>
      </c>
      <c r="H128" s="681" t="s">
        <v>43</v>
      </c>
      <c r="I128" s="682" t="s">
        <v>44</v>
      </c>
      <c r="J128" s="10"/>
      <c r="K128" s="24">
        <f t="shared" ref="K128:N130" si="18">K129</f>
        <v>726.1</v>
      </c>
      <c r="L128" s="24">
        <f t="shared" si="18"/>
        <v>0</v>
      </c>
      <c r="M128" s="24">
        <f t="shared" si="18"/>
        <v>726.1</v>
      </c>
      <c r="N128" s="24">
        <f t="shared" si="18"/>
        <v>726.1</v>
      </c>
    </row>
    <row r="129" spans="1:14" s="7" customFormat="1" ht="54" x14ac:dyDescent="0.35">
      <c r="A129" s="11"/>
      <c r="B129" s="567" t="s">
        <v>113</v>
      </c>
      <c r="C129" s="23" t="s">
        <v>1</v>
      </c>
      <c r="D129" s="10" t="s">
        <v>52</v>
      </c>
      <c r="E129" s="10" t="s">
        <v>100</v>
      </c>
      <c r="F129" s="680" t="s">
        <v>71</v>
      </c>
      <c r="G129" s="681" t="s">
        <v>89</v>
      </c>
      <c r="H129" s="681" t="s">
        <v>37</v>
      </c>
      <c r="I129" s="682" t="s">
        <v>44</v>
      </c>
      <c r="J129" s="10"/>
      <c r="K129" s="24">
        <f t="shared" si="18"/>
        <v>726.1</v>
      </c>
      <c r="L129" s="24">
        <f t="shared" si="18"/>
        <v>0</v>
      </c>
      <c r="M129" s="24">
        <f t="shared" si="18"/>
        <v>726.1</v>
      </c>
      <c r="N129" s="24">
        <f t="shared" si="18"/>
        <v>726.1</v>
      </c>
    </row>
    <row r="130" spans="1:14" s="121" customFormat="1" ht="72" x14ac:dyDescent="0.35">
      <c r="A130" s="11"/>
      <c r="B130" s="567" t="s">
        <v>114</v>
      </c>
      <c r="C130" s="23" t="s">
        <v>1</v>
      </c>
      <c r="D130" s="10" t="s">
        <v>52</v>
      </c>
      <c r="E130" s="10" t="s">
        <v>100</v>
      </c>
      <c r="F130" s="680" t="s">
        <v>71</v>
      </c>
      <c r="G130" s="681" t="s">
        <v>89</v>
      </c>
      <c r="H130" s="681" t="s">
        <v>37</v>
      </c>
      <c r="I130" s="682" t="s">
        <v>115</v>
      </c>
      <c r="J130" s="10"/>
      <c r="K130" s="24">
        <f t="shared" si="18"/>
        <v>726.1</v>
      </c>
      <c r="L130" s="24">
        <f t="shared" si="18"/>
        <v>0</v>
      </c>
      <c r="M130" s="24">
        <f t="shared" si="18"/>
        <v>726.1</v>
      </c>
      <c r="N130" s="24">
        <f t="shared" si="18"/>
        <v>726.1</v>
      </c>
    </row>
    <row r="131" spans="1:14" s="7" customFormat="1" ht="54" x14ac:dyDescent="0.35">
      <c r="A131" s="11"/>
      <c r="B131" s="518" t="s">
        <v>55</v>
      </c>
      <c r="C131" s="23" t="s">
        <v>1</v>
      </c>
      <c r="D131" s="10" t="s">
        <v>52</v>
      </c>
      <c r="E131" s="10" t="s">
        <v>100</v>
      </c>
      <c r="F131" s="680" t="s">
        <v>71</v>
      </c>
      <c r="G131" s="681" t="s">
        <v>89</v>
      </c>
      <c r="H131" s="681" t="s">
        <v>37</v>
      </c>
      <c r="I131" s="682" t="s">
        <v>115</v>
      </c>
      <c r="J131" s="10" t="s">
        <v>56</v>
      </c>
      <c r="K131" s="24">
        <v>726.1</v>
      </c>
      <c r="L131" s="24">
        <f>M131-K131</f>
        <v>0</v>
      </c>
      <c r="M131" s="24">
        <v>726.1</v>
      </c>
      <c r="N131" s="24">
        <v>726.1</v>
      </c>
    </row>
    <row r="132" spans="1:14" s="121" customFormat="1" ht="72" x14ac:dyDescent="0.35">
      <c r="A132" s="11"/>
      <c r="B132" s="518" t="s">
        <v>116</v>
      </c>
      <c r="C132" s="23" t="s">
        <v>1</v>
      </c>
      <c r="D132" s="10" t="s">
        <v>52</v>
      </c>
      <c r="E132" s="10" t="s">
        <v>100</v>
      </c>
      <c r="F132" s="680" t="s">
        <v>88</v>
      </c>
      <c r="G132" s="681" t="s">
        <v>42</v>
      </c>
      <c r="H132" s="681" t="s">
        <v>43</v>
      </c>
      <c r="I132" s="682" t="s">
        <v>44</v>
      </c>
      <c r="J132" s="10"/>
      <c r="K132" s="24">
        <f t="shared" ref="K132:N133" si="19">K133</f>
        <v>50</v>
      </c>
      <c r="L132" s="24">
        <f t="shared" si="19"/>
        <v>0</v>
      </c>
      <c r="M132" s="24">
        <f t="shared" si="19"/>
        <v>50</v>
      </c>
      <c r="N132" s="24">
        <f t="shared" si="19"/>
        <v>50</v>
      </c>
    </row>
    <row r="133" spans="1:14" s="121" customFormat="1" ht="36" x14ac:dyDescent="0.35">
      <c r="A133" s="11"/>
      <c r="B133" s="518" t="s">
        <v>339</v>
      </c>
      <c r="C133" s="23" t="s">
        <v>1</v>
      </c>
      <c r="D133" s="10" t="s">
        <v>52</v>
      </c>
      <c r="E133" s="10" t="s">
        <v>100</v>
      </c>
      <c r="F133" s="680" t="s">
        <v>88</v>
      </c>
      <c r="G133" s="681" t="s">
        <v>45</v>
      </c>
      <c r="H133" s="681" t="s">
        <v>43</v>
      </c>
      <c r="I133" s="682" t="s">
        <v>44</v>
      </c>
      <c r="J133" s="10"/>
      <c r="K133" s="24">
        <f t="shared" si="19"/>
        <v>50</v>
      </c>
      <c r="L133" s="24">
        <f t="shared" si="19"/>
        <v>0</v>
      </c>
      <c r="M133" s="24">
        <f t="shared" si="19"/>
        <v>50</v>
      </c>
      <c r="N133" s="24">
        <f t="shared" si="19"/>
        <v>50</v>
      </c>
    </row>
    <row r="134" spans="1:14" s="7" customFormat="1" ht="72" x14ac:dyDescent="0.35">
      <c r="A134" s="11"/>
      <c r="B134" s="567" t="s">
        <v>307</v>
      </c>
      <c r="C134" s="23" t="s">
        <v>1</v>
      </c>
      <c r="D134" s="10" t="s">
        <v>52</v>
      </c>
      <c r="E134" s="10" t="s">
        <v>100</v>
      </c>
      <c r="F134" s="680" t="s">
        <v>88</v>
      </c>
      <c r="G134" s="681" t="s">
        <v>45</v>
      </c>
      <c r="H134" s="681" t="s">
        <v>37</v>
      </c>
      <c r="I134" s="682" t="s">
        <v>44</v>
      </c>
      <c r="J134" s="10"/>
      <c r="K134" s="24">
        <f t="shared" ref="K134:N135" si="20">K135</f>
        <v>50</v>
      </c>
      <c r="L134" s="24">
        <f t="shared" si="20"/>
        <v>0</v>
      </c>
      <c r="M134" s="24">
        <f t="shared" si="20"/>
        <v>50</v>
      </c>
      <c r="N134" s="24">
        <f t="shared" si="20"/>
        <v>50</v>
      </c>
    </row>
    <row r="135" spans="1:14" s="7" customFormat="1" ht="54" x14ac:dyDescent="0.35">
      <c r="A135" s="11"/>
      <c r="B135" s="567" t="s">
        <v>117</v>
      </c>
      <c r="C135" s="23" t="s">
        <v>1</v>
      </c>
      <c r="D135" s="10" t="s">
        <v>52</v>
      </c>
      <c r="E135" s="10" t="s">
        <v>100</v>
      </c>
      <c r="F135" s="680" t="s">
        <v>88</v>
      </c>
      <c r="G135" s="681" t="s">
        <v>45</v>
      </c>
      <c r="H135" s="681" t="s">
        <v>37</v>
      </c>
      <c r="I135" s="682" t="s">
        <v>118</v>
      </c>
      <c r="J135" s="10"/>
      <c r="K135" s="24">
        <f t="shared" si="20"/>
        <v>50</v>
      </c>
      <c r="L135" s="24">
        <f t="shared" si="20"/>
        <v>0</v>
      </c>
      <c r="M135" s="24">
        <f t="shared" si="20"/>
        <v>50</v>
      </c>
      <c r="N135" s="24">
        <f t="shared" si="20"/>
        <v>50</v>
      </c>
    </row>
    <row r="136" spans="1:14" s="7" customFormat="1" ht="54" x14ac:dyDescent="0.35">
      <c r="A136" s="11"/>
      <c r="B136" s="518" t="s">
        <v>55</v>
      </c>
      <c r="C136" s="23" t="s">
        <v>1</v>
      </c>
      <c r="D136" s="10" t="s">
        <v>52</v>
      </c>
      <c r="E136" s="10" t="s">
        <v>100</v>
      </c>
      <c r="F136" s="680" t="s">
        <v>88</v>
      </c>
      <c r="G136" s="681" t="s">
        <v>45</v>
      </c>
      <c r="H136" s="681" t="s">
        <v>37</v>
      </c>
      <c r="I136" s="682" t="s">
        <v>118</v>
      </c>
      <c r="J136" s="10" t="s">
        <v>56</v>
      </c>
      <c r="K136" s="24">
        <v>50</v>
      </c>
      <c r="L136" s="24">
        <f>M136-K136</f>
        <v>0</v>
      </c>
      <c r="M136" s="24">
        <v>50</v>
      </c>
      <c r="N136" s="24">
        <v>50</v>
      </c>
    </row>
    <row r="137" spans="1:14" s="7" customFormat="1" ht="54" x14ac:dyDescent="0.35">
      <c r="A137" s="11"/>
      <c r="B137" s="518" t="s">
        <v>40</v>
      </c>
      <c r="C137" s="23" t="s">
        <v>1</v>
      </c>
      <c r="D137" s="10" t="s">
        <v>52</v>
      </c>
      <c r="E137" s="10" t="s">
        <v>100</v>
      </c>
      <c r="F137" s="680" t="s">
        <v>41</v>
      </c>
      <c r="G137" s="681" t="s">
        <v>42</v>
      </c>
      <c r="H137" s="681" t="s">
        <v>43</v>
      </c>
      <c r="I137" s="682" t="s">
        <v>44</v>
      </c>
      <c r="J137" s="10"/>
      <c r="K137" s="24">
        <f t="shared" ref="K137:N140" si="21">K138</f>
        <v>1200</v>
      </c>
      <c r="L137" s="24">
        <f t="shared" si="21"/>
        <v>0</v>
      </c>
      <c r="M137" s="24">
        <f t="shared" si="21"/>
        <v>1200</v>
      </c>
      <c r="N137" s="24">
        <f t="shared" si="21"/>
        <v>0</v>
      </c>
    </row>
    <row r="138" spans="1:14" s="7" customFormat="1" ht="36" x14ac:dyDescent="0.35">
      <c r="A138" s="11"/>
      <c r="B138" s="518" t="s">
        <v>339</v>
      </c>
      <c r="C138" s="23" t="s">
        <v>1</v>
      </c>
      <c r="D138" s="10" t="s">
        <v>52</v>
      </c>
      <c r="E138" s="10" t="s">
        <v>100</v>
      </c>
      <c r="F138" s="680" t="s">
        <v>41</v>
      </c>
      <c r="G138" s="681" t="s">
        <v>45</v>
      </c>
      <c r="H138" s="681" t="s">
        <v>43</v>
      </c>
      <c r="I138" s="682" t="s">
        <v>44</v>
      </c>
      <c r="J138" s="10"/>
      <c r="K138" s="24">
        <f t="shared" si="21"/>
        <v>1200</v>
      </c>
      <c r="L138" s="24">
        <f t="shared" si="21"/>
        <v>0</v>
      </c>
      <c r="M138" s="24">
        <f t="shared" si="21"/>
        <v>1200</v>
      </c>
      <c r="N138" s="24">
        <f t="shared" si="21"/>
        <v>0</v>
      </c>
    </row>
    <row r="139" spans="1:14" s="7" customFormat="1" ht="54" x14ac:dyDescent="0.35">
      <c r="A139" s="11"/>
      <c r="B139" s="518" t="s">
        <v>331</v>
      </c>
      <c r="C139" s="23" t="s">
        <v>1</v>
      </c>
      <c r="D139" s="10" t="s">
        <v>52</v>
      </c>
      <c r="E139" s="10" t="s">
        <v>100</v>
      </c>
      <c r="F139" s="680" t="s">
        <v>41</v>
      </c>
      <c r="G139" s="681" t="s">
        <v>45</v>
      </c>
      <c r="H139" s="681" t="s">
        <v>88</v>
      </c>
      <c r="I139" s="682" t="s">
        <v>44</v>
      </c>
      <c r="J139" s="10"/>
      <c r="K139" s="24">
        <f t="shared" si="21"/>
        <v>1200</v>
      </c>
      <c r="L139" s="24">
        <f t="shared" si="21"/>
        <v>0</v>
      </c>
      <c r="M139" s="24">
        <f t="shared" si="21"/>
        <v>1200</v>
      </c>
      <c r="N139" s="24">
        <f t="shared" si="21"/>
        <v>0</v>
      </c>
    </row>
    <row r="140" spans="1:14" s="7" customFormat="1" ht="54" x14ac:dyDescent="0.35">
      <c r="A140" s="11"/>
      <c r="B140" s="518" t="s">
        <v>727</v>
      </c>
      <c r="C140" s="23" t="s">
        <v>1</v>
      </c>
      <c r="D140" s="10" t="s">
        <v>52</v>
      </c>
      <c r="E140" s="10" t="s">
        <v>100</v>
      </c>
      <c r="F140" s="680" t="s">
        <v>41</v>
      </c>
      <c r="G140" s="681" t="s">
        <v>45</v>
      </c>
      <c r="H140" s="681" t="s">
        <v>88</v>
      </c>
      <c r="I140" s="682" t="s">
        <v>726</v>
      </c>
      <c r="J140" s="10"/>
      <c r="K140" s="24">
        <f t="shared" si="21"/>
        <v>1200</v>
      </c>
      <c r="L140" s="24">
        <f t="shared" si="21"/>
        <v>0</v>
      </c>
      <c r="M140" s="24">
        <f t="shared" si="21"/>
        <v>1200</v>
      </c>
      <c r="N140" s="24">
        <f t="shared" si="21"/>
        <v>0</v>
      </c>
    </row>
    <row r="141" spans="1:14" s="7" customFormat="1" ht="54" x14ac:dyDescent="0.35">
      <c r="A141" s="11"/>
      <c r="B141" s="518" t="s">
        <v>55</v>
      </c>
      <c r="C141" s="23" t="s">
        <v>1</v>
      </c>
      <c r="D141" s="10" t="s">
        <v>52</v>
      </c>
      <c r="E141" s="10" t="s">
        <v>100</v>
      </c>
      <c r="F141" s="680" t="s">
        <v>41</v>
      </c>
      <c r="G141" s="681" t="s">
        <v>45</v>
      </c>
      <c r="H141" s="681" t="s">
        <v>88</v>
      </c>
      <c r="I141" s="682" t="s">
        <v>726</v>
      </c>
      <c r="J141" s="10" t="s">
        <v>56</v>
      </c>
      <c r="K141" s="24">
        <f>1164+36</f>
        <v>1200</v>
      </c>
      <c r="L141" s="24">
        <f>M141-K141</f>
        <v>0</v>
      </c>
      <c r="M141" s="24">
        <f>1164+36</f>
        <v>1200</v>
      </c>
      <c r="N141" s="24">
        <v>0</v>
      </c>
    </row>
    <row r="142" spans="1:14" s="7" customFormat="1" ht="18" x14ac:dyDescent="0.35">
      <c r="A142" s="11"/>
      <c r="B142" s="601" t="s">
        <v>177</v>
      </c>
      <c r="C142" s="23" t="s">
        <v>1</v>
      </c>
      <c r="D142" s="10" t="s">
        <v>65</v>
      </c>
      <c r="E142" s="10"/>
      <c r="F142" s="680"/>
      <c r="G142" s="681"/>
      <c r="H142" s="681"/>
      <c r="I142" s="682"/>
      <c r="J142" s="10"/>
      <c r="K142" s="24">
        <f t="shared" ref="K142:N143" si="22">K143</f>
        <v>5758.6</v>
      </c>
      <c r="L142" s="24">
        <f t="shared" si="22"/>
        <v>0</v>
      </c>
      <c r="M142" s="24">
        <f t="shared" si="22"/>
        <v>5758.6</v>
      </c>
      <c r="N142" s="24">
        <f t="shared" si="22"/>
        <v>5773.4</v>
      </c>
    </row>
    <row r="143" spans="1:14" s="7" customFormat="1" ht="18" x14ac:dyDescent="0.35">
      <c r="A143" s="11"/>
      <c r="B143" s="605" t="s">
        <v>637</v>
      </c>
      <c r="C143" s="23" t="s">
        <v>1</v>
      </c>
      <c r="D143" s="10" t="s">
        <v>65</v>
      </c>
      <c r="E143" s="10" t="s">
        <v>63</v>
      </c>
      <c r="F143" s="680"/>
      <c r="G143" s="681"/>
      <c r="H143" s="681"/>
      <c r="I143" s="682"/>
      <c r="J143" s="10"/>
      <c r="K143" s="24">
        <f t="shared" si="22"/>
        <v>5758.6</v>
      </c>
      <c r="L143" s="24">
        <f t="shared" si="22"/>
        <v>0</v>
      </c>
      <c r="M143" s="24">
        <f t="shared" si="22"/>
        <v>5758.6</v>
      </c>
      <c r="N143" s="24">
        <f t="shared" si="22"/>
        <v>5773.4</v>
      </c>
    </row>
    <row r="144" spans="1:14" s="7" customFormat="1" ht="72" x14ac:dyDescent="0.35">
      <c r="A144" s="11"/>
      <c r="B144" s="605" t="s">
        <v>638</v>
      </c>
      <c r="C144" s="23" t="s">
        <v>1</v>
      </c>
      <c r="D144" s="10" t="s">
        <v>65</v>
      </c>
      <c r="E144" s="10" t="s">
        <v>63</v>
      </c>
      <c r="F144" s="680" t="s">
        <v>104</v>
      </c>
      <c r="G144" s="681" t="s">
        <v>42</v>
      </c>
      <c r="H144" s="681" t="s">
        <v>43</v>
      </c>
      <c r="I144" s="682" t="s">
        <v>44</v>
      </c>
      <c r="J144" s="10"/>
      <c r="K144" s="24">
        <f t="shared" ref="K144:N147" si="23">K145</f>
        <v>5758.6</v>
      </c>
      <c r="L144" s="24">
        <f t="shared" si="23"/>
        <v>0</v>
      </c>
      <c r="M144" s="24">
        <f t="shared" si="23"/>
        <v>5758.6</v>
      </c>
      <c r="N144" s="24">
        <f t="shared" si="23"/>
        <v>5773.4</v>
      </c>
    </row>
    <row r="145" spans="1:14" s="7" customFormat="1" ht="54" x14ac:dyDescent="0.35">
      <c r="A145" s="11"/>
      <c r="B145" s="601" t="s">
        <v>633</v>
      </c>
      <c r="C145" s="23" t="s">
        <v>1</v>
      </c>
      <c r="D145" s="10" t="s">
        <v>65</v>
      </c>
      <c r="E145" s="10" t="s">
        <v>63</v>
      </c>
      <c r="F145" s="680" t="s">
        <v>104</v>
      </c>
      <c r="G145" s="681" t="s">
        <v>34</v>
      </c>
      <c r="H145" s="681" t="s">
        <v>43</v>
      </c>
      <c r="I145" s="682" t="s">
        <v>44</v>
      </c>
      <c r="J145" s="10"/>
      <c r="K145" s="24">
        <f t="shared" si="23"/>
        <v>5758.6</v>
      </c>
      <c r="L145" s="24">
        <f t="shared" si="23"/>
        <v>0</v>
      </c>
      <c r="M145" s="24">
        <f t="shared" si="23"/>
        <v>5758.6</v>
      </c>
      <c r="N145" s="24">
        <f t="shared" si="23"/>
        <v>5773.4</v>
      </c>
    </row>
    <row r="146" spans="1:14" s="7" customFormat="1" ht="54" x14ac:dyDescent="0.35">
      <c r="A146" s="11"/>
      <c r="B146" s="601" t="s">
        <v>634</v>
      </c>
      <c r="C146" s="23" t="s">
        <v>1</v>
      </c>
      <c r="D146" s="10" t="s">
        <v>65</v>
      </c>
      <c r="E146" s="10" t="s">
        <v>63</v>
      </c>
      <c r="F146" s="680" t="s">
        <v>104</v>
      </c>
      <c r="G146" s="681" t="s">
        <v>34</v>
      </c>
      <c r="H146" s="681" t="s">
        <v>37</v>
      </c>
      <c r="I146" s="682" t="s">
        <v>44</v>
      </c>
      <c r="J146" s="10"/>
      <c r="K146" s="24">
        <f t="shared" si="23"/>
        <v>5758.6</v>
      </c>
      <c r="L146" s="24">
        <f t="shared" si="23"/>
        <v>0</v>
      </c>
      <c r="M146" s="24">
        <f t="shared" si="23"/>
        <v>5758.6</v>
      </c>
      <c r="N146" s="24">
        <f t="shared" si="23"/>
        <v>5773.4</v>
      </c>
    </row>
    <row r="147" spans="1:14" s="7" customFormat="1" ht="36" x14ac:dyDescent="0.35">
      <c r="A147" s="11"/>
      <c r="B147" s="601" t="s">
        <v>635</v>
      </c>
      <c r="C147" s="23" t="s">
        <v>1</v>
      </c>
      <c r="D147" s="10" t="s">
        <v>65</v>
      </c>
      <c r="E147" s="10" t="s">
        <v>63</v>
      </c>
      <c r="F147" s="680" t="s">
        <v>104</v>
      </c>
      <c r="G147" s="681" t="s">
        <v>34</v>
      </c>
      <c r="H147" s="681" t="s">
        <v>37</v>
      </c>
      <c r="I147" s="682" t="s">
        <v>636</v>
      </c>
      <c r="J147" s="10"/>
      <c r="K147" s="24">
        <f t="shared" si="23"/>
        <v>5758.6</v>
      </c>
      <c r="L147" s="24">
        <f t="shared" si="23"/>
        <v>0</v>
      </c>
      <c r="M147" s="24">
        <f t="shared" si="23"/>
        <v>5758.6</v>
      </c>
      <c r="N147" s="24">
        <f t="shared" si="23"/>
        <v>5773.4</v>
      </c>
    </row>
    <row r="148" spans="1:14" s="7" customFormat="1" ht="54" x14ac:dyDescent="0.35">
      <c r="A148" s="11"/>
      <c r="B148" s="601" t="s">
        <v>55</v>
      </c>
      <c r="C148" s="23" t="s">
        <v>1</v>
      </c>
      <c r="D148" s="10" t="s">
        <v>65</v>
      </c>
      <c r="E148" s="10" t="s">
        <v>63</v>
      </c>
      <c r="F148" s="680" t="s">
        <v>104</v>
      </c>
      <c r="G148" s="681" t="s">
        <v>34</v>
      </c>
      <c r="H148" s="681" t="s">
        <v>37</v>
      </c>
      <c r="I148" s="682" t="s">
        <v>636</v>
      </c>
      <c r="J148" s="10" t="s">
        <v>56</v>
      </c>
      <c r="K148" s="24">
        <v>5758.6</v>
      </c>
      <c r="L148" s="24">
        <f>M148-K148</f>
        <v>0</v>
      </c>
      <c r="M148" s="24">
        <v>5758.6</v>
      </c>
      <c r="N148" s="24">
        <v>5773.4</v>
      </c>
    </row>
    <row r="149" spans="1:14" s="7" customFormat="1" ht="18" x14ac:dyDescent="0.35">
      <c r="A149" s="11"/>
      <c r="B149" s="518" t="s">
        <v>179</v>
      </c>
      <c r="C149" s="23" t="s">
        <v>1</v>
      </c>
      <c r="D149" s="10" t="s">
        <v>224</v>
      </c>
      <c r="E149" s="10"/>
      <c r="F149" s="680"/>
      <c r="G149" s="681"/>
      <c r="H149" s="681"/>
      <c r="I149" s="682"/>
      <c r="J149" s="10"/>
      <c r="K149" s="24">
        <f>K150</f>
        <v>91.9</v>
      </c>
      <c r="L149" s="24">
        <f>L150</f>
        <v>0</v>
      </c>
      <c r="M149" s="24">
        <f>M150</f>
        <v>91.9</v>
      </c>
      <c r="N149" s="24">
        <f>N150</f>
        <v>91.9</v>
      </c>
    </row>
    <row r="150" spans="1:14" s="7" customFormat="1" ht="36" x14ac:dyDescent="0.35">
      <c r="A150" s="11"/>
      <c r="B150" s="518" t="s">
        <v>532</v>
      </c>
      <c r="C150" s="23" t="s">
        <v>1</v>
      </c>
      <c r="D150" s="10" t="s">
        <v>224</v>
      </c>
      <c r="E150" s="10" t="s">
        <v>65</v>
      </c>
      <c r="F150" s="680"/>
      <c r="G150" s="681"/>
      <c r="H150" s="681"/>
      <c r="I150" s="682"/>
      <c r="J150" s="10"/>
      <c r="K150" s="24">
        <f t="shared" ref="K150:N154" si="24">K151</f>
        <v>91.9</v>
      </c>
      <c r="L150" s="24">
        <f t="shared" si="24"/>
        <v>0</v>
      </c>
      <c r="M150" s="24">
        <f t="shared" si="24"/>
        <v>91.9</v>
      </c>
      <c r="N150" s="24">
        <f t="shared" si="24"/>
        <v>91.9</v>
      </c>
    </row>
    <row r="151" spans="1:14" s="7" customFormat="1" ht="54" x14ac:dyDescent="0.35">
      <c r="A151" s="11"/>
      <c r="B151" s="518" t="s">
        <v>40</v>
      </c>
      <c r="C151" s="23" t="s">
        <v>1</v>
      </c>
      <c r="D151" s="10" t="s">
        <v>224</v>
      </c>
      <c r="E151" s="10" t="s">
        <v>65</v>
      </c>
      <c r="F151" s="680" t="s">
        <v>41</v>
      </c>
      <c r="G151" s="681" t="s">
        <v>42</v>
      </c>
      <c r="H151" s="681" t="s">
        <v>43</v>
      </c>
      <c r="I151" s="682" t="s">
        <v>44</v>
      </c>
      <c r="J151" s="10"/>
      <c r="K151" s="24">
        <f t="shared" si="24"/>
        <v>91.9</v>
      </c>
      <c r="L151" s="24">
        <f t="shared" si="24"/>
        <v>0</v>
      </c>
      <c r="M151" s="24">
        <f t="shared" si="24"/>
        <v>91.9</v>
      </c>
      <c r="N151" s="24">
        <f t="shared" si="24"/>
        <v>91.9</v>
      </c>
    </row>
    <row r="152" spans="1:14" s="7" customFormat="1" ht="36" x14ac:dyDescent="0.35">
      <c r="A152" s="11"/>
      <c r="B152" s="518" t="s">
        <v>339</v>
      </c>
      <c r="C152" s="23" t="s">
        <v>1</v>
      </c>
      <c r="D152" s="10" t="s">
        <v>224</v>
      </c>
      <c r="E152" s="10" t="s">
        <v>65</v>
      </c>
      <c r="F152" s="680" t="s">
        <v>41</v>
      </c>
      <c r="G152" s="681" t="s">
        <v>45</v>
      </c>
      <c r="H152" s="681" t="s">
        <v>43</v>
      </c>
      <c r="I152" s="682" t="s">
        <v>44</v>
      </c>
      <c r="J152" s="10"/>
      <c r="K152" s="24">
        <f t="shared" si="24"/>
        <v>91.9</v>
      </c>
      <c r="L152" s="24">
        <f t="shared" si="24"/>
        <v>0</v>
      </c>
      <c r="M152" s="24">
        <f t="shared" si="24"/>
        <v>91.9</v>
      </c>
      <c r="N152" s="24">
        <f t="shared" si="24"/>
        <v>91.9</v>
      </c>
    </row>
    <row r="153" spans="1:14" s="7" customFormat="1" ht="18" x14ac:dyDescent="0.35">
      <c r="A153" s="11"/>
      <c r="B153" s="518" t="s">
        <v>62</v>
      </c>
      <c r="C153" s="23" t="s">
        <v>1</v>
      </c>
      <c r="D153" s="10" t="s">
        <v>224</v>
      </c>
      <c r="E153" s="10" t="s">
        <v>65</v>
      </c>
      <c r="F153" s="680" t="s">
        <v>41</v>
      </c>
      <c r="G153" s="681" t="s">
        <v>45</v>
      </c>
      <c r="H153" s="681" t="s">
        <v>63</v>
      </c>
      <c r="I153" s="682" t="s">
        <v>44</v>
      </c>
      <c r="J153" s="10"/>
      <c r="K153" s="24">
        <f t="shared" si="24"/>
        <v>91.9</v>
      </c>
      <c r="L153" s="24">
        <f t="shared" si="24"/>
        <v>0</v>
      </c>
      <c r="M153" s="24">
        <f t="shared" si="24"/>
        <v>91.9</v>
      </c>
      <c r="N153" s="24">
        <f t="shared" si="24"/>
        <v>91.9</v>
      </c>
    </row>
    <row r="154" spans="1:14" s="7" customFormat="1" ht="36" x14ac:dyDescent="0.35">
      <c r="A154" s="11"/>
      <c r="B154" s="518" t="s">
        <v>534</v>
      </c>
      <c r="C154" s="23" t="s">
        <v>1</v>
      </c>
      <c r="D154" s="10" t="s">
        <v>224</v>
      </c>
      <c r="E154" s="10" t="s">
        <v>65</v>
      </c>
      <c r="F154" s="680" t="s">
        <v>41</v>
      </c>
      <c r="G154" s="681" t="s">
        <v>45</v>
      </c>
      <c r="H154" s="681" t="s">
        <v>63</v>
      </c>
      <c r="I154" s="682" t="s">
        <v>533</v>
      </c>
      <c r="J154" s="10"/>
      <c r="K154" s="24">
        <f t="shared" si="24"/>
        <v>91.9</v>
      </c>
      <c r="L154" s="24">
        <f t="shared" si="24"/>
        <v>0</v>
      </c>
      <c r="M154" s="24">
        <f t="shared" si="24"/>
        <v>91.9</v>
      </c>
      <c r="N154" s="24">
        <f t="shared" si="24"/>
        <v>91.9</v>
      </c>
    </row>
    <row r="155" spans="1:14" s="7" customFormat="1" ht="54" x14ac:dyDescent="0.35">
      <c r="A155" s="11"/>
      <c r="B155" s="518" t="s">
        <v>55</v>
      </c>
      <c r="C155" s="23" t="s">
        <v>1</v>
      </c>
      <c r="D155" s="10" t="s">
        <v>224</v>
      </c>
      <c r="E155" s="10" t="s">
        <v>65</v>
      </c>
      <c r="F155" s="680" t="s">
        <v>41</v>
      </c>
      <c r="G155" s="681" t="s">
        <v>45</v>
      </c>
      <c r="H155" s="681" t="s">
        <v>63</v>
      </c>
      <c r="I155" s="682" t="s">
        <v>533</v>
      </c>
      <c r="J155" s="10" t="s">
        <v>56</v>
      </c>
      <c r="K155" s="24">
        <v>91.9</v>
      </c>
      <c r="L155" s="24">
        <f>M155-K155</f>
        <v>0</v>
      </c>
      <c r="M155" s="24">
        <v>91.9</v>
      </c>
      <c r="N155" s="24">
        <v>91.9</v>
      </c>
    </row>
    <row r="156" spans="1:14" s="121" customFormat="1" ht="18" x14ac:dyDescent="0.35">
      <c r="A156" s="11"/>
      <c r="B156" s="518" t="s">
        <v>119</v>
      </c>
      <c r="C156" s="23" t="s">
        <v>1</v>
      </c>
      <c r="D156" s="10" t="s">
        <v>104</v>
      </c>
      <c r="E156" s="10"/>
      <c r="F156" s="680"/>
      <c r="G156" s="681"/>
      <c r="H156" s="681"/>
      <c r="I156" s="682"/>
      <c r="J156" s="10"/>
      <c r="K156" s="24">
        <f>K157+K163</f>
        <v>2431.1999999999998</v>
      </c>
      <c r="L156" s="24">
        <f>L157+L163</f>
        <v>0</v>
      </c>
      <c r="M156" s="24">
        <f>M157+M163</f>
        <v>2431.1999999999998</v>
      </c>
      <c r="N156" s="24">
        <f>N157+N163</f>
        <v>2431.1999999999998</v>
      </c>
    </row>
    <row r="157" spans="1:14" s="121" customFormat="1" ht="18" x14ac:dyDescent="0.35">
      <c r="A157" s="11"/>
      <c r="B157" s="518" t="s">
        <v>355</v>
      </c>
      <c r="C157" s="23" t="s">
        <v>1</v>
      </c>
      <c r="D157" s="10" t="s">
        <v>104</v>
      </c>
      <c r="E157" s="10" t="s">
        <v>37</v>
      </c>
      <c r="F157" s="680"/>
      <c r="G157" s="681"/>
      <c r="H157" s="681"/>
      <c r="I157" s="682"/>
      <c r="J157" s="10"/>
      <c r="K157" s="24">
        <f t="shared" ref="K157:N161" si="25">K158</f>
        <v>1320</v>
      </c>
      <c r="L157" s="24">
        <f t="shared" si="25"/>
        <v>0</v>
      </c>
      <c r="M157" s="24">
        <f t="shared" si="25"/>
        <v>1320</v>
      </c>
      <c r="N157" s="24">
        <f t="shared" si="25"/>
        <v>1320</v>
      </c>
    </row>
    <row r="158" spans="1:14" s="121" customFormat="1" ht="54" x14ac:dyDescent="0.35">
      <c r="A158" s="11"/>
      <c r="B158" s="570" t="s">
        <v>295</v>
      </c>
      <c r="C158" s="23" t="s">
        <v>1</v>
      </c>
      <c r="D158" s="10" t="s">
        <v>104</v>
      </c>
      <c r="E158" s="10" t="s">
        <v>37</v>
      </c>
      <c r="F158" s="680" t="s">
        <v>79</v>
      </c>
      <c r="G158" s="681" t="s">
        <v>42</v>
      </c>
      <c r="H158" s="681" t="s">
        <v>43</v>
      </c>
      <c r="I158" s="682" t="s">
        <v>44</v>
      </c>
      <c r="J158" s="10"/>
      <c r="K158" s="24">
        <f t="shared" si="25"/>
        <v>1320</v>
      </c>
      <c r="L158" s="24">
        <f t="shared" si="25"/>
        <v>0</v>
      </c>
      <c r="M158" s="24">
        <f t="shared" si="25"/>
        <v>1320</v>
      </c>
      <c r="N158" s="24">
        <f t="shared" si="25"/>
        <v>1320</v>
      </c>
    </row>
    <row r="159" spans="1:14" s="121" customFormat="1" ht="36" x14ac:dyDescent="0.35">
      <c r="A159" s="11"/>
      <c r="B159" s="518" t="s">
        <v>339</v>
      </c>
      <c r="C159" s="23" t="s">
        <v>1</v>
      </c>
      <c r="D159" s="10" t="s">
        <v>104</v>
      </c>
      <c r="E159" s="10" t="s">
        <v>37</v>
      </c>
      <c r="F159" s="680" t="s">
        <v>79</v>
      </c>
      <c r="G159" s="681" t="s">
        <v>45</v>
      </c>
      <c r="H159" s="681" t="s">
        <v>43</v>
      </c>
      <c r="I159" s="682" t="s">
        <v>44</v>
      </c>
      <c r="J159" s="10"/>
      <c r="K159" s="24">
        <f t="shared" si="25"/>
        <v>1320</v>
      </c>
      <c r="L159" s="24">
        <f t="shared" si="25"/>
        <v>0</v>
      </c>
      <c r="M159" s="24">
        <f t="shared" si="25"/>
        <v>1320</v>
      </c>
      <c r="N159" s="24">
        <f t="shared" si="25"/>
        <v>1320</v>
      </c>
    </row>
    <row r="160" spans="1:14" s="121" customFormat="1" ht="90" x14ac:dyDescent="0.35">
      <c r="A160" s="11"/>
      <c r="B160" s="551" t="s">
        <v>450</v>
      </c>
      <c r="C160" s="23" t="s">
        <v>1</v>
      </c>
      <c r="D160" s="10" t="s">
        <v>104</v>
      </c>
      <c r="E160" s="10" t="s">
        <v>37</v>
      </c>
      <c r="F160" s="680" t="s">
        <v>79</v>
      </c>
      <c r="G160" s="681" t="s">
        <v>45</v>
      </c>
      <c r="H160" s="681" t="s">
        <v>52</v>
      </c>
      <c r="I160" s="682" t="s">
        <v>44</v>
      </c>
      <c r="J160" s="10"/>
      <c r="K160" s="24">
        <f t="shared" si="25"/>
        <v>1320</v>
      </c>
      <c r="L160" s="24">
        <f t="shared" si="25"/>
        <v>0</v>
      </c>
      <c r="M160" s="24">
        <f t="shared" si="25"/>
        <v>1320</v>
      </c>
      <c r="N160" s="24">
        <f t="shared" si="25"/>
        <v>1320</v>
      </c>
    </row>
    <row r="161" spans="1:14" s="121" customFormat="1" ht="72" x14ac:dyDescent="0.35">
      <c r="A161" s="11"/>
      <c r="B161" s="551" t="s">
        <v>444</v>
      </c>
      <c r="C161" s="23" t="s">
        <v>1</v>
      </c>
      <c r="D161" s="10" t="s">
        <v>104</v>
      </c>
      <c r="E161" s="10" t="s">
        <v>37</v>
      </c>
      <c r="F161" s="680" t="s">
        <v>79</v>
      </c>
      <c r="G161" s="681" t="s">
        <v>45</v>
      </c>
      <c r="H161" s="681" t="s">
        <v>52</v>
      </c>
      <c r="I161" s="682" t="s">
        <v>356</v>
      </c>
      <c r="J161" s="10"/>
      <c r="K161" s="24">
        <f t="shared" si="25"/>
        <v>1320</v>
      </c>
      <c r="L161" s="24">
        <f t="shared" si="25"/>
        <v>0</v>
      </c>
      <c r="M161" s="24">
        <f t="shared" si="25"/>
        <v>1320</v>
      </c>
      <c r="N161" s="24">
        <f t="shared" si="25"/>
        <v>1320</v>
      </c>
    </row>
    <row r="162" spans="1:14" s="121" customFormat="1" ht="36" x14ac:dyDescent="0.35">
      <c r="A162" s="11"/>
      <c r="B162" s="525" t="s">
        <v>120</v>
      </c>
      <c r="C162" s="23" t="s">
        <v>1</v>
      </c>
      <c r="D162" s="10" t="s">
        <v>104</v>
      </c>
      <c r="E162" s="10" t="s">
        <v>37</v>
      </c>
      <c r="F162" s="680" t="s">
        <v>79</v>
      </c>
      <c r="G162" s="681" t="s">
        <v>45</v>
      </c>
      <c r="H162" s="681" t="s">
        <v>52</v>
      </c>
      <c r="I162" s="682" t="s">
        <v>356</v>
      </c>
      <c r="J162" s="10" t="s">
        <v>121</v>
      </c>
      <c r="K162" s="24">
        <v>1320</v>
      </c>
      <c r="L162" s="24">
        <f>M162-K162</f>
        <v>0</v>
      </c>
      <c r="M162" s="24">
        <v>1320</v>
      </c>
      <c r="N162" s="24">
        <v>1320</v>
      </c>
    </row>
    <row r="163" spans="1:14" s="121" customFormat="1" ht="36" x14ac:dyDescent="0.35">
      <c r="A163" s="11"/>
      <c r="B163" s="518" t="s">
        <v>122</v>
      </c>
      <c r="C163" s="23" t="s">
        <v>1</v>
      </c>
      <c r="D163" s="10" t="s">
        <v>104</v>
      </c>
      <c r="E163" s="10" t="s">
        <v>81</v>
      </c>
      <c r="F163" s="680"/>
      <c r="G163" s="681"/>
      <c r="H163" s="681"/>
      <c r="I163" s="682"/>
      <c r="J163" s="10"/>
      <c r="K163" s="24">
        <f t="shared" ref="K163:M166" si="26">K164</f>
        <v>1111.2</v>
      </c>
      <c r="L163" s="24">
        <f t="shared" si="26"/>
        <v>0</v>
      </c>
      <c r="M163" s="24">
        <f t="shared" si="26"/>
        <v>1111.2</v>
      </c>
      <c r="N163" s="24">
        <f>N164</f>
        <v>1111.2</v>
      </c>
    </row>
    <row r="164" spans="1:14" s="121" customFormat="1" ht="72" x14ac:dyDescent="0.35">
      <c r="A164" s="11"/>
      <c r="B164" s="518" t="s">
        <v>72</v>
      </c>
      <c r="C164" s="23" t="s">
        <v>1</v>
      </c>
      <c r="D164" s="10" t="s">
        <v>104</v>
      </c>
      <c r="E164" s="10" t="s">
        <v>81</v>
      </c>
      <c r="F164" s="680" t="s">
        <v>73</v>
      </c>
      <c r="G164" s="681" t="s">
        <v>42</v>
      </c>
      <c r="H164" s="681" t="s">
        <v>43</v>
      </c>
      <c r="I164" s="682" t="s">
        <v>44</v>
      </c>
      <c r="J164" s="10"/>
      <c r="K164" s="24">
        <f t="shared" si="26"/>
        <v>1111.2</v>
      </c>
      <c r="L164" s="24">
        <f t="shared" si="26"/>
        <v>0</v>
      </c>
      <c r="M164" s="24">
        <f t="shared" si="26"/>
        <v>1111.2</v>
      </c>
      <c r="N164" s="24">
        <f>N165</f>
        <v>1111.2</v>
      </c>
    </row>
    <row r="165" spans="1:14" s="121" customFormat="1" ht="36" x14ac:dyDescent="0.35">
      <c r="A165" s="11"/>
      <c r="B165" s="518" t="s">
        <v>339</v>
      </c>
      <c r="C165" s="23" t="s">
        <v>1</v>
      </c>
      <c r="D165" s="10" t="s">
        <v>104</v>
      </c>
      <c r="E165" s="10" t="s">
        <v>81</v>
      </c>
      <c r="F165" s="680" t="s">
        <v>73</v>
      </c>
      <c r="G165" s="681" t="s">
        <v>45</v>
      </c>
      <c r="H165" s="681" t="s">
        <v>43</v>
      </c>
      <c r="I165" s="682" t="s">
        <v>44</v>
      </c>
      <c r="J165" s="10"/>
      <c r="K165" s="24">
        <f t="shared" si="26"/>
        <v>1111.2</v>
      </c>
      <c r="L165" s="24">
        <f t="shared" si="26"/>
        <v>0</v>
      </c>
      <c r="M165" s="24">
        <f t="shared" si="26"/>
        <v>1111.2</v>
      </c>
      <c r="N165" s="24">
        <f>N166</f>
        <v>1111.2</v>
      </c>
    </row>
    <row r="166" spans="1:14" s="121" customFormat="1" ht="54" x14ac:dyDescent="0.35">
      <c r="A166" s="11"/>
      <c r="B166" s="551" t="s">
        <v>266</v>
      </c>
      <c r="C166" s="23" t="s">
        <v>1</v>
      </c>
      <c r="D166" s="10" t="s">
        <v>104</v>
      </c>
      <c r="E166" s="10" t="s">
        <v>81</v>
      </c>
      <c r="F166" s="680" t="s">
        <v>73</v>
      </c>
      <c r="G166" s="681" t="s">
        <v>45</v>
      </c>
      <c r="H166" s="681" t="s">
        <v>37</v>
      </c>
      <c r="I166" s="682" t="s">
        <v>44</v>
      </c>
      <c r="J166" s="10"/>
      <c r="K166" s="24">
        <f t="shared" si="26"/>
        <v>1111.2</v>
      </c>
      <c r="L166" s="24">
        <f t="shared" si="26"/>
        <v>0</v>
      </c>
      <c r="M166" s="24">
        <f t="shared" si="26"/>
        <v>1111.2</v>
      </c>
      <c r="N166" s="24">
        <f>N167</f>
        <v>1111.2</v>
      </c>
    </row>
    <row r="167" spans="1:14" s="121" customFormat="1" ht="54" x14ac:dyDescent="0.35">
      <c r="A167" s="11"/>
      <c r="B167" s="551" t="s">
        <v>74</v>
      </c>
      <c r="C167" s="23" t="s">
        <v>1</v>
      </c>
      <c r="D167" s="10" t="s">
        <v>104</v>
      </c>
      <c r="E167" s="10" t="s">
        <v>81</v>
      </c>
      <c r="F167" s="680" t="s">
        <v>73</v>
      </c>
      <c r="G167" s="681" t="s">
        <v>45</v>
      </c>
      <c r="H167" s="681" t="s">
        <v>37</v>
      </c>
      <c r="I167" s="682" t="s">
        <v>75</v>
      </c>
      <c r="J167" s="10"/>
      <c r="K167" s="24">
        <f>K168</f>
        <v>1111.2</v>
      </c>
      <c r="L167" s="24">
        <f>L168</f>
        <v>0</v>
      </c>
      <c r="M167" s="24">
        <f>M168</f>
        <v>1111.2</v>
      </c>
      <c r="N167" s="24">
        <f>N168</f>
        <v>1111.2</v>
      </c>
    </row>
    <row r="168" spans="1:14" s="121" customFormat="1" ht="54" x14ac:dyDescent="0.35">
      <c r="A168" s="11"/>
      <c r="B168" s="525" t="s">
        <v>76</v>
      </c>
      <c r="C168" s="23" t="s">
        <v>1</v>
      </c>
      <c r="D168" s="10" t="s">
        <v>104</v>
      </c>
      <c r="E168" s="10" t="s">
        <v>81</v>
      </c>
      <c r="F168" s="680" t="s">
        <v>73</v>
      </c>
      <c r="G168" s="681" t="s">
        <v>45</v>
      </c>
      <c r="H168" s="681" t="s">
        <v>37</v>
      </c>
      <c r="I168" s="682" t="s">
        <v>75</v>
      </c>
      <c r="J168" s="10" t="s">
        <v>77</v>
      </c>
      <c r="K168" s="24">
        <v>1111.2</v>
      </c>
      <c r="L168" s="24">
        <f>M168-K168</f>
        <v>0</v>
      </c>
      <c r="M168" s="24">
        <v>1111.2</v>
      </c>
      <c r="N168" s="24">
        <v>1111.2</v>
      </c>
    </row>
    <row r="169" spans="1:14" s="121" customFormat="1" ht="18" x14ac:dyDescent="0.35">
      <c r="A169" s="11"/>
      <c r="B169" s="525"/>
      <c r="C169" s="23"/>
      <c r="D169" s="10"/>
      <c r="E169" s="10"/>
      <c r="F169" s="680"/>
      <c r="G169" s="681"/>
      <c r="H169" s="681"/>
      <c r="I169" s="682"/>
      <c r="J169" s="10"/>
      <c r="K169" s="24"/>
      <c r="L169" s="24"/>
      <c r="M169" s="24"/>
      <c r="N169" s="24"/>
    </row>
    <row r="170" spans="1:14" ht="52.2" x14ac:dyDescent="0.3">
      <c r="A170" s="120">
        <v>2</v>
      </c>
      <c r="B170" s="565" t="s">
        <v>2</v>
      </c>
      <c r="C170" s="18" t="s">
        <v>302</v>
      </c>
      <c r="D170" s="19"/>
      <c r="E170" s="19"/>
      <c r="F170" s="20"/>
      <c r="G170" s="21"/>
      <c r="H170" s="21"/>
      <c r="I170" s="22"/>
      <c r="J170" s="19"/>
      <c r="K170" s="32">
        <f>K171+K196+K189</f>
        <v>41658.699999999997</v>
      </c>
      <c r="L170" s="32">
        <f>L171+L196+L189</f>
        <v>0</v>
      </c>
      <c r="M170" s="32">
        <f>M171+M196+M189</f>
        <v>41658.699999999997</v>
      </c>
      <c r="N170" s="32">
        <f>N171+N196+N189</f>
        <v>41669.199999999997</v>
      </c>
    </row>
    <row r="171" spans="1:14" s="125" customFormat="1" ht="18" x14ac:dyDescent="0.35">
      <c r="A171" s="11"/>
      <c r="B171" s="518" t="s">
        <v>36</v>
      </c>
      <c r="C171" s="23" t="s">
        <v>302</v>
      </c>
      <c r="D171" s="10" t="s">
        <v>37</v>
      </c>
      <c r="E171" s="10"/>
      <c r="F171" s="680"/>
      <c r="G171" s="681"/>
      <c r="H171" s="681"/>
      <c r="I171" s="682"/>
      <c r="J171" s="10"/>
      <c r="K171" s="24">
        <f>K172+K180</f>
        <v>34059.899999999994</v>
      </c>
      <c r="L171" s="24">
        <f>L172+L180</f>
        <v>0</v>
      </c>
      <c r="M171" s="24">
        <f>M172+M180</f>
        <v>34059.899999999994</v>
      </c>
      <c r="N171" s="24">
        <f>N172+N180</f>
        <v>34070.399999999994</v>
      </c>
    </row>
    <row r="172" spans="1:14" s="126" customFormat="1" ht="54" x14ac:dyDescent="0.35">
      <c r="A172" s="11"/>
      <c r="B172" s="518" t="s">
        <v>129</v>
      </c>
      <c r="C172" s="23" t="s">
        <v>302</v>
      </c>
      <c r="D172" s="10" t="s">
        <v>37</v>
      </c>
      <c r="E172" s="10" t="s">
        <v>81</v>
      </c>
      <c r="F172" s="680"/>
      <c r="G172" s="681"/>
      <c r="H172" s="681"/>
      <c r="I172" s="682"/>
      <c r="J172" s="10"/>
      <c r="K172" s="24">
        <f t="shared" ref="K172:N175" si="27">K173</f>
        <v>31235.499999999996</v>
      </c>
      <c r="L172" s="24">
        <f t="shared" si="27"/>
        <v>0</v>
      </c>
      <c r="M172" s="24">
        <f t="shared" si="27"/>
        <v>31235.499999999996</v>
      </c>
      <c r="N172" s="24">
        <f t="shared" si="27"/>
        <v>31236.199999999997</v>
      </c>
    </row>
    <row r="173" spans="1:14" s="121" customFormat="1" ht="54" x14ac:dyDescent="0.35">
      <c r="A173" s="11"/>
      <c r="B173" s="518" t="s">
        <v>223</v>
      </c>
      <c r="C173" s="23" t="s">
        <v>302</v>
      </c>
      <c r="D173" s="10" t="s">
        <v>37</v>
      </c>
      <c r="E173" s="10" t="s">
        <v>81</v>
      </c>
      <c r="F173" s="680" t="s">
        <v>224</v>
      </c>
      <c r="G173" s="681" t="s">
        <v>42</v>
      </c>
      <c r="H173" s="681" t="s">
        <v>43</v>
      </c>
      <c r="I173" s="682" t="s">
        <v>44</v>
      </c>
      <c r="J173" s="10"/>
      <c r="K173" s="24">
        <f t="shared" si="27"/>
        <v>31235.499999999996</v>
      </c>
      <c r="L173" s="24">
        <f t="shared" si="27"/>
        <v>0</v>
      </c>
      <c r="M173" s="24">
        <f t="shared" si="27"/>
        <v>31235.499999999996</v>
      </c>
      <c r="N173" s="24">
        <f t="shared" si="27"/>
        <v>31236.199999999997</v>
      </c>
    </row>
    <row r="174" spans="1:14" s="121" customFormat="1" ht="36" x14ac:dyDescent="0.35">
      <c r="A174" s="11"/>
      <c r="B174" s="518" t="s">
        <v>339</v>
      </c>
      <c r="C174" s="23" t="s">
        <v>302</v>
      </c>
      <c r="D174" s="10" t="s">
        <v>37</v>
      </c>
      <c r="E174" s="10" t="s">
        <v>81</v>
      </c>
      <c r="F174" s="25" t="s">
        <v>224</v>
      </c>
      <c r="G174" s="26" t="s">
        <v>45</v>
      </c>
      <c r="H174" s="681" t="s">
        <v>43</v>
      </c>
      <c r="I174" s="682" t="s">
        <v>44</v>
      </c>
      <c r="J174" s="10"/>
      <c r="K174" s="24">
        <f>K175</f>
        <v>31235.499999999996</v>
      </c>
      <c r="L174" s="24">
        <f>L175</f>
        <v>0</v>
      </c>
      <c r="M174" s="24">
        <f>M175</f>
        <v>31235.499999999996</v>
      </c>
      <c r="N174" s="24">
        <f>N175</f>
        <v>31236.199999999997</v>
      </c>
    </row>
    <row r="175" spans="1:14" s="121" customFormat="1" ht="54" x14ac:dyDescent="0.35">
      <c r="A175" s="11"/>
      <c r="B175" s="518" t="s">
        <v>303</v>
      </c>
      <c r="C175" s="23" t="s">
        <v>302</v>
      </c>
      <c r="D175" s="10" t="s">
        <v>37</v>
      </c>
      <c r="E175" s="10" t="s">
        <v>81</v>
      </c>
      <c r="F175" s="25" t="s">
        <v>224</v>
      </c>
      <c r="G175" s="26" t="s">
        <v>45</v>
      </c>
      <c r="H175" s="681" t="s">
        <v>37</v>
      </c>
      <c r="I175" s="682" t="s">
        <v>44</v>
      </c>
      <c r="J175" s="10"/>
      <c r="K175" s="24">
        <f t="shared" si="27"/>
        <v>31235.499999999996</v>
      </c>
      <c r="L175" s="24">
        <f t="shared" si="27"/>
        <v>0</v>
      </c>
      <c r="M175" s="24">
        <f t="shared" si="27"/>
        <v>31235.499999999996</v>
      </c>
      <c r="N175" s="24">
        <f t="shared" si="27"/>
        <v>31236.199999999997</v>
      </c>
    </row>
    <row r="176" spans="1:14" s="121" customFormat="1" ht="36" x14ac:dyDescent="0.35">
      <c r="A176" s="11"/>
      <c r="B176" s="518" t="s">
        <v>47</v>
      </c>
      <c r="C176" s="23" t="s">
        <v>302</v>
      </c>
      <c r="D176" s="10" t="s">
        <v>37</v>
      </c>
      <c r="E176" s="10" t="s">
        <v>81</v>
      </c>
      <c r="F176" s="25" t="s">
        <v>224</v>
      </c>
      <c r="G176" s="26" t="s">
        <v>45</v>
      </c>
      <c r="H176" s="681" t="s">
        <v>37</v>
      </c>
      <c r="I176" s="682" t="s">
        <v>48</v>
      </c>
      <c r="J176" s="10"/>
      <c r="K176" s="24">
        <f>SUM(K177:K179)</f>
        <v>31235.499999999996</v>
      </c>
      <c r="L176" s="24">
        <f>SUM(L177:L179)</f>
        <v>0</v>
      </c>
      <c r="M176" s="24">
        <f>SUM(M177:M179)</f>
        <v>31235.499999999996</v>
      </c>
      <c r="N176" s="24">
        <f>SUM(N177:N179)</f>
        <v>31236.199999999997</v>
      </c>
    </row>
    <row r="177" spans="1:14" s="121" customFormat="1" ht="108" x14ac:dyDescent="0.35">
      <c r="A177" s="11"/>
      <c r="B177" s="518" t="s">
        <v>49</v>
      </c>
      <c r="C177" s="23" t="s">
        <v>302</v>
      </c>
      <c r="D177" s="10" t="s">
        <v>37</v>
      </c>
      <c r="E177" s="10" t="s">
        <v>81</v>
      </c>
      <c r="F177" s="25" t="s">
        <v>224</v>
      </c>
      <c r="G177" s="26" t="s">
        <v>45</v>
      </c>
      <c r="H177" s="681" t="s">
        <v>37</v>
      </c>
      <c r="I177" s="682" t="s">
        <v>48</v>
      </c>
      <c r="J177" s="10" t="s">
        <v>50</v>
      </c>
      <c r="K177" s="24">
        <v>30515.599999999999</v>
      </c>
      <c r="L177" s="24">
        <f>M177-K177</f>
        <v>0</v>
      </c>
      <c r="M177" s="24">
        <v>30515.599999999999</v>
      </c>
      <c r="N177" s="24">
        <v>30515.599999999999</v>
      </c>
    </row>
    <row r="178" spans="1:14" s="121" customFormat="1" ht="54" x14ac:dyDescent="0.35">
      <c r="A178" s="11"/>
      <c r="B178" s="518" t="s">
        <v>55</v>
      </c>
      <c r="C178" s="23" t="s">
        <v>302</v>
      </c>
      <c r="D178" s="10" t="s">
        <v>37</v>
      </c>
      <c r="E178" s="10" t="s">
        <v>81</v>
      </c>
      <c r="F178" s="25" t="s">
        <v>224</v>
      </c>
      <c r="G178" s="26" t="s">
        <v>45</v>
      </c>
      <c r="H178" s="681" t="s">
        <v>37</v>
      </c>
      <c r="I178" s="682" t="s">
        <v>48</v>
      </c>
      <c r="J178" s="10" t="s">
        <v>56</v>
      </c>
      <c r="K178" s="24">
        <v>715.3</v>
      </c>
      <c r="L178" s="24">
        <f>M178-K178</f>
        <v>0</v>
      </c>
      <c r="M178" s="24">
        <v>715.3</v>
      </c>
      <c r="N178" s="24">
        <v>716.1</v>
      </c>
    </row>
    <row r="179" spans="1:14" s="126" customFormat="1" ht="18" x14ac:dyDescent="0.35">
      <c r="A179" s="11"/>
      <c r="B179" s="518" t="s">
        <v>57</v>
      </c>
      <c r="C179" s="23" t="s">
        <v>302</v>
      </c>
      <c r="D179" s="10" t="s">
        <v>37</v>
      </c>
      <c r="E179" s="10" t="s">
        <v>81</v>
      </c>
      <c r="F179" s="25" t="s">
        <v>224</v>
      </c>
      <c r="G179" s="26" t="s">
        <v>45</v>
      </c>
      <c r="H179" s="681" t="s">
        <v>37</v>
      </c>
      <c r="I179" s="682" t="s">
        <v>48</v>
      </c>
      <c r="J179" s="10" t="s">
        <v>58</v>
      </c>
      <c r="K179" s="24">
        <v>4.5999999999999996</v>
      </c>
      <c r="L179" s="24">
        <f>M179-K179</f>
        <v>0</v>
      </c>
      <c r="M179" s="24">
        <v>4.5999999999999996</v>
      </c>
      <c r="N179" s="24">
        <v>4.5</v>
      </c>
    </row>
    <row r="180" spans="1:14" s="126" customFormat="1" ht="18" x14ac:dyDescent="0.35">
      <c r="A180" s="11"/>
      <c r="B180" s="518" t="s">
        <v>70</v>
      </c>
      <c r="C180" s="23" t="s">
        <v>302</v>
      </c>
      <c r="D180" s="10" t="s">
        <v>37</v>
      </c>
      <c r="E180" s="10" t="s">
        <v>71</v>
      </c>
      <c r="F180" s="25"/>
      <c r="G180" s="26"/>
      <c r="H180" s="681"/>
      <c r="I180" s="682"/>
      <c r="J180" s="10"/>
      <c r="K180" s="24">
        <f t="shared" ref="K180:N181" si="28">K181</f>
        <v>2824.3999999999996</v>
      </c>
      <c r="L180" s="24">
        <f t="shared" si="28"/>
        <v>0</v>
      </c>
      <c r="M180" s="24">
        <f t="shared" si="28"/>
        <v>2824.3999999999996</v>
      </c>
      <c r="N180" s="24">
        <f t="shared" si="28"/>
        <v>2834.2</v>
      </c>
    </row>
    <row r="181" spans="1:14" s="126" customFormat="1" ht="54" x14ac:dyDescent="0.35">
      <c r="A181" s="11"/>
      <c r="B181" s="518" t="s">
        <v>223</v>
      </c>
      <c r="C181" s="23" t="s">
        <v>302</v>
      </c>
      <c r="D181" s="10" t="s">
        <v>37</v>
      </c>
      <c r="E181" s="10" t="s">
        <v>71</v>
      </c>
      <c r="F181" s="25" t="s">
        <v>224</v>
      </c>
      <c r="G181" s="26" t="s">
        <v>42</v>
      </c>
      <c r="H181" s="681" t="s">
        <v>43</v>
      </c>
      <c r="I181" s="682" t="s">
        <v>44</v>
      </c>
      <c r="J181" s="10"/>
      <c r="K181" s="24">
        <f t="shared" si="28"/>
        <v>2824.3999999999996</v>
      </c>
      <c r="L181" s="24">
        <f t="shared" si="28"/>
        <v>0</v>
      </c>
      <c r="M181" s="24">
        <f t="shared" si="28"/>
        <v>2824.3999999999996</v>
      </c>
      <c r="N181" s="24">
        <f t="shared" si="28"/>
        <v>2834.2</v>
      </c>
    </row>
    <row r="182" spans="1:14" s="126" customFormat="1" ht="36" x14ac:dyDescent="0.35">
      <c r="A182" s="11"/>
      <c r="B182" s="518" t="s">
        <v>339</v>
      </c>
      <c r="C182" s="23" t="s">
        <v>302</v>
      </c>
      <c r="D182" s="10" t="s">
        <v>37</v>
      </c>
      <c r="E182" s="10" t="s">
        <v>71</v>
      </c>
      <c r="F182" s="25" t="s">
        <v>224</v>
      </c>
      <c r="G182" s="26" t="s">
        <v>45</v>
      </c>
      <c r="H182" s="681" t="s">
        <v>43</v>
      </c>
      <c r="I182" s="682" t="s">
        <v>44</v>
      </c>
      <c r="J182" s="10"/>
      <c r="K182" s="24">
        <f>K183+K186</f>
        <v>2824.3999999999996</v>
      </c>
      <c r="L182" s="24">
        <f>L183+L186</f>
        <v>0</v>
      </c>
      <c r="M182" s="24">
        <f>M183+M186</f>
        <v>2824.3999999999996</v>
      </c>
      <c r="N182" s="24">
        <f>N183+N186</f>
        <v>2834.2</v>
      </c>
    </row>
    <row r="183" spans="1:14" s="126" customFormat="1" ht="36" x14ac:dyDescent="0.35">
      <c r="A183" s="11"/>
      <c r="B183" s="518" t="s">
        <v>351</v>
      </c>
      <c r="C183" s="23" t="s">
        <v>302</v>
      </c>
      <c r="D183" s="10" t="s">
        <v>37</v>
      </c>
      <c r="E183" s="10" t="s">
        <v>71</v>
      </c>
      <c r="F183" s="25" t="s">
        <v>224</v>
      </c>
      <c r="G183" s="26" t="s">
        <v>45</v>
      </c>
      <c r="H183" s="681" t="s">
        <v>63</v>
      </c>
      <c r="I183" s="682" t="s">
        <v>44</v>
      </c>
      <c r="J183" s="10"/>
      <c r="K183" s="24">
        <f t="shared" ref="K183:N184" si="29">K184</f>
        <v>2807.2</v>
      </c>
      <c r="L183" s="24">
        <f t="shared" si="29"/>
        <v>0</v>
      </c>
      <c r="M183" s="24">
        <f t="shared" si="29"/>
        <v>2807.2</v>
      </c>
      <c r="N183" s="24">
        <f t="shared" si="29"/>
        <v>2817</v>
      </c>
    </row>
    <row r="184" spans="1:14" s="126" customFormat="1" ht="54" x14ac:dyDescent="0.35">
      <c r="A184" s="11"/>
      <c r="B184" s="518" t="s">
        <v>352</v>
      </c>
      <c r="C184" s="23" t="s">
        <v>302</v>
      </c>
      <c r="D184" s="10" t="s">
        <v>37</v>
      </c>
      <c r="E184" s="10" t="s">
        <v>71</v>
      </c>
      <c r="F184" s="25" t="s">
        <v>224</v>
      </c>
      <c r="G184" s="26" t="s">
        <v>45</v>
      </c>
      <c r="H184" s="681" t="s">
        <v>63</v>
      </c>
      <c r="I184" s="682" t="s">
        <v>105</v>
      </c>
      <c r="J184" s="10"/>
      <c r="K184" s="24">
        <f t="shared" si="29"/>
        <v>2807.2</v>
      </c>
      <c r="L184" s="24">
        <f t="shared" si="29"/>
        <v>0</v>
      </c>
      <c r="M184" s="24">
        <f t="shared" si="29"/>
        <v>2807.2</v>
      </c>
      <c r="N184" s="24">
        <f t="shared" si="29"/>
        <v>2817</v>
      </c>
    </row>
    <row r="185" spans="1:14" s="126" customFormat="1" ht="54" x14ac:dyDescent="0.35">
      <c r="A185" s="11"/>
      <c r="B185" s="518" t="s">
        <v>55</v>
      </c>
      <c r="C185" s="23" t="s">
        <v>302</v>
      </c>
      <c r="D185" s="10" t="s">
        <v>37</v>
      </c>
      <c r="E185" s="10" t="s">
        <v>71</v>
      </c>
      <c r="F185" s="25" t="s">
        <v>224</v>
      </c>
      <c r="G185" s="26" t="s">
        <v>45</v>
      </c>
      <c r="H185" s="681" t="s">
        <v>63</v>
      </c>
      <c r="I185" s="682" t="s">
        <v>105</v>
      </c>
      <c r="J185" s="10" t="s">
        <v>56</v>
      </c>
      <c r="K185" s="24">
        <v>2807.2</v>
      </c>
      <c r="L185" s="24">
        <f>M185-K185</f>
        <v>0</v>
      </c>
      <c r="M185" s="24">
        <v>2807.2</v>
      </c>
      <c r="N185" s="24">
        <v>2817</v>
      </c>
    </row>
    <row r="186" spans="1:14" s="126" customFormat="1" ht="36" x14ac:dyDescent="0.35">
      <c r="A186" s="11"/>
      <c r="B186" s="518" t="s">
        <v>470</v>
      </c>
      <c r="C186" s="23" t="s">
        <v>302</v>
      </c>
      <c r="D186" s="10" t="s">
        <v>37</v>
      </c>
      <c r="E186" s="10" t="s">
        <v>71</v>
      </c>
      <c r="F186" s="25" t="s">
        <v>224</v>
      </c>
      <c r="G186" s="26" t="s">
        <v>45</v>
      </c>
      <c r="H186" s="681" t="s">
        <v>65</v>
      </c>
      <c r="I186" s="682" t="s">
        <v>44</v>
      </c>
      <c r="J186" s="10"/>
      <c r="K186" s="24">
        <f t="shared" ref="K186:N187" si="30">K187</f>
        <v>17.2</v>
      </c>
      <c r="L186" s="24">
        <f t="shared" si="30"/>
        <v>0</v>
      </c>
      <c r="M186" s="24">
        <f t="shared" si="30"/>
        <v>17.2</v>
      </c>
      <c r="N186" s="24">
        <f t="shared" si="30"/>
        <v>17.2</v>
      </c>
    </row>
    <row r="187" spans="1:14" s="126" customFormat="1" ht="18" x14ac:dyDescent="0.35">
      <c r="A187" s="11"/>
      <c r="B187" s="518" t="s">
        <v>468</v>
      </c>
      <c r="C187" s="23" t="s">
        <v>302</v>
      </c>
      <c r="D187" s="10" t="s">
        <v>37</v>
      </c>
      <c r="E187" s="10" t="s">
        <v>71</v>
      </c>
      <c r="F187" s="25" t="s">
        <v>224</v>
      </c>
      <c r="G187" s="26" t="s">
        <v>45</v>
      </c>
      <c r="H187" s="681" t="s">
        <v>65</v>
      </c>
      <c r="I187" s="682" t="s">
        <v>469</v>
      </c>
      <c r="J187" s="10"/>
      <c r="K187" s="24">
        <f t="shared" si="30"/>
        <v>17.2</v>
      </c>
      <c r="L187" s="24">
        <f t="shared" si="30"/>
        <v>0</v>
      </c>
      <c r="M187" s="24">
        <f t="shared" si="30"/>
        <v>17.2</v>
      </c>
      <c r="N187" s="24">
        <f t="shared" si="30"/>
        <v>17.2</v>
      </c>
    </row>
    <row r="188" spans="1:14" s="126" customFormat="1" ht="54" x14ac:dyDescent="0.35">
      <c r="A188" s="11"/>
      <c r="B188" s="518" t="s">
        <v>55</v>
      </c>
      <c r="C188" s="23" t="s">
        <v>302</v>
      </c>
      <c r="D188" s="10" t="s">
        <v>37</v>
      </c>
      <c r="E188" s="10" t="s">
        <v>71</v>
      </c>
      <c r="F188" s="25" t="s">
        <v>224</v>
      </c>
      <c r="G188" s="26" t="s">
        <v>45</v>
      </c>
      <c r="H188" s="681" t="s">
        <v>65</v>
      </c>
      <c r="I188" s="682" t="s">
        <v>469</v>
      </c>
      <c r="J188" s="10" t="s">
        <v>56</v>
      </c>
      <c r="K188" s="24">
        <v>17.2</v>
      </c>
      <c r="L188" s="24">
        <f>M188-K188</f>
        <v>0</v>
      </c>
      <c r="M188" s="24">
        <v>17.2</v>
      </c>
      <c r="N188" s="24">
        <v>17.2</v>
      </c>
    </row>
    <row r="189" spans="1:14" s="126" customFormat="1" ht="18" x14ac:dyDescent="0.35">
      <c r="A189" s="11"/>
      <c r="B189" s="518" t="s">
        <v>179</v>
      </c>
      <c r="C189" s="23" t="s">
        <v>302</v>
      </c>
      <c r="D189" s="10" t="s">
        <v>224</v>
      </c>
      <c r="E189" s="10"/>
      <c r="F189" s="25"/>
      <c r="G189" s="26"/>
      <c r="H189" s="681"/>
      <c r="I189" s="682"/>
      <c r="J189" s="10"/>
      <c r="K189" s="24">
        <f t="shared" ref="K189:N194" si="31">K190</f>
        <v>98.8</v>
      </c>
      <c r="L189" s="24">
        <f t="shared" si="31"/>
        <v>0</v>
      </c>
      <c r="M189" s="24">
        <f t="shared" si="31"/>
        <v>98.8</v>
      </c>
      <c r="N189" s="24">
        <f t="shared" si="31"/>
        <v>98.8</v>
      </c>
    </row>
    <row r="190" spans="1:14" s="126" customFormat="1" ht="36" x14ac:dyDescent="0.35">
      <c r="A190" s="11"/>
      <c r="B190" s="518" t="s">
        <v>532</v>
      </c>
      <c r="C190" s="23" t="s">
        <v>302</v>
      </c>
      <c r="D190" s="10" t="s">
        <v>224</v>
      </c>
      <c r="E190" s="10" t="s">
        <v>65</v>
      </c>
      <c r="F190" s="25"/>
      <c r="G190" s="26"/>
      <c r="H190" s="681"/>
      <c r="I190" s="682"/>
      <c r="J190" s="10"/>
      <c r="K190" s="24">
        <f t="shared" si="31"/>
        <v>98.8</v>
      </c>
      <c r="L190" s="24">
        <f t="shared" si="31"/>
        <v>0</v>
      </c>
      <c r="M190" s="24">
        <f t="shared" si="31"/>
        <v>98.8</v>
      </c>
      <c r="N190" s="24">
        <f t="shared" si="31"/>
        <v>98.8</v>
      </c>
    </row>
    <row r="191" spans="1:14" s="126" customFormat="1" ht="54" x14ac:dyDescent="0.35">
      <c r="A191" s="11"/>
      <c r="B191" s="518" t="s">
        <v>223</v>
      </c>
      <c r="C191" s="23" t="s">
        <v>302</v>
      </c>
      <c r="D191" s="10" t="s">
        <v>224</v>
      </c>
      <c r="E191" s="10" t="s">
        <v>65</v>
      </c>
      <c r="F191" s="25" t="s">
        <v>224</v>
      </c>
      <c r="G191" s="26" t="s">
        <v>42</v>
      </c>
      <c r="H191" s="681" t="s">
        <v>43</v>
      </c>
      <c r="I191" s="682" t="s">
        <v>44</v>
      </c>
      <c r="J191" s="10"/>
      <c r="K191" s="24">
        <f t="shared" si="31"/>
        <v>98.8</v>
      </c>
      <c r="L191" s="24">
        <f t="shared" si="31"/>
        <v>0</v>
      </c>
      <c r="M191" s="24">
        <f t="shared" si="31"/>
        <v>98.8</v>
      </c>
      <c r="N191" s="24">
        <f t="shared" si="31"/>
        <v>98.8</v>
      </c>
    </row>
    <row r="192" spans="1:14" s="126" customFormat="1" ht="36" x14ac:dyDescent="0.35">
      <c r="A192" s="11"/>
      <c r="B192" s="518" t="s">
        <v>339</v>
      </c>
      <c r="C192" s="23" t="s">
        <v>302</v>
      </c>
      <c r="D192" s="10" t="s">
        <v>224</v>
      </c>
      <c r="E192" s="10" t="s">
        <v>65</v>
      </c>
      <c r="F192" s="25" t="s">
        <v>224</v>
      </c>
      <c r="G192" s="26" t="s">
        <v>45</v>
      </c>
      <c r="H192" s="681" t="s">
        <v>43</v>
      </c>
      <c r="I192" s="682" t="s">
        <v>44</v>
      </c>
      <c r="J192" s="10"/>
      <c r="K192" s="24">
        <f t="shared" si="31"/>
        <v>98.8</v>
      </c>
      <c r="L192" s="24">
        <f t="shared" si="31"/>
        <v>0</v>
      </c>
      <c r="M192" s="24">
        <f t="shared" si="31"/>
        <v>98.8</v>
      </c>
      <c r="N192" s="24">
        <f t="shared" si="31"/>
        <v>98.8</v>
      </c>
    </row>
    <row r="193" spans="1:14" s="126" customFormat="1" ht="54" x14ac:dyDescent="0.35">
      <c r="A193" s="11"/>
      <c r="B193" s="518" t="s">
        <v>303</v>
      </c>
      <c r="C193" s="23" t="s">
        <v>302</v>
      </c>
      <c r="D193" s="10" t="s">
        <v>224</v>
      </c>
      <c r="E193" s="10" t="s">
        <v>65</v>
      </c>
      <c r="F193" s="25" t="s">
        <v>224</v>
      </c>
      <c r="G193" s="26" t="s">
        <v>45</v>
      </c>
      <c r="H193" s="681" t="s">
        <v>37</v>
      </c>
      <c r="I193" s="682" t="s">
        <v>44</v>
      </c>
      <c r="J193" s="10"/>
      <c r="K193" s="24">
        <f t="shared" si="31"/>
        <v>98.8</v>
      </c>
      <c r="L193" s="24">
        <f t="shared" si="31"/>
        <v>0</v>
      </c>
      <c r="M193" s="24">
        <f t="shared" si="31"/>
        <v>98.8</v>
      </c>
      <c r="N193" s="24">
        <f t="shared" si="31"/>
        <v>98.8</v>
      </c>
    </row>
    <row r="194" spans="1:14" s="126" customFormat="1" ht="36" x14ac:dyDescent="0.35">
      <c r="A194" s="11"/>
      <c r="B194" s="518" t="s">
        <v>534</v>
      </c>
      <c r="C194" s="23" t="s">
        <v>302</v>
      </c>
      <c r="D194" s="10" t="s">
        <v>224</v>
      </c>
      <c r="E194" s="10" t="s">
        <v>65</v>
      </c>
      <c r="F194" s="25" t="s">
        <v>224</v>
      </c>
      <c r="G194" s="26" t="s">
        <v>45</v>
      </c>
      <c r="H194" s="681" t="s">
        <v>37</v>
      </c>
      <c r="I194" s="682" t="s">
        <v>533</v>
      </c>
      <c r="J194" s="10"/>
      <c r="K194" s="24">
        <f t="shared" si="31"/>
        <v>98.8</v>
      </c>
      <c r="L194" s="24">
        <f t="shared" si="31"/>
        <v>0</v>
      </c>
      <c r="M194" s="24">
        <f t="shared" si="31"/>
        <v>98.8</v>
      </c>
      <c r="N194" s="24">
        <f t="shared" si="31"/>
        <v>98.8</v>
      </c>
    </row>
    <row r="195" spans="1:14" s="126" customFormat="1" ht="54" x14ac:dyDescent="0.35">
      <c r="A195" s="11"/>
      <c r="B195" s="518" t="s">
        <v>55</v>
      </c>
      <c r="C195" s="23" t="s">
        <v>302</v>
      </c>
      <c r="D195" s="10" t="s">
        <v>224</v>
      </c>
      <c r="E195" s="10" t="s">
        <v>65</v>
      </c>
      <c r="F195" s="25" t="s">
        <v>224</v>
      </c>
      <c r="G195" s="26" t="s">
        <v>45</v>
      </c>
      <c r="H195" s="681" t="s">
        <v>37</v>
      </c>
      <c r="I195" s="682" t="s">
        <v>533</v>
      </c>
      <c r="J195" s="10" t="s">
        <v>56</v>
      </c>
      <c r="K195" s="24">
        <v>98.8</v>
      </c>
      <c r="L195" s="24">
        <f>M195-K195</f>
        <v>0</v>
      </c>
      <c r="M195" s="24">
        <v>98.8</v>
      </c>
      <c r="N195" s="24">
        <v>98.8</v>
      </c>
    </row>
    <row r="196" spans="1:14" s="126" customFormat="1" ht="54" x14ac:dyDescent="0.35">
      <c r="A196" s="11"/>
      <c r="B196" s="518" t="s">
        <v>200</v>
      </c>
      <c r="C196" s="23" t="s">
        <v>302</v>
      </c>
      <c r="D196" s="10" t="s">
        <v>88</v>
      </c>
      <c r="E196" s="10"/>
      <c r="F196" s="25"/>
      <c r="G196" s="26"/>
      <c r="H196" s="681"/>
      <c r="I196" s="682"/>
      <c r="J196" s="10"/>
      <c r="K196" s="24">
        <f t="shared" ref="K196:N199" si="32">K197</f>
        <v>7500</v>
      </c>
      <c r="L196" s="24">
        <f t="shared" si="32"/>
        <v>0</v>
      </c>
      <c r="M196" s="24">
        <f t="shared" si="32"/>
        <v>7500</v>
      </c>
      <c r="N196" s="24">
        <f t="shared" si="32"/>
        <v>7500</v>
      </c>
    </row>
    <row r="197" spans="1:14" s="126" customFormat="1" ht="54" x14ac:dyDescent="0.35">
      <c r="A197" s="11"/>
      <c r="B197" s="568" t="s">
        <v>201</v>
      </c>
      <c r="C197" s="23" t="s">
        <v>302</v>
      </c>
      <c r="D197" s="10" t="s">
        <v>88</v>
      </c>
      <c r="E197" s="10" t="s">
        <v>37</v>
      </c>
      <c r="F197" s="25"/>
      <c r="G197" s="26"/>
      <c r="H197" s="681"/>
      <c r="I197" s="682"/>
      <c r="J197" s="10"/>
      <c r="K197" s="24">
        <f t="shared" si="32"/>
        <v>7500</v>
      </c>
      <c r="L197" s="24">
        <f t="shared" si="32"/>
        <v>0</v>
      </c>
      <c r="M197" s="24">
        <f t="shared" si="32"/>
        <v>7500</v>
      </c>
      <c r="N197" s="24">
        <f t="shared" si="32"/>
        <v>7500</v>
      </c>
    </row>
    <row r="198" spans="1:14" s="126" customFormat="1" ht="54" x14ac:dyDescent="0.35">
      <c r="A198" s="11"/>
      <c r="B198" s="518" t="s">
        <v>223</v>
      </c>
      <c r="C198" s="23" t="s">
        <v>302</v>
      </c>
      <c r="D198" s="10" t="s">
        <v>88</v>
      </c>
      <c r="E198" s="10" t="s">
        <v>37</v>
      </c>
      <c r="F198" s="25" t="s">
        <v>224</v>
      </c>
      <c r="G198" s="26" t="s">
        <v>42</v>
      </c>
      <c r="H198" s="681" t="s">
        <v>43</v>
      </c>
      <c r="I198" s="682" t="s">
        <v>44</v>
      </c>
      <c r="J198" s="10"/>
      <c r="K198" s="24">
        <f t="shared" si="32"/>
        <v>7500</v>
      </c>
      <c r="L198" s="24">
        <f t="shared" si="32"/>
        <v>0</v>
      </c>
      <c r="M198" s="24">
        <f t="shared" si="32"/>
        <v>7500</v>
      </c>
      <c r="N198" s="24">
        <f t="shared" si="32"/>
        <v>7500</v>
      </c>
    </row>
    <row r="199" spans="1:14" s="126" customFormat="1" ht="36" x14ac:dyDescent="0.35">
      <c r="A199" s="11"/>
      <c r="B199" s="518" t="s">
        <v>339</v>
      </c>
      <c r="C199" s="23" t="s">
        <v>302</v>
      </c>
      <c r="D199" s="10" t="s">
        <v>88</v>
      </c>
      <c r="E199" s="10" t="s">
        <v>37</v>
      </c>
      <c r="F199" s="25" t="s">
        <v>224</v>
      </c>
      <c r="G199" s="26" t="s">
        <v>45</v>
      </c>
      <c r="H199" s="681" t="s">
        <v>43</v>
      </c>
      <c r="I199" s="682" t="s">
        <v>44</v>
      </c>
      <c r="J199" s="10"/>
      <c r="K199" s="24">
        <f t="shared" si="32"/>
        <v>7500</v>
      </c>
      <c r="L199" s="24">
        <f t="shared" si="32"/>
        <v>0</v>
      </c>
      <c r="M199" s="24">
        <f t="shared" si="32"/>
        <v>7500</v>
      </c>
      <c r="N199" s="24">
        <f t="shared" si="32"/>
        <v>7500</v>
      </c>
    </row>
    <row r="200" spans="1:14" s="126" customFormat="1" ht="36" x14ac:dyDescent="0.35">
      <c r="A200" s="11"/>
      <c r="B200" s="518" t="s">
        <v>304</v>
      </c>
      <c r="C200" s="23" t="s">
        <v>302</v>
      </c>
      <c r="D200" s="10" t="s">
        <v>88</v>
      </c>
      <c r="E200" s="10" t="s">
        <v>37</v>
      </c>
      <c r="F200" s="25" t="s">
        <v>224</v>
      </c>
      <c r="G200" s="26" t="s">
        <v>45</v>
      </c>
      <c r="H200" s="681" t="s">
        <v>39</v>
      </c>
      <c r="I200" s="682" t="s">
        <v>44</v>
      </c>
      <c r="J200" s="10"/>
      <c r="K200" s="24">
        <f t="shared" ref="K200:N201" si="33">K201</f>
        <v>7500</v>
      </c>
      <c r="L200" s="24">
        <f t="shared" si="33"/>
        <v>0</v>
      </c>
      <c r="M200" s="24">
        <f t="shared" si="33"/>
        <v>7500</v>
      </c>
      <c r="N200" s="24">
        <f t="shared" si="33"/>
        <v>7500</v>
      </c>
    </row>
    <row r="201" spans="1:14" s="126" customFormat="1" ht="36" x14ac:dyDescent="0.35">
      <c r="A201" s="11"/>
      <c r="B201" s="518" t="s">
        <v>258</v>
      </c>
      <c r="C201" s="23" t="s">
        <v>302</v>
      </c>
      <c r="D201" s="10" t="s">
        <v>88</v>
      </c>
      <c r="E201" s="10" t="s">
        <v>37</v>
      </c>
      <c r="F201" s="25" t="s">
        <v>224</v>
      </c>
      <c r="G201" s="26" t="s">
        <v>45</v>
      </c>
      <c r="H201" s="681" t="s">
        <v>39</v>
      </c>
      <c r="I201" s="682" t="s">
        <v>406</v>
      </c>
      <c r="J201" s="10"/>
      <c r="K201" s="24">
        <f t="shared" si="33"/>
        <v>7500</v>
      </c>
      <c r="L201" s="24">
        <f t="shared" si="33"/>
        <v>0</v>
      </c>
      <c r="M201" s="24">
        <f t="shared" si="33"/>
        <v>7500</v>
      </c>
      <c r="N201" s="24">
        <f t="shared" si="33"/>
        <v>7500</v>
      </c>
    </row>
    <row r="202" spans="1:14" s="126" customFormat="1" ht="18" x14ac:dyDescent="0.35">
      <c r="A202" s="11"/>
      <c r="B202" s="518" t="s">
        <v>123</v>
      </c>
      <c r="C202" s="23" t="s">
        <v>302</v>
      </c>
      <c r="D202" s="10" t="s">
        <v>88</v>
      </c>
      <c r="E202" s="10" t="s">
        <v>37</v>
      </c>
      <c r="F202" s="25" t="s">
        <v>224</v>
      </c>
      <c r="G202" s="26" t="s">
        <v>45</v>
      </c>
      <c r="H202" s="681" t="s">
        <v>39</v>
      </c>
      <c r="I202" s="682" t="s">
        <v>406</v>
      </c>
      <c r="J202" s="10" t="s">
        <v>124</v>
      </c>
      <c r="K202" s="24">
        <v>7500</v>
      </c>
      <c r="L202" s="24">
        <f>M202-K202</f>
        <v>0</v>
      </c>
      <c r="M202" s="24">
        <v>7500</v>
      </c>
      <c r="N202" s="24">
        <v>7500</v>
      </c>
    </row>
    <row r="203" spans="1:14" s="126" customFormat="1" ht="18" x14ac:dyDescent="0.35">
      <c r="A203" s="11"/>
      <c r="B203" s="518"/>
      <c r="C203" s="23"/>
      <c r="D203" s="10"/>
      <c r="E203" s="10"/>
      <c r="F203" s="25"/>
      <c r="G203" s="26"/>
      <c r="H203" s="681"/>
      <c r="I203" s="682"/>
      <c r="J203" s="10"/>
      <c r="K203" s="24"/>
      <c r="L203" s="24"/>
      <c r="M203" s="24"/>
      <c r="N203" s="24"/>
    </row>
    <row r="204" spans="1:14" s="127" customFormat="1" ht="52.2" x14ac:dyDescent="0.3">
      <c r="A204" s="120">
        <v>3</v>
      </c>
      <c r="B204" s="565" t="s">
        <v>35</v>
      </c>
      <c r="C204" s="18" t="s">
        <v>128</v>
      </c>
      <c r="D204" s="19"/>
      <c r="E204" s="19"/>
      <c r="F204" s="20"/>
      <c r="G204" s="21"/>
      <c r="H204" s="21"/>
      <c r="I204" s="22"/>
      <c r="J204" s="19"/>
      <c r="K204" s="32">
        <f t="shared" ref="K204:N207" si="34">K205</f>
        <v>6414.2</v>
      </c>
      <c r="L204" s="32">
        <f t="shared" si="34"/>
        <v>0</v>
      </c>
      <c r="M204" s="32">
        <f t="shared" si="34"/>
        <v>6414.2</v>
      </c>
      <c r="N204" s="32">
        <f t="shared" si="34"/>
        <v>6414.3</v>
      </c>
    </row>
    <row r="205" spans="1:14" s="127" customFormat="1" ht="18" x14ac:dyDescent="0.35">
      <c r="A205" s="11"/>
      <c r="B205" s="518" t="s">
        <v>36</v>
      </c>
      <c r="C205" s="23" t="s">
        <v>128</v>
      </c>
      <c r="D205" s="10" t="s">
        <v>37</v>
      </c>
      <c r="E205" s="10"/>
      <c r="F205" s="680"/>
      <c r="G205" s="681"/>
      <c r="H205" s="681"/>
      <c r="I205" s="682"/>
      <c r="J205" s="10"/>
      <c r="K205" s="24">
        <f t="shared" si="34"/>
        <v>6414.2</v>
      </c>
      <c r="L205" s="24">
        <f t="shared" si="34"/>
        <v>0</v>
      </c>
      <c r="M205" s="24">
        <f t="shared" si="34"/>
        <v>6414.2</v>
      </c>
      <c r="N205" s="24">
        <f t="shared" si="34"/>
        <v>6414.3</v>
      </c>
    </row>
    <row r="206" spans="1:14" s="127" customFormat="1" ht="54" x14ac:dyDescent="0.35">
      <c r="A206" s="11"/>
      <c r="B206" s="518" t="s">
        <v>129</v>
      </c>
      <c r="C206" s="23" t="s">
        <v>128</v>
      </c>
      <c r="D206" s="10" t="s">
        <v>37</v>
      </c>
      <c r="E206" s="10" t="s">
        <v>81</v>
      </c>
      <c r="F206" s="680"/>
      <c r="G206" s="681"/>
      <c r="H206" s="681"/>
      <c r="I206" s="682"/>
      <c r="J206" s="10"/>
      <c r="K206" s="24">
        <f t="shared" si="34"/>
        <v>6414.2</v>
      </c>
      <c r="L206" s="24">
        <f t="shared" si="34"/>
        <v>0</v>
      </c>
      <c r="M206" s="24">
        <f t="shared" si="34"/>
        <v>6414.2</v>
      </c>
      <c r="N206" s="24">
        <f t="shared" si="34"/>
        <v>6414.3</v>
      </c>
    </row>
    <row r="207" spans="1:14" s="127" customFormat="1" ht="36" x14ac:dyDescent="0.35">
      <c r="A207" s="11"/>
      <c r="B207" s="551" t="s">
        <v>130</v>
      </c>
      <c r="C207" s="23" t="s">
        <v>128</v>
      </c>
      <c r="D207" s="10" t="s">
        <v>37</v>
      </c>
      <c r="E207" s="10" t="s">
        <v>81</v>
      </c>
      <c r="F207" s="680" t="s">
        <v>131</v>
      </c>
      <c r="G207" s="681" t="s">
        <v>42</v>
      </c>
      <c r="H207" s="681" t="s">
        <v>43</v>
      </c>
      <c r="I207" s="682" t="s">
        <v>44</v>
      </c>
      <c r="J207" s="10"/>
      <c r="K207" s="24">
        <f t="shared" si="34"/>
        <v>6414.2</v>
      </c>
      <c r="L207" s="24">
        <f t="shared" si="34"/>
        <v>0</v>
      </c>
      <c r="M207" s="24">
        <f t="shared" si="34"/>
        <v>6414.2</v>
      </c>
      <c r="N207" s="24">
        <f t="shared" si="34"/>
        <v>6414.3</v>
      </c>
    </row>
    <row r="208" spans="1:14" s="127" customFormat="1" ht="36" x14ac:dyDescent="0.35">
      <c r="A208" s="11"/>
      <c r="B208" s="551" t="s">
        <v>132</v>
      </c>
      <c r="C208" s="23" t="s">
        <v>128</v>
      </c>
      <c r="D208" s="10" t="s">
        <v>37</v>
      </c>
      <c r="E208" s="10" t="s">
        <v>81</v>
      </c>
      <c r="F208" s="680" t="s">
        <v>131</v>
      </c>
      <c r="G208" s="681" t="s">
        <v>45</v>
      </c>
      <c r="H208" s="681" t="s">
        <v>43</v>
      </c>
      <c r="I208" s="682" t="s">
        <v>44</v>
      </c>
      <c r="J208" s="10"/>
      <c r="K208" s="24">
        <f>K209</f>
        <v>6414.2</v>
      </c>
      <c r="L208" s="24">
        <f>L209</f>
        <v>0</v>
      </c>
      <c r="M208" s="24">
        <f>M209</f>
        <v>6414.2</v>
      </c>
      <c r="N208" s="24">
        <f>N209</f>
        <v>6414.3</v>
      </c>
    </row>
    <row r="209" spans="1:14" s="127" customFormat="1" ht="36" x14ac:dyDescent="0.35">
      <c r="A209" s="11"/>
      <c r="B209" s="518" t="s">
        <v>47</v>
      </c>
      <c r="C209" s="23" t="s">
        <v>128</v>
      </c>
      <c r="D209" s="10" t="s">
        <v>37</v>
      </c>
      <c r="E209" s="10" t="s">
        <v>81</v>
      </c>
      <c r="F209" s="680" t="s">
        <v>131</v>
      </c>
      <c r="G209" s="681" t="s">
        <v>45</v>
      </c>
      <c r="H209" s="681" t="s">
        <v>43</v>
      </c>
      <c r="I209" s="682" t="s">
        <v>48</v>
      </c>
      <c r="J209" s="10"/>
      <c r="K209" s="24">
        <f>K210+K211+K212</f>
        <v>6414.2</v>
      </c>
      <c r="L209" s="24">
        <f>L210+L211+L212</f>
        <v>0</v>
      </c>
      <c r="M209" s="24">
        <f>M210+M211+M212</f>
        <v>6414.2</v>
      </c>
      <c r="N209" s="24">
        <f>N210+N211+N212</f>
        <v>6414.3</v>
      </c>
    </row>
    <row r="210" spans="1:14" s="127" customFormat="1" ht="108" x14ac:dyDescent="0.35">
      <c r="A210" s="11"/>
      <c r="B210" s="518" t="s">
        <v>49</v>
      </c>
      <c r="C210" s="23" t="s">
        <v>128</v>
      </c>
      <c r="D210" s="10" t="s">
        <v>37</v>
      </c>
      <c r="E210" s="10" t="s">
        <v>81</v>
      </c>
      <c r="F210" s="680" t="s">
        <v>131</v>
      </c>
      <c r="G210" s="681" t="s">
        <v>45</v>
      </c>
      <c r="H210" s="681" t="s">
        <v>43</v>
      </c>
      <c r="I210" s="682" t="s">
        <v>48</v>
      </c>
      <c r="J210" s="10" t="s">
        <v>50</v>
      </c>
      <c r="K210" s="24">
        <v>6119.5</v>
      </c>
      <c r="L210" s="24">
        <f>M210-K210</f>
        <v>0</v>
      </c>
      <c r="M210" s="24">
        <v>6119.5</v>
      </c>
      <c r="N210" s="24">
        <v>6119.5</v>
      </c>
    </row>
    <row r="211" spans="1:14" s="127" customFormat="1" ht="54" x14ac:dyDescent="0.35">
      <c r="A211" s="11"/>
      <c r="B211" s="518" t="s">
        <v>55</v>
      </c>
      <c r="C211" s="23" t="s">
        <v>128</v>
      </c>
      <c r="D211" s="10" t="s">
        <v>37</v>
      </c>
      <c r="E211" s="10" t="s">
        <v>81</v>
      </c>
      <c r="F211" s="680" t="s">
        <v>131</v>
      </c>
      <c r="G211" s="681" t="s">
        <v>45</v>
      </c>
      <c r="H211" s="681" t="s">
        <v>43</v>
      </c>
      <c r="I211" s="682" t="s">
        <v>48</v>
      </c>
      <c r="J211" s="10" t="s">
        <v>56</v>
      </c>
      <c r="K211" s="24">
        <v>284.7</v>
      </c>
      <c r="L211" s="24">
        <f>M211-K211</f>
        <v>0</v>
      </c>
      <c r="M211" s="24">
        <v>284.7</v>
      </c>
      <c r="N211" s="24">
        <v>284.8</v>
      </c>
    </row>
    <row r="212" spans="1:14" s="127" customFormat="1" ht="18" x14ac:dyDescent="0.35">
      <c r="A212" s="11"/>
      <c r="B212" s="518" t="s">
        <v>57</v>
      </c>
      <c r="C212" s="23" t="s">
        <v>128</v>
      </c>
      <c r="D212" s="10" t="s">
        <v>37</v>
      </c>
      <c r="E212" s="10" t="s">
        <v>81</v>
      </c>
      <c r="F212" s="680" t="s">
        <v>131</v>
      </c>
      <c r="G212" s="681" t="s">
        <v>45</v>
      </c>
      <c r="H212" s="681" t="s">
        <v>43</v>
      </c>
      <c r="I212" s="682" t="s">
        <v>48</v>
      </c>
      <c r="J212" s="10" t="s">
        <v>58</v>
      </c>
      <c r="K212" s="24">
        <v>10</v>
      </c>
      <c r="L212" s="24">
        <f>M212-K212</f>
        <v>0</v>
      </c>
      <c r="M212" s="24">
        <v>10</v>
      </c>
      <c r="N212" s="24">
        <v>10</v>
      </c>
    </row>
    <row r="213" spans="1:14" s="127" customFormat="1" ht="18" x14ac:dyDescent="0.35">
      <c r="A213" s="11"/>
      <c r="B213" s="518"/>
      <c r="C213" s="23"/>
      <c r="D213" s="10"/>
      <c r="E213" s="10"/>
      <c r="F213" s="680"/>
      <c r="G213" s="681"/>
      <c r="H213" s="681"/>
      <c r="I213" s="682"/>
      <c r="J213" s="10"/>
      <c r="K213" s="24"/>
      <c r="L213" s="24"/>
      <c r="M213" s="24"/>
      <c r="N213" s="24"/>
    </row>
    <row r="214" spans="1:14" s="135" customFormat="1" ht="52.2" x14ac:dyDescent="0.3">
      <c r="A214" s="128">
        <v>4</v>
      </c>
      <c r="B214" s="597" t="s">
        <v>6</v>
      </c>
      <c r="C214" s="129" t="s">
        <v>414</v>
      </c>
      <c r="D214" s="130"/>
      <c r="E214" s="130"/>
      <c r="F214" s="131"/>
      <c r="G214" s="132"/>
      <c r="H214" s="132"/>
      <c r="I214" s="133"/>
      <c r="J214" s="130"/>
      <c r="K214" s="134">
        <f t="shared" ref="K214" si="35">K215+K272+K257+K250</f>
        <v>166193.40000000002</v>
      </c>
      <c r="L214" s="134">
        <f>L215+L272+L257+L250</f>
        <v>-2.8066438062523957E-12</v>
      </c>
      <c r="M214" s="134">
        <f t="shared" ref="M214:N214" si="36">M215+M272+M257+M250</f>
        <v>166193.40000000002</v>
      </c>
      <c r="N214" s="134">
        <f t="shared" si="36"/>
        <v>87849.5</v>
      </c>
    </row>
    <row r="215" spans="1:14" s="141" customFormat="1" ht="18" x14ac:dyDescent="0.35">
      <c r="A215" s="136"/>
      <c r="B215" s="562" t="s">
        <v>36</v>
      </c>
      <c r="C215" s="137" t="s">
        <v>414</v>
      </c>
      <c r="D215" s="138" t="s">
        <v>37</v>
      </c>
      <c r="E215" s="94"/>
      <c r="F215" s="139"/>
      <c r="G215" s="92"/>
      <c r="H215" s="92"/>
      <c r="I215" s="93"/>
      <c r="J215" s="94"/>
      <c r="K215" s="140">
        <f>K216</f>
        <v>31927.700000000004</v>
      </c>
      <c r="L215" s="140">
        <f>L216</f>
        <v>-1.4800000000001035E-2</v>
      </c>
      <c r="M215" s="140">
        <f>M216</f>
        <v>31927.685200000004</v>
      </c>
      <c r="N215" s="140">
        <f>N216</f>
        <v>35113.585200000001</v>
      </c>
    </row>
    <row r="216" spans="1:14" s="135" customFormat="1" ht="18" x14ac:dyDescent="0.35">
      <c r="A216" s="136"/>
      <c r="B216" s="562" t="s">
        <v>70</v>
      </c>
      <c r="C216" s="137" t="s">
        <v>414</v>
      </c>
      <c r="D216" s="138" t="s">
        <v>37</v>
      </c>
      <c r="E216" s="138" t="s">
        <v>71</v>
      </c>
      <c r="F216" s="139"/>
      <c r="G216" s="92"/>
      <c r="H216" s="92"/>
      <c r="I216" s="93"/>
      <c r="J216" s="94"/>
      <c r="K216" s="140">
        <f>K217+K244+K240</f>
        <v>31927.700000000004</v>
      </c>
      <c r="L216" s="140">
        <f>L217+L244+L240</f>
        <v>-1.4800000000001035E-2</v>
      </c>
      <c r="M216" s="140">
        <f>M217+M244+M240</f>
        <v>31927.685200000004</v>
      </c>
      <c r="N216" s="140">
        <f>N217+N244+N240</f>
        <v>35113.585200000001</v>
      </c>
    </row>
    <row r="217" spans="1:14" s="141" customFormat="1" ht="54" x14ac:dyDescent="0.35">
      <c r="A217" s="136"/>
      <c r="B217" s="562" t="s">
        <v>225</v>
      </c>
      <c r="C217" s="137" t="s">
        <v>414</v>
      </c>
      <c r="D217" s="138" t="s">
        <v>37</v>
      </c>
      <c r="E217" s="138" t="s">
        <v>71</v>
      </c>
      <c r="F217" s="102" t="s">
        <v>226</v>
      </c>
      <c r="G217" s="92" t="s">
        <v>42</v>
      </c>
      <c r="H217" s="92" t="s">
        <v>43</v>
      </c>
      <c r="I217" s="93" t="s">
        <v>44</v>
      </c>
      <c r="J217" s="94"/>
      <c r="K217" s="140">
        <f>K218+K222</f>
        <v>25516.300000000003</v>
      </c>
      <c r="L217" s="140">
        <f>L218+L222</f>
        <v>0</v>
      </c>
      <c r="M217" s="140">
        <f>M218+M222</f>
        <v>25516.300000000003</v>
      </c>
      <c r="N217" s="140">
        <f>N218+N222</f>
        <v>28698.300000000003</v>
      </c>
    </row>
    <row r="218" spans="1:14" s="141" customFormat="1" ht="36" x14ac:dyDescent="0.35">
      <c r="A218" s="136"/>
      <c r="B218" s="562" t="s">
        <v>227</v>
      </c>
      <c r="C218" s="137" t="s">
        <v>414</v>
      </c>
      <c r="D218" s="138" t="s">
        <v>37</v>
      </c>
      <c r="E218" s="138" t="s">
        <v>71</v>
      </c>
      <c r="F218" s="142" t="s">
        <v>226</v>
      </c>
      <c r="G218" s="143" t="s">
        <v>45</v>
      </c>
      <c r="H218" s="143" t="s">
        <v>43</v>
      </c>
      <c r="I218" s="144" t="s">
        <v>44</v>
      </c>
      <c r="J218" s="94"/>
      <c r="K218" s="140">
        <f t="shared" ref="K218:N220" si="37">K219</f>
        <v>0</v>
      </c>
      <c r="L218" s="140">
        <f t="shared" si="37"/>
        <v>0</v>
      </c>
      <c r="M218" s="140">
        <f t="shared" si="37"/>
        <v>0</v>
      </c>
      <c r="N218" s="140">
        <f t="shared" si="37"/>
        <v>825.3</v>
      </c>
    </row>
    <row r="219" spans="1:14" s="135" customFormat="1" ht="36" x14ac:dyDescent="0.35">
      <c r="A219" s="136"/>
      <c r="B219" s="573" t="s">
        <v>338</v>
      </c>
      <c r="C219" s="137" t="s">
        <v>414</v>
      </c>
      <c r="D219" s="138" t="s">
        <v>37</v>
      </c>
      <c r="E219" s="138" t="s">
        <v>71</v>
      </c>
      <c r="F219" s="91" t="s">
        <v>226</v>
      </c>
      <c r="G219" s="92" t="s">
        <v>45</v>
      </c>
      <c r="H219" s="92" t="s">
        <v>39</v>
      </c>
      <c r="I219" s="93" t="s">
        <v>44</v>
      </c>
      <c r="J219" s="94"/>
      <c r="K219" s="140">
        <f>K220</f>
        <v>0</v>
      </c>
      <c r="L219" s="140">
        <f>L220</f>
        <v>0</v>
      </c>
      <c r="M219" s="140">
        <f>M220</f>
        <v>0</v>
      </c>
      <c r="N219" s="140">
        <f>N220</f>
        <v>825.3</v>
      </c>
    </row>
    <row r="220" spans="1:14" s="135" customFormat="1" ht="36" x14ac:dyDescent="0.35">
      <c r="A220" s="136"/>
      <c r="B220" s="573" t="s">
        <v>337</v>
      </c>
      <c r="C220" s="137" t="s">
        <v>414</v>
      </c>
      <c r="D220" s="138" t="s">
        <v>37</v>
      </c>
      <c r="E220" s="138" t="s">
        <v>71</v>
      </c>
      <c r="F220" s="91" t="s">
        <v>226</v>
      </c>
      <c r="G220" s="92" t="s">
        <v>45</v>
      </c>
      <c r="H220" s="92" t="s">
        <v>39</v>
      </c>
      <c r="I220" s="93" t="s">
        <v>336</v>
      </c>
      <c r="J220" s="94"/>
      <c r="K220" s="140">
        <f t="shared" si="37"/>
        <v>0</v>
      </c>
      <c r="L220" s="140">
        <f t="shared" si="37"/>
        <v>0</v>
      </c>
      <c r="M220" s="140">
        <f t="shared" si="37"/>
        <v>0</v>
      </c>
      <c r="N220" s="140">
        <f t="shared" si="37"/>
        <v>825.3</v>
      </c>
    </row>
    <row r="221" spans="1:14" s="135" customFormat="1" ht="54" x14ac:dyDescent="0.35">
      <c r="A221" s="136"/>
      <c r="B221" s="573" t="s">
        <v>55</v>
      </c>
      <c r="C221" s="137" t="s">
        <v>414</v>
      </c>
      <c r="D221" s="138" t="s">
        <v>37</v>
      </c>
      <c r="E221" s="138" t="s">
        <v>71</v>
      </c>
      <c r="F221" s="91" t="s">
        <v>226</v>
      </c>
      <c r="G221" s="92" t="s">
        <v>45</v>
      </c>
      <c r="H221" s="92" t="s">
        <v>39</v>
      </c>
      <c r="I221" s="93" t="s">
        <v>336</v>
      </c>
      <c r="J221" s="94" t="s">
        <v>56</v>
      </c>
      <c r="K221" s="140">
        <f>820.1-820.1</f>
        <v>0</v>
      </c>
      <c r="L221" s="24">
        <f>M221-K221</f>
        <v>0</v>
      </c>
      <c r="M221" s="140">
        <f>820.1-820.1</f>
        <v>0</v>
      </c>
      <c r="N221" s="140">
        <v>825.3</v>
      </c>
    </row>
    <row r="222" spans="1:14" s="135" customFormat="1" ht="36" x14ac:dyDescent="0.35">
      <c r="A222" s="136"/>
      <c r="B222" s="562" t="s">
        <v>229</v>
      </c>
      <c r="C222" s="137" t="s">
        <v>414</v>
      </c>
      <c r="D222" s="138" t="s">
        <v>37</v>
      </c>
      <c r="E222" s="138" t="s">
        <v>71</v>
      </c>
      <c r="F222" s="102" t="s">
        <v>226</v>
      </c>
      <c r="G222" s="92" t="s">
        <v>89</v>
      </c>
      <c r="H222" s="92" t="s">
        <v>43</v>
      </c>
      <c r="I222" s="93" t="s">
        <v>44</v>
      </c>
      <c r="J222" s="94"/>
      <c r="K222" s="140">
        <f>K223+K234+K237</f>
        <v>25516.300000000003</v>
      </c>
      <c r="L222" s="140">
        <f>L223+L234+L237</f>
        <v>0</v>
      </c>
      <c r="M222" s="140">
        <f>M223+M234+M237</f>
        <v>25516.300000000003</v>
      </c>
      <c r="N222" s="140">
        <f>N223+N234+N237</f>
        <v>27873.000000000004</v>
      </c>
    </row>
    <row r="223" spans="1:14" s="141" customFormat="1" ht="72" x14ac:dyDescent="0.35">
      <c r="A223" s="136"/>
      <c r="B223" s="562" t="s">
        <v>301</v>
      </c>
      <c r="C223" s="137" t="s">
        <v>414</v>
      </c>
      <c r="D223" s="138" t="s">
        <v>37</v>
      </c>
      <c r="E223" s="138" t="s">
        <v>71</v>
      </c>
      <c r="F223" s="102" t="s">
        <v>226</v>
      </c>
      <c r="G223" s="92" t="s">
        <v>89</v>
      </c>
      <c r="H223" s="92" t="s">
        <v>37</v>
      </c>
      <c r="I223" s="93" t="s">
        <v>44</v>
      </c>
      <c r="J223" s="94"/>
      <c r="K223" s="140">
        <f>K224+K228+K232</f>
        <v>25503.800000000003</v>
      </c>
      <c r="L223" s="140">
        <f>L224+L228+L232</f>
        <v>0</v>
      </c>
      <c r="M223" s="140">
        <f>M224+M228+M232</f>
        <v>25503.800000000003</v>
      </c>
      <c r="N223" s="140">
        <f>N224+N228+N232</f>
        <v>27095.600000000002</v>
      </c>
    </row>
    <row r="224" spans="1:14" s="135" customFormat="1" ht="36" x14ac:dyDescent="0.35">
      <c r="A224" s="136"/>
      <c r="B224" s="562" t="s">
        <v>47</v>
      </c>
      <c r="C224" s="137" t="s">
        <v>414</v>
      </c>
      <c r="D224" s="138" t="s">
        <v>37</v>
      </c>
      <c r="E224" s="138" t="s">
        <v>71</v>
      </c>
      <c r="F224" s="145" t="s">
        <v>226</v>
      </c>
      <c r="G224" s="143" t="s">
        <v>89</v>
      </c>
      <c r="H224" s="143" t="s">
        <v>37</v>
      </c>
      <c r="I224" s="144" t="s">
        <v>48</v>
      </c>
      <c r="J224" s="94"/>
      <c r="K224" s="140">
        <f>K225+K226+K227</f>
        <v>15766.800000000001</v>
      </c>
      <c r="L224" s="140">
        <f>L225+L226+L227</f>
        <v>0</v>
      </c>
      <c r="M224" s="140">
        <f>M225+M226+M227</f>
        <v>15766.800000000001</v>
      </c>
      <c r="N224" s="140">
        <f>N225+N226+N227</f>
        <v>16119.400000000001</v>
      </c>
    </row>
    <row r="225" spans="1:14" s="141" customFormat="1" ht="108" x14ac:dyDescent="0.35">
      <c r="A225" s="136"/>
      <c r="B225" s="518" t="s">
        <v>49</v>
      </c>
      <c r="C225" s="137" t="s">
        <v>414</v>
      </c>
      <c r="D225" s="138" t="s">
        <v>37</v>
      </c>
      <c r="E225" s="138" t="s">
        <v>71</v>
      </c>
      <c r="F225" s="102" t="s">
        <v>226</v>
      </c>
      <c r="G225" s="92" t="s">
        <v>89</v>
      </c>
      <c r="H225" s="92" t="s">
        <v>37</v>
      </c>
      <c r="I225" s="93" t="s">
        <v>48</v>
      </c>
      <c r="J225" s="94" t="s">
        <v>50</v>
      </c>
      <c r="K225" s="140">
        <v>15765.6</v>
      </c>
      <c r="L225" s="24">
        <f>M225-K225</f>
        <v>0</v>
      </c>
      <c r="M225" s="140">
        <v>15765.6</v>
      </c>
      <c r="N225" s="140">
        <v>15765.6</v>
      </c>
    </row>
    <row r="226" spans="1:14" s="141" customFormat="1" ht="54" x14ac:dyDescent="0.35">
      <c r="A226" s="136"/>
      <c r="B226" s="573" t="s">
        <v>55</v>
      </c>
      <c r="C226" s="137" t="s">
        <v>414</v>
      </c>
      <c r="D226" s="138" t="s">
        <v>37</v>
      </c>
      <c r="E226" s="138" t="s">
        <v>71</v>
      </c>
      <c r="F226" s="102" t="s">
        <v>226</v>
      </c>
      <c r="G226" s="92" t="s">
        <v>89</v>
      </c>
      <c r="H226" s="92" t="s">
        <v>37</v>
      </c>
      <c r="I226" s="93" t="s">
        <v>48</v>
      </c>
      <c r="J226" s="94" t="s">
        <v>56</v>
      </c>
      <c r="K226" s="140">
        <f>352.3-352.3</f>
        <v>0</v>
      </c>
      <c r="L226" s="24">
        <f>M226-K226</f>
        <v>0</v>
      </c>
      <c r="M226" s="140">
        <f>352.3-352.3</f>
        <v>0</v>
      </c>
      <c r="N226" s="140">
        <v>352.6</v>
      </c>
    </row>
    <row r="227" spans="1:14" s="141" customFormat="1" ht="18" x14ac:dyDescent="0.35">
      <c r="A227" s="136"/>
      <c r="B227" s="562" t="s">
        <v>57</v>
      </c>
      <c r="C227" s="137" t="s">
        <v>414</v>
      </c>
      <c r="D227" s="138" t="s">
        <v>37</v>
      </c>
      <c r="E227" s="138" t="s">
        <v>71</v>
      </c>
      <c r="F227" s="102" t="s">
        <v>226</v>
      </c>
      <c r="G227" s="92" t="s">
        <v>89</v>
      </c>
      <c r="H227" s="92" t="s">
        <v>37</v>
      </c>
      <c r="I227" s="93" t="s">
        <v>48</v>
      </c>
      <c r="J227" s="94" t="s">
        <v>58</v>
      </c>
      <c r="K227" s="140">
        <v>1.2</v>
      </c>
      <c r="L227" s="24">
        <f>M227-K227</f>
        <v>0</v>
      </c>
      <c r="M227" s="140">
        <v>1.2</v>
      </c>
      <c r="N227" s="140">
        <v>1.2</v>
      </c>
    </row>
    <row r="228" spans="1:14" s="141" customFormat="1" ht="36" x14ac:dyDescent="0.35">
      <c r="A228" s="136"/>
      <c r="B228" s="596" t="s">
        <v>466</v>
      </c>
      <c r="C228" s="137" t="s">
        <v>414</v>
      </c>
      <c r="D228" s="138" t="s">
        <v>37</v>
      </c>
      <c r="E228" s="138" t="s">
        <v>71</v>
      </c>
      <c r="F228" s="102" t="s">
        <v>226</v>
      </c>
      <c r="G228" s="92" t="s">
        <v>89</v>
      </c>
      <c r="H228" s="92" t="s">
        <v>37</v>
      </c>
      <c r="I228" s="93" t="s">
        <v>91</v>
      </c>
      <c r="J228" s="94"/>
      <c r="K228" s="140">
        <f>K229+K230+K231</f>
        <v>9737</v>
      </c>
      <c r="L228" s="140">
        <f>L229+L230+L231</f>
        <v>0</v>
      </c>
      <c r="M228" s="140">
        <f>M229+M230+M231</f>
        <v>9737</v>
      </c>
      <c r="N228" s="140">
        <f>N229+N230+N231</f>
        <v>10281.799999999999</v>
      </c>
    </row>
    <row r="229" spans="1:14" s="141" customFormat="1" ht="108" x14ac:dyDescent="0.35">
      <c r="A229" s="136"/>
      <c r="B229" s="518" t="s">
        <v>49</v>
      </c>
      <c r="C229" s="137" t="s">
        <v>414</v>
      </c>
      <c r="D229" s="138" t="s">
        <v>37</v>
      </c>
      <c r="E229" s="138" t="s">
        <v>71</v>
      </c>
      <c r="F229" s="102" t="s">
        <v>226</v>
      </c>
      <c r="G229" s="92" t="s">
        <v>89</v>
      </c>
      <c r="H229" s="92" t="s">
        <v>37</v>
      </c>
      <c r="I229" s="93" t="s">
        <v>91</v>
      </c>
      <c r="J229" s="94" t="s">
        <v>50</v>
      </c>
      <c r="K229" s="140">
        <v>9628.6</v>
      </c>
      <c r="L229" s="24">
        <f>M229-K229</f>
        <v>0</v>
      </c>
      <c r="M229" s="140">
        <v>9628.6</v>
      </c>
      <c r="N229" s="140">
        <v>9628.6</v>
      </c>
    </row>
    <row r="230" spans="1:14" s="141" customFormat="1" ht="54" x14ac:dyDescent="0.35">
      <c r="A230" s="136"/>
      <c r="B230" s="573" t="s">
        <v>55</v>
      </c>
      <c r="C230" s="137" t="s">
        <v>414</v>
      </c>
      <c r="D230" s="138" t="s">
        <v>37</v>
      </c>
      <c r="E230" s="138" t="s">
        <v>71</v>
      </c>
      <c r="F230" s="145" t="s">
        <v>226</v>
      </c>
      <c r="G230" s="143" t="s">
        <v>89</v>
      </c>
      <c r="H230" s="143" t="s">
        <v>37</v>
      </c>
      <c r="I230" s="144" t="s">
        <v>91</v>
      </c>
      <c r="J230" s="94" t="s">
        <v>56</v>
      </c>
      <c r="K230" s="140">
        <f>629.6-542.7</f>
        <v>86.899999999999977</v>
      </c>
      <c r="L230" s="24">
        <f>M230-K230</f>
        <v>0</v>
      </c>
      <c r="M230" s="140">
        <f>629.6-542.7</f>
        <v>86.899999999999977</v>
      </c>
      <c r="N230" s="140">
        <v>632.9</v>
      </c>
    </row>
    <row r="231" spans="1:14" s="141" customFormat="1" ht="18" x14ac:dyDescent="0.35">
      <c r="A231" s="136"/>
      <c r="B231" s="562" t="s">
        <v>57</v>
      </c>
      <c r="C231" s="137" t="s">
        <v>414</v>
      </c>
      <c r="D231" s="138" t="s">
        <v>37</v>
      </c>
      <c r="E231" s="138" t="s">
        <v>71</v>
      </c>
      <c r="F231" s="102" t="s">
        <v>226</v>
      </c>
      <c r="G231" s="92" t="s">
        <v>89</v>
      </c>
      <c r="H231" s="92" t="s">
        <v>37</v>
      </c>
      <c r="I231" s="93" t="s">
        <v>91</v>
      </c>
      <c r="J231" s="94" t="s">
        <v>58</v>
      </c>
      <c r="K231" s="140">
        <v>21.5</v>
      </c>
      <c r="L231" s="24">
        <f>M231-K231</f>
        <v>0</v>
      </c>
      <c r="M231" s="140">
        <v>21.5</v>
      </c>
      <c r="N231" s="140">
        <v>20.3</v>
      </c>
    </row>
    <row r="232" spans="1:14" s="141" customFormat="1" ht="54" x14ac:dyDescent="0.35">
      <c r="A232" s="136"/>
      <c r="B232" s="573" t="s">
        <v>354</v>
      </c>
      <c r="C232" s="137" t="s">
        <v>414</v>
      </c>
      <c r="D232" s="138" t="s">
        <v>37</v>
      </c>
      <c r="E232" s="138" t="s">
        <v>71</v>
      </c>
      <c r="F232" s="102" t="s">
        <v>226</v>
      </c>
      <c r="G232" s="92" t="s">
        <v>89</v>
      </c>
      <c r="H232" s="92" t="s">
        <v>37</v>
      </c>
      <c r="I232" s="93" t="s">
        <v>353</v>
      </c>
      <c r="J232" s="94"/>
      <c r="K232" s="140">
        <f>K233</f>
        <v>0</v>
      </c>
      <c r="L232" s="140">
        <f>L233</f>
        <v>0</v>
      </c>
      <c r="M232" s="140">
        <f>M233</f>
        <v>0</v>
      </c>
      <c r="N232" s="140">
        <f>N233</f>
        <v>694.4</v>
      </c>
    </row>
    <row r="233" spans="1:14" s="141" customFormat="1" ht="54" x14ac:dyDescent="0.35">
      <c r="A233" s="136"/>
      <c r="B233" s="573" t="s">
        <v>55</v>
      </c>
      <c r="C233" s="137" t="s">
        <v>414</v>
      </c>
      <c r="D233" s="138" t="s">
        <v>37</v>
      </c>
      <c r="E233" s="138" t="s">
        <v>71</v>
      </c>
      <c r="F233" s="102" t="s">
        <v>226</v>
      </c>
      <c r="G233" s="92" t="s">
        <v>89</v>
      </c>
      <c r="H233" s="92" t="s">
        <v>37</v>
      </c>
      <c r="I233" s="170" t="s">
        <v>353</v>
      </c>
      <c r="J233" s="94" t="s">
        <v>56</v>
      </c>
      <c r="K233" s="140">
        <f>694.4-694.4</f>
        <v>0</v>
      </c>
      <c r="L233" s="24">
        <f>M233-K233</f>
        <v>0</v>
      </c>
      <c r="M233" s="140">
        <f>694.4-694.4</f>
        <v>0</v>
      </c>
      <c r="N233" s="140">
        <v>694.4</v>
      </c>
    </row>
    <row r="234" spans="1:14" s="141" customFormat="1" ht="36" x14ac:dyDescent="0.35">
      <c r="A234" s="136"/>
      <c r="B234" s="575" t="s">
        <v>351</v>
      </c>
      <c r="C234" s="172" t="s">
        <v>414</v>
      </c>
      <c r="D234" s="173" t="s">
        <v>37</v>
      </c>
      <c r="E234" s="173" t="s">
        <v>71</v>
      </c>
      <c r="F234" s="102" t="s">
        <v>226</v>
      </c>
      <c r="G234" s="103" t="s">
        <v>89</v>
      </c>
      <c r="H234" s="103" t="s">
        <v>39</v>
      </c>
      <c r="I234" s="104" t="s">
        <v>44</v>
      </c>
      <c r="J234" s="105"/>
      <c r="K234" s="140">
        <f t="shared" ref="K234:N235" si="38">K235</f>
        <v>0</v>
      </c>
      <c r="L234" s="140">
        <f t="shared" si="38"/>
        <v>0</v>
      </c>
      <c r="M234" s="140">
        <f t="shared" si="38"/>
        <v>0</v>
      </c>
      <c r="N234" s="140">
        <f t="shared" si="38"/>
        <v>764.9</v>
      </c>
    </row>
    <row r="235" spans="1:14" s="141" customFormat="1" ht="54" x14ac:dyDescent="0.35">
      <c r="A235" s="136"/>
      <c r="B235" s="576" t="s">
        <v>352</v>
      </c>
      <c r="C235" s="137" t="s">
        <v>414</v>
      </c>
      <c r="D235" s="138" t="s">
        <v>37</v>
      </c>
      <c r="E235" s="138" t="s">
        <v>71</v>
      </c>
      <c r="F235" s="146" t="s">
        <v>226</v>
      </c>
      <c r="G235" s="103" t="s">
        <v>89</v>
      </c>
      <c r="H235" s="103" t="s">
        <v>39</v>
      </c>
      <c r="I235" s="104" t="s">
        <v>105</v>
      </c>
      <c r="J235" s="106"/>
      <c r="K235" s="140">
        <f t="shared" si="38"/>
        <v>0</v>
      </c>
      <c r="L235" s="140">
        <f t="shared" si="38"/>
        <v>0</v>
      </c>
      <c r="M235" s="140">
        <f t="shared" si="38"/>
        <v>0</v>
      </c>
      <c r="N235" s="140">
        <f t="shared" si="38"/>
        <v>764.9</v>
      </c>
    </row>
    <row r="236" spans="1:14" s="141" customFormat="1" ht="54" x14ac:dyDescent="0.35">
      <c r="A236" s="136"/>
      <c r="B236" s="577" t="s">
        <v>55</v>
      </c>
      <c r="C236" s="137" t="s">
        <v>414</v>
      </c>
      <c r="D236" s="138" t="s">
        <v>37</v>
      </c>
      <c r="E236" s="138" t="s">
        <v>71</v>
      </c>
      <c r="F236" s="146" t="s">
        <v>226</v>
      </c>
      <c r="G236" s="108" t="s">
        <v>89</v>
      </c>
      <c r="H236" s="108" t="s">
        <v>39</v>
      </c>
      <c r="I236" s="179" t="s">
        <v>105</v>
      </c>
      <c r="J236" s="180" t="s">
        <v>56</v>
      </c>
      <c r="K236" s="140">
        <f>764.9-764.9</f>
        <v>0</v>
      </c>
      <c r="L236" s="24">
        <f>M236-K236</f>
        <v>0</v>
      </c>
      <c r="M236" s="140">
        <f>764.9-764.9</f>
        <v>0</v>
      </c>
      <c r="N236" s="140">
        <v>764.9</v>
      </c>
    </row>
    <row r="237" spans="1:14" s="141" customFormat="1" ht="36" x14ac:dyDescent="0.35">
      <c r="A237" s="136"/>
      <c r="B237" s="578" t="s">
        <v>374</v>
      </c>
      <c r="C237" s="137" t="s">
        <v>414</v>
      </c>
      <c r="D237" s="138" t="s">
        <v>37</v>
      </c>
      <c r="E237" s="138" t="s">
        <v>71</v>
      </c>
      <c r="F237" s="146" t="s">
        <v>226</v>
      </c>
      <c r="G237" s="103" t="s">
        <v>89</v>
      </c>
      <c r="H237" s="103" t="s">
        <v>63</v>
      </c>
      <c r="I237" s="104" t="s">
        <v>44</v>
      </c>
      <c r="J237" s="106"/>
      <c r="K237" s="140">
        <f t="shared" ref="K237:N238" si="39">K238</f>
        <v>12.5</v>
      </c>
      <c r="L237" s="140">
        <f t="shared" si="39"/>
        <v>0</v>
      </c>
      <c r="M237" s="140">
        <f t="shared" si="39"/>
        <v>12.5</v>
      </c>
      <c r="N237" s="140">
        <f t="shared" si="39"/>
        <v>12.5</v>
      </c>
    </row>
    <row r="238" spans="1:14" s="141" customFormat="1" ht="36" x14ac:dyDescent="0.35">
      <c r="A238" s="136"/>
      <c r="B238" s="578" t="s">
        <v>337</v>
      </c>
      <c r="C238" s="137" t="s">
        <v>414</v>
      </c>
      <c r="D238" s="138" t="s">
        <v>37</v>
      </c>
      <c r="E238" s="138" t="s">
        <v>71</v>
      </c>
      <c r="F238" s="107" t="s">
        <v>226</v>
      </c>
      <c r="G238" s="108" t="s">
        <v>89</v>
      </c>
      <c r="H238" s="108" t="s">
        <v>63</v>
      </c>
      <c r="I238" s="179" t="s">
        <v>336</v>
      </c>
      <c r="J238" s="106"/>
      <c r="K238" s="140">
        <f t="shared" si="39"/>
        <v>12.5</v>
      </c>
      <c r="L238" s="140">
        <f t="shared" si="39"/>
        <v>0</v>
      </c>
      <c r="M238" s="140">
        <f t="shared" si="39"/>
        <v>12.5</v>
      </c>
      <c r="N238" s="140">
        <f t="shared" si="39"/>
        <v>12.5</v>
      </c>
    </row>
    <row r="239" spans="1:14" s="141" customFormat="1" ht="18" x14ac:dyDescent="0.35">
      <c r="A239" s="136"/>
      <c r="B239" s="562" t="s">
        <v>57</v>
      </c>
      <c r="C239" s="182" t="s">
        <v>414</v>
      </c>
      <c r="D239" s="138" t="s">
        <v>37</v>
      </c>
      <c r="E239" s="138" t="s">
        <v>71</v>
      </c>
      <c r="F239" s="102" t="s">
        <v>226</v>
      </c>
      <c r="G239" s="103" t="s">
        <v>89</v>
      </c>
      <c r="H239" s="103" t="s">
        <v>63</v>
      </c>
      <c r="I239" s="104" t="s">
        <v>336</v>
      </c>
      <c r="J239" s="106" t="s">
        <v>58</v>
      </c>
      <c r="K239" s="140">
        <v>12.5</v>
      </c>
      <c r="L239" s="24">
        <f>M239-K239</f>
        <v>0</v>
      </c>
      <c r="M239" s="140">
        <v>12.5</v>
      </c>
      <c r="N239" s="140">
        <v>12.5</v>
      </c>
    </row>
    <row r="240" spans="1:14" s="141" customFormat="1" ht="36" x14ac:dyDescent="0.35">
      <c r="A240" s="136"/>
      <c r="B240" s="547" t="s">
        <v>339</v>
      </c>
      <c r="C240" s="505" t="s">
        <v>414</v>
      </c>
      <c r="D240" s="496" t="s">
        <v>37</v>
      </c>
      <c r="E240" s="496" t="s">
        <v>71</v>
      </c>
      <c r="F240" s="396" t="s">
        <v>79</v>
      </c>
      <c r="G240" s="397" t="s">
        <v>45</v>
      </c>
      <c r="H240" s="397" t="s">
        <v>43</v>
      </c>
      <c r="I240" s="398" t="s">
        <v>44</v>
      </c>
      <c r="J240" s="399"/>
      <c r="K240" s="140">
        <f t="shared" ref="K240:N242" si="40">K241</f>
        <v>50.2</v>
      </c>
      <c r="L240" s="140">
        <f t="shared" si="40"/>
        <v>-1.4800000000001035E-2</v>
      </c>
      <c r="M240" s="140">
        <f t="shared" si="40"/>
        <v>50.185200000000002</v>
      </c>
      <c r="N240" s="140">
        <f t="shared" si="40"/>
        <v>50.185200000000002</v>
      </c>
    </row>
    <row r="241" spans="1:14" s="141" customFormat="1" ht="90" x14ac:dyDescent="0.35">
      <c r="A241" s="136"/>
      <c r="B241" s="547" t="s">
        <v>300</v>
      </c>
      <c r="C241" s="505" t="s">
        <v>414</v>
      </c>
      <c r="D241" s="496" t="s">
        <v>37</v>
      </c>
      <c r="E241" s="496" t="s">
        <v>71</v>
      </c>
      <c r="F241" s="396" t="s">
        <v>79</v>
      </c>
      <c r="G241" s="397" t="s">
        <v>45</v>
      </c>
      <c r="H241" s="397" t="s">
        <v>39</v>
      </c>
      <c r="I241" s="398" t="s">
        <v>44</v>
      </c>
      <c r="J241" s="399"/>
      <c r="K241" s="140">
        <f t="shared" si="40"/>
        <v>50.2</v>
      </c>
      <c r="L241" s="140">
        <f t="shared" si="40"/>
        <v>-1.4800000000001035E-2</v>
      </c>
      <c r="M241" s="140">
        <f t="shared" si="40"/>
        <v>50.185200000000002</v>
      </c>
      <c r="N241" s="140">
        <f t="shared" si="40"/>
        <v>50.185200000000002</v>
      </c>
    </row>
    <row r="242" spans="1:14" s="141" customFormat="1" ht="108" x14ac:dyDescent="0.35">
      <c r="A242" s="136"/>
      <c r="B242" s="544" t="s">
        <v>416</v>
      </c>
      <c r="C242" s="495" t="s">
        <v>414</v>
      </c>
      <c r="D242" s="496" t="s">
        <v>37</v>
      </c>
      <c r="E242" s="496" t="s">
        <v>71</v>
      </c>
      <c r="F242" s="353" t="s">
        <v>79</v>
      </c>
      <c r="G242" s="354" t="s">
        <v>45</v>
      </c>
      <c r="H242" s="354" t="s">
        <v>39</v>
      </c>
      <c r="I242" s="355" t="s">
        <v>417</v>
      </c>
      <c r="J242" s="356"/>
      <c r="K242" s="140">
        <f t="shared" si="40"/>
        <v>50.2</v>
      </c>
      <c r="L242" s="140">
        <f t="shared" si="40"/>
        <v>-1.4800000000001035E-2</v>
      </c>
      <c r="M242" s="140">
        <f t="shared" si="40"/>
        <v>50.185200000000002</v>
      </c>
      <c r="N242" s="140">
        <f t="shared" si="40"/>
        <v>50.185200000000002</v>
      </c>
    </row>
    <row r="243" spans="1:14" s="141" customFormat="1" ht="54" x14ac:dyDescent="0.35">
      <c r="A243" s="136"/>
      <c r="B243" s="547" t="s">
        <v>55</v>
      </c>
      <c r="C243" s="495" t="s">
        <v>414</v>
      </c>
      <c r="D243" s="496" t="s">
        <v>37</v>
      </c>
      <c r="E243" s="496" t="s">
        <v>71</v>
      </c>
      <c r="F243" s="353" t="s">
        <v>79</v>
      </c>
      <c r="G243" s="354" t="s">
        <v>45</v>
      </c>
      <c r="H243" s="354" t="s">
        <v>39</v>
      </c>
      <c r="I243" s="355" t="s">
        <v>417</v>
      </c>
      <c r="J243" s="506" t="s">
        <v>56</v>
      </c>
      <c r="K243" s="140">
        <v>50.2</v>
      </c>
      <c r="L243" s="24">
        <f>M243-K243</f>
        <v>-1.4800000000001035E-2</v>
      </c>
      <c r="M243" s="140">
        <f>50.2-0.0148</f>
        <v>50.185200000000002</v>
      </c>
      <c r="N243" s="140">
        <f>50.2-0.0148</f>
        <v>50.185200000000002</v>
      </c>
    </row>
    <row r="244" spans="1:14" s="141" customFormat="1" ht="54" x14ac:dyDescent="0.35">
      <c r="A244" s="136"/>
      <c r="B244" s="579" t="s">
        <v>40</v>
      </c>
      <c r="C244" s="137" t="s">
        <v>414</v>
      </c>
      <c r="D244" s="138" t="s">
        <v>37</v>
      </c>
      <c r="E244" s="138" t="s">
        <v>71</v>
      </c>
      <c r="F244" s="146" t="s">
        <v>41</v>
      </c>
      <c r="G244" s="92" t="s">
        <v>42</v>
      </c>
      <c r="H244" s="92" t="s">
        <v>43</v>
      </c>
      <c r="I244" s="93" t="s">
        <v>44</v>
      </c>
      <c r="J244" s="94"/>
      <c r="K244" s="140">
        <f t="shared" ref="K244:N246" si="41">K245</f>
        <v>6361.2</v>
      </c>
      <c r="L244" s="140">
        <f t="shared" si="41"/>
        <v>0</v>
      </c>
      <c r="M244" s="140">
        <f t="shared" si="41"/>
        <v>6361.2</v>
      </c>
      <c r="N244" s="140">
        <f t="shared" si="41"/>
        <v>6365.0999999999995</v>
      </c>
    </row>
    <row r="245" spans="1:14" s="141" customFormat="1" ht="36" x14ac:dyDescent="0.35">
      <c r="A245" s="136"/>
      <c r="B245" s="573" t="s">
        <v>339</v>
      </c>
      <c r="C245" s="137" t="s">
        <v>414</v>
      </c>
      <c r="D245" s="138" t="s">
        <v>37</v>
      </c>
      <c r="E245" s="138" t="s">
        <v>71</v>
      </c>
      <c r="F245" s="102" t="s">
        <v>41</v>
      </c>
      <c r="G245" s="92" t="s">
        <v>45</v>
      </c>
      <c r="H245" s="92" t="s">
        <v>43</v>
      </c>
      <c r="I245" s="93" t="s">
        <v>44</v>
      </c>
      <c r="J245" s="94"/>
      <c r="K245" s="140">
        <f t="shared" si="41"/>
        <v>6361.2</v>
      </c>
      <c r="L245" s="140">
        <f t="shared" si="41"/>
        <v>0</v>
      </c>
      <c r="M245" s="140">
        <f t="shared" si="41"/>
        <v>6361.2</v>
      </c>
      <c r="N245" s="140">
        <f t="shared" si="41"/>
        <v>6365.0999999999995</v>
      </c>
    </row>
    <row r="246" spans="1:14" s="141" customFormat="1" ht="72" x14ac:dyDescent="0.35">
      <c r="A246" s="136"/>
      <c r="B246" s="562" t="s">
        <v>299</v>
      </c>
      <c r="C246" s="137" t="s">
        <v>414</v>
      </c>
      <c r="D246" s="138" t="s">
        <v>37</v>
      </c>
      <c r="E246" s="138" t="s">
        <v>71</v>
      </c>
      <c r="F246" s="102" t="s">
        <v>41</v>
      </c>
      <c r="G246" s="92" t="s">
        <v>45</v>
      </c>
      <c r="H246" s="92" t="s">
        <v>81</v>
      </c>
      <c r="I246" s="93" t="s">
        <v>44</v>
      </c>
      <c r="J246" s="94"/>
      <c r="K246" s="140">
        <f t="shared" si="41"/>
        <v>6361.2</v>
      </c>
      <c r="L246" s="140">
        <f t="shared" si="41"/>
        <v>0</v>
      </c>
      <c r="M246" s="140">
        <f t="shared" si="41"/>
        <v>6361.2</v>
      </c>
      <c r="N246" s="140">
        <f t="shared" si="41"/>
        <v>6365.0999999999995</v>
      </c>
    </row>
    <row r="247" spans="1:14" s="141" customFormat="1" ht="36" x14ac:dyDescent="0.35">
      <c r="A247" s="136"/>
      <c r="B247" s="596" t="s">
        <v>466</v>
      </c>
      <c r="C247" s="137" t="s">
        <v>414</v>
      </c>
      <c r="D247" s="138" t="s">
        <v>37</v>
      </c>
      <c r="E247" s="138" t="s">
        <v>71</v>
      </c>
      <c r="F247" s="102" t="s">
        <v>41</v>
      </c>
      <c r="G247" s="92" t="s">
        <v>45</v>
      </c>
      <c r="H247" s="92" t="s">
        <v>81</v>
      </c>
      <c r="I247" s="93" t="s">
        <v>91</v>
      </c>
      <c r="J247" s="94"/>
      <c r="K247" s="140">
        <f>K248+K249</f>
        <v>6361.2</v>
      </c>
      <c r="L247" s="140">
        <f>L248+L249</f>
        <v>0</v>
      </c>
      <c r="M247" s="140">
        <f>M248+M249</f>
        <v>6361.2</v>
      </c>
      <c r="N247" s="140">
        <f>N248+N249</f>
        <v>6365.0999999999995</v>
      </c>
    </row>
    <row r="248" spans="1:14" s="141" customFormat="1" ht="108" x14ac:dyDescent="0.35">
      <c r="A248" s="136"/>
      <c r="B248" s="518" t="s">
        <v>49</v>
      </c>
      <c r="C248" s="137" t="s">
        <v>414</v>
      </c>
      <c r="D248" s="138" t="s">
        <v>37</v>
      </c>
      <c r="E248" s="138" t="s">
        <v>71</v>
      </c>
      <c r="F248" s="102" t="s">
        <v>41</v>
      </c>
      <c r="G248" s="92" t="s">
        <v>45</v>
      </c>
      <c r="H248" s="92" t="s">
        <v>81</v>
      </c>
      <c r="I248" s="93" t="s">
        <v>91</v>
      </c>
      <c r="J248" s="94" t="s">
        <v>50</v>
      </c>
      <c r="K248" s="140">
        <v>5898.7</v>
      </c>
      <c r="L248" s="24">
        <f>M248-K248</f>
        <v>0</v>
      </c>
      <c r="M248" s="140">
        <v>5898.7</v>
      </c>
      <c r="N248" s="140">
        <v>5898.7</v>
      </c>
    </row>
    <row r="249" spans="1:14" s="141" customFormat="1" ht="54" x14ac:dyDescent="0.35">
      <c r="A249" s="136"/>
      <c r="B249" s="573" t="s">
        <v>55</v>
      </c>
      <c r="C249" s="137" t="s">
        <v>414</v>
      </c>
      <c r="D249" s="138" t="s">
        <v>37</v>
      </c>
      <c r="E249" s="138" t="s">
        <v>71</v>
      </c>
      <c r="F249" s="102" t="s">
        <v>41</v>
      </c>
      <c r="G249" s="92" t="s">
        <v>45</v>
      </c>
      <c r="H249" s="92" t="s">
        <v>81</v>
      </c>
      <c r="I249" s="93" t="s">
        <v>91</v>
      </c>
      <c r="J249" s="94" t="s">
        <v>56</v>
      </c>
      <c r="K249" s="206">
        <v>462.5</v>
      </c>
      <c r="L249" s="24">
        <f>M249-K249</f>
        <v>0</v>
      </c>
      <c r="M249" s="206">
        <v>462.5</v>
      </c>
      <c r="N249" s="206">
        <v>466.4</v>
      </c>
    </row>
    <row r="250" spans="1:14" s="141" customFormat="1" ht="18" x14ac:dyDescent="0.35">
      <c r="A250" s="136"/>
      <c r="B250" s="562" t="s">
        <v>177</v>
      </c>
      <c r="C250" s="137" t="s">
        <v>414</v>
      </c>
      <c r="D250" s="138" t="s">
        <v>65</v>
      </c>
      <c r="E250" s="138"/>
      <c r="F250" s="91"/>
      <c r="G250" s="92"/>
      <c r="H250" s="92"/>
      <c r="I250" s="113"/>
      <c r="J250" s="94"/>
      <c r="K250" s="268">
        <f t="shared" ref="K250:N255" si="42">K251</f>
        <v>63486.700000000004</v>
      </c>
      <c r="L250" s="24">
        <f t="shared" si="42"/>
        <v>0</v>
      </c>
      <c r="M250" s="268">
        <f t="shared" si="42"/>
        <v>63486.700000000004</v>
      </c>
      <c r="N250" s="268">
        <f t="shared" si="42"/>
        <v>0</v>
      </c>
    </row>
    <row r="251" spans="1:14" s="141" customFormat="1" ht="18" x14ac:dyDescent="0.35">
      <c r="A251" s="136"/>
      <c r="B251" s="562" t="s">
        <v>333</v>
      </c>
      <c r="C251" s="137" t="s">
        <v>414</v>
      </c>
      <c r="D251" s="138" t="s">
        <v>65</v>
      </c>
      <c r="E251" s="138" t="s">
        <v>39</v>
      </c>
      <c r="F251" s="91"/>
      <c r="G251" s="92"/>
      <c r="H251" s="92"/>
      <c r="I251" s="113"/>
      <c r="J251" s="94"/>
      <c r="K251" s="268">
        <f t="shared" si="42"/>
        <v>63486.700000000004</v>
      </c>
      <c r="L251" s="24">
        <f t="shared" si="42"/>
        <v>0</v>
      </c>
      <c r="M251" s="268">
        <f t="shared" si="42"/>
        <v>63486.700000000004</v>
      </c>
      <c r="N251" s="268">
        <f t="shared" si="42"/>
        <v>0</v>
      </c>
    </row>
    <row r="252" spans="1:14" s="141" customFormat="1" ht="72" x14ac:dyDescent="0.35">
      <c r="A252" s="136"/>
      <c r="B252" s="583" t="s">
        <v>332</v>
      </c>
      <c r="C252" s="137" t="s">
        <v>414</v>
      </c>
      <c r="D252" s="138" t="s">
        <v>65</v>
      </c>
      <c r="E252" s="138" t="s">
        <v>39</v>
      </c>
      <c r="F252" s="91" t="s">
        <v>104</v>
      </c>
      <c r="G252" s="92" t="s">
        <v>42</v>
      </c>
      <c r="H252" s="92" t="s">
        <v>43</v>
      </c>
      <c r="I252" s="113" t="s">
        <v>44</v>
      </c>
      <c r="J252" s="94"/>
      <c r="K252" s="268">
        <f t="shared" si="42"/>
        <v>63486.700000000004</v>
      </c>
      <c r="L252" s="24">
        <f t="shared" si="42"/>
        <v>0</v>
      </c>
      <c r="M252" s="268">
        <f t="shared" si="42"/>
        <v>63486.700000000004</v>
      </c>
      <c r="N252" s="268">
        <f t="shared" si="42"/>
        <v>0</v>
      </c>
    </row>
    <row r="253" spans="1:14" s="141" customFormat="1" ht="54" x14ac:dyDescent="0.35">
      <c r="A253" s="136"/>
      <c r="B253" s="573" t="s">
        <v>334</v>
      </c>
      <c r="C253" s="137" t="s">
        <v>414</v>
      </c>
      <c r="D253" s="138" t="s">
        <v>65</v>
      </c>
      <c r="E253" s="138" t="s">
        <v>39</v>
      </c>
      <c r="F253" s="91" t="s">
        <v>104</v>
      </c>
      <c r="G253" s="92" t="s">
        <v>45</v>
      </c>
      <c r="H253" s="92" t="s">
        <v>43</v>
      </c>
      <c r="I253" s="113" t="s">
        <v>44</v>
      </c>
      <c r="J253" s="94"/>
      <c r="K253" s="268">
        <f t="shared" si="42"/>
        <v>63486.700000000004</v>
      </c>
      <c r="L253" s="24">
        <f t="shared" si="42"/>
        <v>0</v>
      </c>
      <c r="M253" s="268">
        <f t="shared" si="42"/>
        <v>63486.700000000004</v>
      </c>
      <c r="N253" s="268">
        <f t="shared" si="42"/>
        <v>0</v>
      </c>
    </row>
    <row r="254" spans="1:14" s="141" customFormat="1" ht="54" x14ac:dyDescent="0.35">
      <c r="A254" s="136"/>
      <c r="B254" s="573" t="s">
        <v>373</v>
      </c>
      <c r="C254" s="137" t="s">
        <v>414</v>
      </c>
      <c r="D254" s="138" t="s">
        <v>65</v>
      </c>
      <c r="E254" s="138" t="s">
        <v>39</v>
      </c>
      <c r="F254" s="91" t="s">
        <v>104</v>
      </c>
      <c r="G254" s="92" t="s">
        <v>45</v>
      </c>
      <c r="H254" s="92" t="s">
        <v>37</v>
      </c>
      <c r="I254" s="113" t="s">
        <v>44</v>
      </c>
      <c r="J254" s="94"/>
      <c r="K254" s="268">
        <f t="shared" si="42"/>
        <v>63486.700000000004</v>
      </c>
      <c r="L254" s="24">
        <f t="shared" si="42"/>
        <v>0</v>
      </c>
      <c r="M254" s="268">
        <f t="shared" si="42"/>
        <v>63486.700000000004</v>
      </c>
      <c r="N254" s="268">
        <f t="shared" si="42"/>
        <v>0</v>
      </c>
    </row>
    <row r="255" spans="1:14" s="141" customFormat="1" ht="72" x14ac:dyDescent="0.35">
      <c r="A255" s="136"/>
      <c r="B255" s="573" t="s">
        <v>502</v>
      </c>
      <c r="C255" s="137" t="s">
        <v>414</v>
      </c>
      <c r="D255" s="138" t="s">
        <v>65</v>
      </c>
      <c r="E255" s="138" t="s">
        <v>39</v>
      </c>
      <c r="F255" s="91" t="s">
        <v>104</v>
      </c>
      <c r="G255" s="92" t="s">
        <v>45</v>
      </c>
      <c r="H255" s="92" t="s">
        <v>37</v>
      </c>
      <c r="I255" s="113" t="s">
        <v>415</v>
      </c>
      <c r="J255" s="94"/>
      <c r="K255" s="268">
        <f t="shared" si="42"/>
        <v>63486.700000000004</v>
      </c>
      <c r="L255" s="24">
        <f t="shared" si="42"/>
        <v>0</v>
      </c>
      <c r="M255" s="268">
        <f t="shared" si="42"/>
        <v>63486.700000000004</v>
      </c>
      <c r="N255" s="268">
        <f t="shared" si="42"/>
        <v>0</v>
      </c>
    </row>
    <row r="256" spans="1:14" s="141" customFormat="1" ht="54" x14ac:dyDescent="0.35">
      <c r="A256" s="136"/>
      <c r="B256" s="573" t="s">
        <v>203</v>
      </c>
      <c r="C256" s="137" t="s">
        <v>414</v>
      </c>
      <c r="D256" s="138" t="s">
        <v>65</v>
      </c>
      <c r="E256" s="138" t="s">
        <v>39</v>
      </c>
      <c r="F256" s="91" t="s">
        <v>104</v>
      </c>
      <c r="G256" s="92" t="s">
        <v>45</v>
      </c>
      <c r="H256" s="92" t="s">
        <v>37</v>
      </c>
      <c r="I256" s="113" t="s">
        <v>415</v>
      </c>
      <c r="J256" s="94" t="s">
        <v>204</v>
      </c>
      <c r="K256" s="268">
        <f>3174.4+60312.3</f>
        <v>63486.700000000004</v>
      </c>
      <c r="L256" s="24">
        <f>M256-K256</f>
        <v>0</v>
      </c>
      <c r="M256" s="268">
        <f>3174.4+60312.3</f>
        <v>63486.700000000004</v>
      </c>
      <c r="N256" s="268">
        <v>0</v>
      </c>
    </row>
    <row r="257" spans="1:14" s="141" customFormat="1" ht="18" x14ac:dyDescent="0.35">
      <c r="A257" s="136"/>
      <c r="B257" s="584" t="s">
        <v>179</v>
      </c>
      <c r="C257" s="137" t="s">
        <v>414</v>
      </c>
      <c r="D257" s="138" t="s">
        <v>224</v>
      </c>
      <c r="E257" s="138"/>
      <c r="F257" s="91"/>
      <c r="G257" s="92"/>
      <c r="H257" s="92"/>
      <c r="I257" s="113"/>
      <c r="J257" s="94"/>
      <c r="K257" s="24">
        <f>K258+K264</f>
        <v>18881.100000000002</v>
      </c>
      <c r="L257" s="24">
        <f>L258+L264</f>
        <v>0</v>
      </c>
      <c r="M257" s="24">
        <f>M258+M264</f>
        <v>18881.100000000002</v>
      </c>
      <c r="N257" s="24">
        <f>N258+N264</f>
        <v>838</v>
      </c>
    </row>
    <row r="258" spans="1:14" s="141" customFormat="1" ht="18" x14ac:dyDescent="0.35">
      <c r="A258" s="136"/>
      <c r="B258" s="584" t="s">
        <v>181</v>
      </c>
      <c r="C258" s="137" t="s">
        <v>414</v>
      </c>
      <c r="D258" s="138" t="s">
        <v>224</v>
      </c>
      <c r="E258" s="138" t="s">
        <v>37</v>
      </c>
      <c r="F258" s="91"/>
      <c r="G258" s="92"/>
      <c r="H258" s="92"/>
      <c r="I258" s="93"/>
      <c r="J258" s="94"/>
      <c r="K258" s="280">
        <f t="shared" ref="K258:N260" si="43">K259</f>
        <v>50.5</v>
      </c>
      <c r="L258" s="280">
        <f t="shared" si="43"/>
        <v>0</v>
      </c>
      <c r="M258" s="280">
        <f t="shared" si="43"/>
        <v>50.5</v>
      </c>
      <c r="N258" s="140">
        <f t="shared" si="43"/>
        <v>0</v>
      </c>
    </row>
    <row r="259" spans="1:14" s="141" customFormat="1" ht="54" x14ac:dyDescent="0.35">
      <c r="A259" s="136"/>
      <c r="B259" s="584" t="s">
        <v>438</v>
      </c>
      <c r="C259" s="137" t="s">
        <v>414</v>
      </c>
      <c r="D259" s="138" t="s">
        <v>224</v>
      </c>
      <c r="E259" s="138" t="s">
        <v>37</v>
      </c>
      <c r="F259" s="91" t="s">
        <v>39</v>
      </c>
      <c r="G259" s="92" t="s">
        <v>42</v>
      </c>
      <c r="H259" s="92" t="s">
        <v>43</v>
      </c>
      <c r="I259" s="93" t="s">
        <v>44</v>
      </c>
      <c r="J259" s="94"/>
      <c r="K259" s="280">
        <f t="shared" si="43"/>
        <v>50.5</v>
      </c>
      <c r="L259" s="280">
        <f t="shared" si="43"/>
        <v>0</v>
      </c>
      <c r="M259" s="280">
        <f t="shared" si="43"/>
        <v>50.5</v>
      </c>
      <c r="N259" s="140">
        <f t="shared" si="43"/>
        <v>0</v>
      </c>
    </row>
    <row r="260" spans="1:14" s="141" customFormat="1" ht="36" x14ac:dyDescent="0.35">
      <c r="A260" s="136"/>
      <c r="B260" s="584" t="s">
        <v>206</v>
      </c>
      <c r="C260" s="137" t="s">
        <v>414</v>
      </c>
      <c r="D260" s="138" t="s">
        <v>224</v>
      </c>
      <c r="E260" s="138" t="s">
        <v>37</v>
      </c>
      <c r="F260" s="91" t="s">
        <v>39</v>
      </c>
      <c r="G260" s="92" t="s">
        <v>45</v>
      </c>
      <c r="H260" s="92" t="s">
        <v>43</v>
      </c>
      <c r="I260" s="93" t="s">
        <v>44</v>
      </c>
      <c r="J260" s="94"/>
      <c r="K260" s="280">
        <f t="shared" si="43"/>
        <v>50.5</v>
      </c>
      <c r="L260" s="280">
        <f t="shared" si="43"/>
        <v>0</v>
      </c>
      <c r="M260" s="280">
        <f t="shared" si="43"/>
        <v>50.5</v>
      </c>
      <c r="N260" s="140">
        <f t="shared" si="43"/>
        <v>0</v>
      </c>
    </row>
    <row r="261" spans="1:14" s="141" customFormat="1" ht="36" x14ac:dyDescent="0.35">
      <c r="A261" s="136"/>
      <c r="B261" s="584" t="s">
        <v>267</v>
      </c>
      <c r="C261" s="137" t="s">
        <v>414</v>
      </c>
      <c r="D261" s="138" t="s">
        <v>224</v>
      </c>
      <c r="E261" s="138" t="s">
        <v>37</v>
      </c>
      <c r="F261" s="91" t="s">
        <v>39</v>
      </c>
      <c r="G261" s="92" t="s">
        <v>45</v>
      </c>
      <c r="H261" s="92" t="s">
        <v>37</v>
      </c>
      <c r="I261" s="113" t="s">
        <v>44</v>
      </c>
      <c r="J261" s="94"/>
      <c r="K261" s="280">
        <f t="shared" ref="K261:N262" si="44">K262</f>
        <v>50.5</v>
      </c>
      <c r="L261" s="280">
        <f t="shared" si="44"/>
        <v>0</v>
      </c>
      <c r="M261" s="280">
        <f t="shared" si="44"/>
        <v>50.5</v>
      </c>
      <c r="N261" s="280">
        <f t="shared" si="44"/>
        <v>0</v>
      </c>
    </row>
    <row r="262" spans="1:14" s="141" customFormat="1" ht="36" x14ac:dyDescent="0.35">
      <c r="A262" s="136"/>
      <c r="B262" s="518" t="s">
        <v>208</v>
      </c>
      <c r="C262" s="137" t="s">
        <v>414</v>
      </c>
      <c r="D262" s="138" t="s">
        <v>224</v>
      </c>
      <c r="E262" s="138" t="s">
        <v>37</v>
      </c>
      <c r="F262" s="91" t="s">
        <v>39</v>
      </c>
      <c r="G262" s="92" t="s">
        <v>45</v>
      </c>
      <c r="H262" s="92" t="s">
        <v>37</v>
      </c>
      <c r="I262" s="113" t="s">
        <v>274</v>
      </c>
      <c r="J262" s="94"/>
      <c r="K262" s="450">
        <f t="shared" si="44"/>
        <v>50.5</v>
      </c>
      <c r="L262" s="450">
        <f t="shared" si="44"/>
        <v>0</v>
      </c>
      <c r="M262" s="450">
        <f t="shared" si="44"/>
        <v>50.5</v>
      </c>
      <c r="N262" s="280">
        <f t="shared" si="44"/>
        <v>0</v>
      </c>
    </row>
    <row r="263" spans="1:14" s="141" customFormat="1" ht="54" x14ac:dyDescent="0.35">
      <c r="A263" s="136"/>
      <c r="B263" s="584" t="s">
        <v>203</v>
      </c>
      <c r="C263" s="137" t="s">
        <v>414</v>
      </c>
      <c r="D263" s="138" t="s">
        <v>224</v>
      </c>
      <c r="E263" s="138" t="s">
        <v>37</v>
      </c>
      <c r="F263" s="91" t="s">
        <v>39</v>
      </c>
      <c r="G263" s="92" t="s">
        <v>45</v>
      </c>
      <c r="H263" s="92" t="s">
        <v>37</v>
      </c>
      <c r="I263" s="113" t="s">
        <v>274</v>
      </c>
      <c r="J263" s="139" t="s">
        <v>204</v>
      </c>
      <c r="K263" s="268">
        <v>50.5</v>
      </c>
      <c r="L263" s="24">
        <f>M263-K263</f>
        <v>0</v>
      </c>
      <c r="M263" s="268">
        <v>50.5</v>
      </c>
      <c r="N263" s="280">
        <v>0</v>
      </c>
    </row>
    <row r="264" spans="1:14" s="141" customFormat="1" ht="18" x14ac:dyDescent="0.35">
      <c r="A264" s="136"/>
      <c r="B264" s="584" t="s">
        <v>183</v>
      </c>
      <c r="C264" s="137" t="s">
        <v>414</v>
      </c>
      <c r="D264" s="138" t="s">
        <v>224</v>
      </c>
      <c r="E264" s="138" t="s">
        <v>39</v>
      </c>
      <c r="F264" s="91"/>
      <c r="G264" s="92"/>
      <c r="H264" s="92"/>
      <c r="I264" s="113"/>
      <c r="J264" s="94"/>
      <c r="K264" s="451">
        <f t="shared" ref="K264:N268" si="45">K265</f>
        <v>18830.600000000002</v>
      </c>
      <c r="L264" s="451">
        <f t="shared" si="45"/>
        <v>0</v>
      </c>
      <c r="M264" s="451">
        <f t="shared" si="45"/>
        <v>18830.600000000002</v>
      </c>
      <c r="N264" s="451">
        <f t="shared" si="45"/>
        <v>838</v>
      </c>
    </row>
    <row r="265" spans="1:14" s="141" customFormat="1" ht="54" x14ac:dyDescent="0.35">
      <c r="A265" s="136"/>
      <c r="B265" s="584" t="s">
        <v>205</v>
      </c>
      <c r="C265" s="137" t="s">
        <v>414</v>
      </c>
      <c r="D265" s="138" t="s">
        <v>224</v>
      </c>
      <c r="E265" s="138" t="s">
        <v>39</v>
      </c>
      <c r="F265" s="91" t="s">
        <v>39</v>
      </c>
      <c r="G265" s="92" t="s">
        <v>42</v>
      </c>
      <c r="H265" s="92" t="s">
        <v>43</v>
      </c>
      <c r="I265" s="93" t="s">
        <v>44</v>
      </c>
      <c r="J265" s="94"/>
      <c r="K265" s="280">
        <f t="shared" si="45"/>
        <v>18830.600000000002</v>
      </c>
      <c r="L265" s="280">
        <f>L266</f>
        <v>0</v>
      </c>
      <c r="M265" s="280">
        <f t="shared" si="45"/>
        <v>18830.600000000002</v>
      </c>
      <c r="N265" s="280">
        <f t="shared" si="45"/>
        <v>838</v>
      </c>
    </row>
    <row r="266" spans="1:14" s="141" customFormat="1" ht="36" x14ac:dyDescent="0.35">
      <c r="A266" s="136"/>
      <c r="B266" s="584" t="s">
        <v>206</v>
      </c>
      <c r="C266" s="137" t="s">
        <v>414</v>
      </c>
      <c r="D266" s="138" t="s">
        <v>224</v>
      </c>
      <c r="E266" s="138" t="s">
        <v>39</v>
      </c>
      <c r="F266" s="91" t="s">
        <v>39</v>
      </c>
      <c r="G266" s="92" t="s">
        <v>45</v>
      </c>
      <c r="H266" s="92" t="s">
        <v>43</v>
      </c>
      <c r="I266" s="93" t="s">
        <v>44</v>
      </c>
      <c r="J266" s="94"/>
      <c r="K266" s="280">
        <f t="shared" si="45"/>
        <v>18830.600000000002</v>
      </c>
      <c r="L266" s="280">
        <f>L267</f>
        <v>0</v>
      </c>
      <c r="M266" s="280">
        <f t="shared" si="45"/>
        <v>18830.600000000002</v>
      </c>
      <c r="N266" s="280">
        <f t="shared" si="45"/>
        <v>838</v>
      </c>
    </row>
    <row r="267" spans="1:14" s="141" customFormat="1" ht="18" x14ac:dyDescent="0.35">
      <c r="A267" s="136"/>
      <c r="B267" s="584" t="s">
        <v>272</v>
      </c>
      <c r="C267" s="137" t="s">
        <v>414</v>
      </c>
      <c r="D267" s="138" t="s">
        <v>224</v>
      </c>
      <c r="E267" s="138" t="s">
        <v>39</v>
      </c>
      <c r="F267" s="91" t="s">
        <v>39</v>
      </c>
      <c r="G267" s="92" t="s">
        <v>45</v>
      </c>
      <c r="H267" s="92" t="s">
        <v>39</v>
      </c>
      <c r="I267" s="93" t="s">
        <v>44</v>
      </c>
      <c r="J267" s="94"/>
      <c r="K267" s="280">
        <f>K268+K270</f>
        <v>18830.600000000002</v>
      </c>
      <c r="L267" s="280">
        <f>L268+L270</f>
        <v>0</v>
      </c>
      <c r="M267" s="280">
        <f>M268+M270</f>
        <v>18830.600000000002</v>
      </c>
      <c r="N267" s="280">
        <f t="shared" ref="N267" si="46">N268+N270</f>
        <v>838</v>
      </c>
    </row>
    <row r="268" spans="1:14" s="141" customFormat="1" ht="36" x14ac:dyDescent="0.35">
      <c r="A268" s="136"/>
      <c r="B268" s="584" t="s">
        <v>208</v>
      </c>
      <c r="C268" s="137" t="s">
        <v>414</v>
      </c>
      <c r="D268" s="138" t="s">
        <v>224</v>
      </c>
      <c r="E268" s="138" t="s">
        <v>39</v>
      </c>
      <c r="F268" s="91" t="s">
        <v>39</v>
      </c>
      <c r="G268" s="92" t="s">
        <v>45</v>
      </c>
      <c r="H268" s="92" t="s">
        <v>39</v>
      </c>
      <c r="I268" s="93" t="s">
        <v>274</v>
      </c>
      <c r="J268" s="94"/>
      <c r="K268" s="280">
        <f t="shared" si="45"/>
        <v>862.4</v>
      </c>
      <c r="L268" s="280">
        <f t="shared" si="45"/>
        <v>0</v>
      </c>
      <c r="M268" s="280">
        <f t="shared" si="45"/>
        <v>862.4</v>
      </c>
      <c r="N268" s="280">
        <f t="shared" si="45"/>
        <v>838</v>
      </c>
    </row>
    <row r="269" spans="1:14" s="141" customFormat="1" ht="54" x14ac:dyDescent="0.35">
      <c r="A269" s="136"/>
      <c r="B269" s="584" t="s">
        <v>203</v>
      </c>
      <c r="C269" s="137" t="s">
        <v>414</v>
      </c>
      <c r="D269" s="138" t="s">
        <v>224</v>
      </c>
      <c r="E269" s="138" t="s">
        <v>39</v>
      </c>
      <c r="F269" s="91" t="s">
        <v>39</v>
      </c>
      <c r="G269" s="92" t="s">
        <v>45</v>
      </c>
      <c r="H269" s="92" t="s">
        <v>39</v>
      </c>
      <c r="I269" s="93" t="s">
        <v>274</v>
      </c>
      <c r="J269" s="94" t="s">
        <v>204</v>
      </c>
      <c r="K269" s="280">
        <f>1363.3-500.9</f>
        <v>862.4</v>
      </c>
      <c r="L269" s="24">
        <f>M269-K269</f>
        <v>0</v>
      </c>
      <c r="M269" s="280">
        <f>1363.3-500.9</f>
        <v>862.4</v>
      </c>
      <c r="N269" s="140">
        <v>838</v>
      </c>
    </row>
    <row r="270" spans="1:14" s="141" customFormat="1" ht="108" x14ac:dyDescent="0.35">
      <c r="A270" s="136"/>
      <c r="B270" s="607" t="s">
        <v>505</v>
      </c>
      <c r="C270" s="608" t="s">
        <v>414</v>
      </c>
      <c r="D270" s="609" t="s">
        <v>224</v>
      </c>
      <c r="E270" s="609" t="s">
        <v>39</v>
      </c>
      <c r="F270" s="374" t="s">
        <v>39</v>
      </c>
      <c r="G270" s="375" t="s">
        <v>45</v>
      </c>
      <c r="H270" s="375" t="s">
        <v>39</v>
      </c>
      <c r="I270" s="376" t="s">
        <v>504</v>
      </c>
      <c r="J270" s="434"/>
      <c r="K270" s="24">
        <f t="shared" ref="K270:N270" si="47">K271</f>
        <v>17968.2</v>
      </c>
      <c r="L270" s="24">
        <f>L271</f>
        <v>0</v>
      </c>
      <c r="M270" s="24">
        <f t="shared" si="47"/>
        <v>17968.2</v>
      </c>
      <c r="N270" s="24">
        <f t="shared" si="47"/>
        <v>0</v>
      </c>
    </row>
    <row r="271" spans="1:14" s="141" customFormat="1" ht="54" x14ac:dyDescent="0.35">
      <c r="A271" s="136"/>
      <c r="B271" s="607" t="s">
        <v>203</v>
      </c>
      <c r="C271" s="626" t="s">
        <v>414</v>
      </c>
      <c r="D271" s="627" t="s">
        <v>224</v>
      </c>
      <c r="E271" s="627" t="s">
        <v>39</v>
      </c>
      <c r="F271" s="615" t="s">
        <v>39</v>
      </c>
      <c r="G271" s="616" t="s">
        <v>45</v>
      </c>
      <c r="H271" s="616" t="s">
        <v>39</v>
      </c>
      <c r="I271" s="617" t="s">
        <v>504</v>
      </c>
      <c r="J271" s="434" t="s">
        <v>204</v>
      </c>
      <c r="K271" s="280">
        <v>17968.2</v>
      </c>
      <c r="L271" s="24">
        <f>M271-K271</f>
        <v>0</v>
      </c>
      <c r="M271" s="280">
        <v>17968.2</v>
      </c>
      <c r="N271" s="140">
        <v>0</v>
      </c>
    </row>
    <row r="272" spans="1:14" s="149" customFormat="1" ht="18" x14ac:dyDescent="0.35">
      <c r="A272" s="147"/>
      <c r="B272" s="585" t="s">
        <v>119</v>
      </c>
      <c r="C272" s="148" t="s">
        <v>414</v>
      </c>
      <c r="D272" s="112" t="s">
        <v>104</v>
      </c>
      <c r="E272" s="112"/>
      <c r="F272" s="109"/>
      <c r="G272" s="110"/>
      <c r="H272" s="110"/>
      <c r="I272" s="111"/>
      <c r="J272" s="112"/>
      <c r="K272" s="140">
        <f>K273+K412</f>
        <v>51897.9</v>
      </c>
      <c r="L272" s="274">
        <f>L273+L412</f>
        <v>1.4799999997194391E-2</v>
      </c>
      <c r="M272" s="140">
        <f>M273+M412</f>
        <v>51897.914799999999</v>
      </c>
      <c r="N272" s="140">
        <f>N273+N412</f>
        <v>51897.914799999999</v>
      </c>
    </row>
    <row r="273" spans="1:19" s="149" customFormat="1" ht="18" x14ac:dyDescent="0.35">
      <c r="A273" s="147"/>
      <c r="B273" s="573" t="s">
        <v>193</v>
      </c>
      <c r="C273" s="148" t="s">
        <v>414</v>
      </c>
      <c r="D273" s="112" t="s">
        <v>104</v>
      </c>
      <c r="E273" s="112" t="s">
        <v>52</v>
      </c>
      <c r="F273" s="109"/>
      <c r="G273" s="110"/>
      <c r="H273" s="110"/>
      <c r="I273" s="111"/>
      <c r="J273" s="112"/>
      <c r="K273" s="140">
        <f t="shared" ref="K273:N275" si="48">K274</f>
        <v>51897.9</v>
      </c>
      <c r="L273" s="140">
        <f t="shared" si="48"/>
        <v>1.4799999997194391E-2</v>
      </c>
      <c r="M273" s="140">
        <f t="shared" si="48"/>
        <v>51897.914799999999</v>
      </c>
      <c r="N273" s="140">
        <f t="shared" si="48"/>
        <v>51897.914799999999</v>
      </c>
    </row>
    <row r="274" spans="1:19" s="149" customFormat="1" ht="54" x14ac:dyDescent="0.35">
      <c r="A274" s="147"/>
      <c r="B274" s="581" t="s">
        <v>230</v>
      </c>
      <c r="C274" s="148" t="s">
        <v>414</v>
      </c>
      <c r="D274" s="112" t="s">
        <v>104</v>
      </c>
      <c r="E274" s="112" t="s">
        <v>52</v>
      </c>
      <c r="F274" s="109" t="s">
        <v>79</v>
      </c>
      <c r="G274" s="110" t="s">
        <v>42</v>
      </c>
      <c r="H274" s="110" t="s">
        <v>43</v>
      </c>
      <c r="I274" s="111" t="s">
        <v>44</v>
      </c>
      <c r="J274" s="112"/>
      <c r="K274" s="140">
        <f t="shared" si="48"/>
        <v>51897.9</v>
      </c>
      <c r="L274" s="140">
        <f t="shared" si="48"/>
        <v>1.4799999997194391E-2</v>
      </c>
      <c r="M274" s="140">
        <f t="shared" si="48"/>
        <v>51897.914799999999</v>
      </c>
      <c r="N274" s="140">
        <f t="shared" si="48"/>
        <v>51897.914799999999</v>
      </c>
    </row>
    <row r="275" spans="1:19" s="149" customFormat="1" ht="36" x14ac:dyDescent="0.35">
      <c r="A275" s="147"/>
      <c r="B275" s="573" t="s">
        <v>339</v>
      </c>
      <c r="C275" s="148" t="s">
        <v>414</v>
      </c>
      <c r="D275" s="112" t="s">
        <v>104</v>
      </c>
      <c r="E275" s="112" t="s">
        <v>52</v>
      </c>
      <c r="F275" s="109" t="s">
        <v>79</v>
      </c>
      <c r="G275" s="110" t="s">
        <v>45</v>
      </c>
      <c r="H275" s="110" t="s">
        <v>43</v>
      </c>
      <c r="I275" s="111" t="s">
        <v>44</v>
      </c>
      <c r="J275" s="112"/>
      <c r="K275" s="140">
        <f t="shared" si="48"/>
        <v>51897.9</v>
      </c>
      <c r="L275" s="140">
        <f t="shared" si="48"/>
        <v>1.4799999997194391E-2</v>
      </c>
      <c r="M275" s="140">
        <f t="shared" si="48"/>
        <v>51897.914799999999</v>
      </c>
      <c r="N275" s="140">
        <f t="shared" si="48"/>
        <v>51897.914799999999</v>
      </c>
    </row>
    <row r="276" spans="1:19" s="150" customFormat="1" ht="90" x14ac:dyDescent="0.35">
      <c r="A276" s="147"/>
      <c r="B276" s="573" t="s">
        <v>300</v>
      </c>
      <c r="C276" s="148" t="s">
        <v>414</v>
      </c>
      <c r="D276" s="112" t="s">
        <v>104</v>
      </c>
      <c r="E276" s="112" t="s">
        <v>52</v>
      </c>
      <c r="F276" s="109" t="s">
        <v>79</v>
      </c>
      <c r="G276" s="110" t="s">
        <v>45</v>
      </c>
      <c r="H276" s="110" t="s">
        <v>39</v>
      </c>
      <c r="I276" s="111" t="s">
        <v>44</v>
      </c>
      <c r="J276" s="112"/>
      <c r="K276" s="140">
        <f>K277+K279</f>
        <v>51897.9</v>
      </c>
      <c r="L276" s="140">
        <f>L277+L279</f>
        <v>1.4799999997194391E-2</v>
      </c>
      <c r="M276" s="140">
        <f>M277+M279</f>
        <v>51897.914799999999</v>
      </c>
      <c r="N276" s="140">
        <f>N277+N279</f>
        <v>51897.914799999999</v>
      </c>
    </row>
    <row r="277" spans="1:19" s="141" customFormat="1" ht="108" x14ac:dyDescent="0.35">
      <c r="A277" s="136"/>
      <c r="B277" s="562" t="s">
        <v>416</v>
      </c>
      <c r="C277" s="137" t="s">
        <v>414</v>
      </c>
      <c r="D277" s="138" t="s">
        <v>104</v>
      </c>
      <c r="E277" s="138" t="s">
        <v>52</v>
      </c>
      <c r="F277" s="91" t="s">
        <v>79</v>
      </c>
      <c r="G277" s="92" t="s">
        <v>45</v>
      </c>
      <c r="H277" s="92" t="s">
        <v>39</v>
      </c>
      <c r="I277" s="113" t="s">
        <v>417</v>
      </c>
      <c r="J277" s="94"/>
      <c r="K277" s="140">
        <f>K278</f>
        <v>33362.9</v>
      </c>
      <c r="L277" s="140">
        <f>L278</f>
        <v>1.4799999997194391E-2</v>
      </c>
      <c r="M277" s="140">
        <f>M278</f>
        <v>33362.914799999999</v>
      </c>
      <c r="N277" s="140">
        <f>N278</f>
        <v>33362.914799999999</v>
      </c>
    </row>
    <row r="278" spans="1:19" s="141" customFormat="1" ht="54" x14ac:dyDescent="0.35">
      <c r="A278" s="136"/>
      <c r="B278" s="562" t="s">
        <v>203</v>
      </c>
      <c r="C278" s="137" t="s">
        <v>414</v>
      </c>
      <c r="D278" s="138" t="s">
        <v>104</v>
      </c>
      <c r="E278" s="138" t="s">
        <v>52</v>
      </c>
      <c r="F278" s="91" t="s">
        <v>79</v>
      </c>
      <c r="G278" s="92" t="s">
        <v>45</v>
      </c>
      <c r="H278" s="92" t="s">
        <v>39</v>
      </c>
      <c r="I278" s="113" t="s">
        <v>417</v>
      </c>
      <c r="J278" s="94" t="s">
        <v>204</v>
      </c>
      <c r="K278" s="206">
        <v>33362.9</v>
      </c>
      <c r="L278" s="24">
        <f>M278-K278</f>
        <v>1.4799999997194391E-2</v>
      </c>
      <c r="M278" s="206">
        <f>33362.9+0.0148</f>
        <v>33362.914799999999</v>
      </c>
      <c r="N278" s="206">
        <f>33362.9+0.0148</f>
        <v>33362.914799999999</v>
      </c>
    </row>
    <row r="279" spans="1:19" s="141" customFormat="1" ht="108" x14ac:dyDescent="0.35">
      <c r="A279" s="136"/>
      <c r="B279" s="562" t="s">
        <v>416</v>
      </c>
      <c r="C279" s="137" t="s">
        <v>414</v>
      </c>
      <c r="D279" s="138" t="s">
        <v>104</v>
      </c>
      <c r="E279" s="138" t="s">
        <v>52</v>
      </c>
      <c r="F279" s="91" t="s">
        <v>79</v>
      </c>
      <c r="G279" s="92" t="s">
        <v>45</v>
      </c>
      <c r="H279" s="92" t="s">
        <v>39</v>
      </c>
      <c r="I279" s="113" t="s">
        <v>560</v>
      </c>
      <c r="J279" s="139"/>
      <c r="K279" s="268">
        <f>K280</f>
        <v>18535</v>
      </c>
      <c r="L279" s="268">
        <f>L280</f>
        <v>0</v>
      </c>
      <c r="M279" s="268">
        <f>M280</f>
        <v>18535</v>
      </c>
      <c r="N279" s="268">
        <f>N280</f>
        <v>18535</v>
      </c>
    </row>
    <row r="280" spans="1:19" s="141" customFormat="1" ht="54" x14ac:dyDescent="0.35">
      <c r="A280" s="136"/>
      <c r="B280" s="562" t="s">
        <v>203</v>
      </c>
      <c r="C280" s="137" t="s">
        <v>414</v>
      </c>
      <c r="D280" s="138" t="s">
        <v>104</v>
      </c>
      <c r="E280" s="138" t="s">
        <v>52</v>
      </c>
      <c r="F280" s="91" t="s">
        <v>79</v>
      </c>
      <c r="G280" s="92" t="s">
        <v>45</v>
      </c>
      <c r="H280" s="92" t="s">
        <v>39</v>
      </c>
      <c r="I280" s="113" t="s">
        <v>560</v>
      </c>
      <c r="J280" s="139" t="s">
        <v>204</v>
      </c>
      <c r="K280" s="268">
        <v>18535</v>
      </c>
      <c r="L280" s="24">
        <f>M280-K280</f>
        <v>0</v>
      </c>
      <c r="M280" s="268">
        <v>18535</v>
      </c>
      <c r="N280" s="268">
        <v>18535</v>
      </c>
    </row>
    <row r="281" spans="1:19" s="127" customFormat="1" ht="18" x14ac:dyDescent="0.35">
      <c r="A281" s="11"/>
      <c r="B281" s="518"/>
      <c r="C281" s="23"/>
      <c r="D281" s="10"/>
      <c r="E281" s="10"/>
      <c r="F281" s="680"/>
      <c r="G281" s="681"/>
      <c r="H281" s="681"/>
      <c r="I281" s="682"/>
      <c r="J281" s="10"/>
      <c r="K281" s="24"/>
      <c r="L281" s="24"/>
      <c r="M281" s="24"/>
      <c r="N281" s="24"/>
    </row>
    <row r="282" spans="1:19" s="125" customFormat="1" ht="52.2" x14ac:dyDescent="0.3">
      <c r="A282" s="120">
        <v>5</v>
      </c>
      <c r="B282" s="565" t="s">
        <v>7</v>
      </c>
      <c r="C282" s="18" t="s">
        <v>425</v>
      </c>
      <c r="D282" s="19"/>
      <c r="E282" s="19"/>
      <c r="F282" s="20"/>
      <c r="G282" s="21"/>
      <c r="H282" s="21"/>
      <c r="I282" s="22"/>
      <c r="J282" s="19"/>
      <c r="K282" s="32">
        <f>K296+K404+K283</f>
        <v>1255639.1000000001</v>
      </c>
      <c r="L282" s="32">
        <f>L296+L404+L283</f>
        <v>0</v>
      </c>
      <c r="M282" s="32">
        <f>M296+M404+M283</f>
        <v>1255639.1000000001</v>
      </c>
      <c r="N282" s="32">
        <f>N296+N404+N283</f>
        <v>1287262.7000000002</v>
      </c>
      <c r="O282" s="151"/>
      <c r="Q282" s="151"/>
      <c r="S282" s="151"/>
    </row>
    <row r="283" spans="1:19" s="125" customFormat="1" ht="18" x14ac:dyDescent="0.35">
      <c r="A283" s="120"/>
      <c r="B283" s="520" t="s">
        <v>36</v>
      </c>
      <c r="C283" s="249" t="s">
        <v>425</v>
      </c>
      <c r="D283" s="247" t="s">
        <v>37</v>
      </c>
      <c r="E283" s="90"/>
      <c r="F283" s="250"/>
      <c r="G283" s="96"/>
      <c r="H283" s="96"/>
      <c r="I283" s="97"/>
      <c r="J283" s="90"/>
      <c r="K283" s="220">
        <f t="shared" ref="K283:M284" si="49">K284</f>
        <v>276.10000000000002</v>
      </c>
      <c r="L283" s="220">
        <f t="shared" si="49"/>
        <v>0</v>
      </c>
      <c r="M283" s="220">
        <f t="shared" si="49"/>
        <v>276.10000000000002</v>
      </c>
      <c r="N283" s="220">
        <f>N284</f>
        <v>276.10000000000002</v>
      </c>
      <c r="O283" s="151"/>
    </row>
    <row r="284" spans="1:19" s="125" customFormat="1" ht="18" x14ac:dyDescent="0.35">
      <c r="A284" s="120"/>
      <c r="B284" s="520" t="s">
        <v>70</v>
      </c>
      <c r="C284" s="251" t="s">
        <v>425</v>
      </c>
      <c r="D284" s="247" t="s">
        <v>37</v>
      </c>
      <c r="E284" s="247" t="s">
        <v>71</v>
      </c>
      <c r="F284" s="250"/>
      <c r="G284" s="96"/>
      <c r="H284" s="96"/>
      <c r="I284" s="97"/>
      <c r="J284" s="90"/>
      <c r="K284" s="220">
        <f t="shared" si="49"/>
        <v>276.10000000000002</v>
      </c>
      <c r="L284" s="220">
        <f t="shared" si="49"/>
        <v>0</v>
      </c>
      <c r="M284" s="220">
        <f t="shared" si="49"/>
        <v>276.10000000000002</v>
      </c>
      <c r="N284" s="220">
        <f>N285</f>
        <v>276.10000000000002</v>
      </c>
      <c r="O284" s="151"/>
    </row>
    <row r="285" spans="1:19" s="125" customFormat="1" ht="54" x14ac:dyDescent="0.35">
      <c r="A285" s="120"/>
      <c r="B285" s="520" t="s">
        <v>205</v>
      </c>
      <c r="C285" s="249" t="s">
        <v>425</v>
      </c>
      <c r="D285" s="247" t="s">
        <v>37</v>
      </c>
      <c r="E285" s="247" t="s">
        <v>71</v>
      </c>
      <c r="F285" s="676" t="s">
        <v>39</v>
      </c>
      <c r="G285" s="677" t="s">
        <v>42</v>
      </c>
      <c r="H285" s="677" t="s">
        <v>43</v>
      </c>
      <c r="I285" s="678" t="s">
        <v>44</v>
      </c>
      <c r="J285" s="247"/>
      <c r="K285" s="220">
        <f>K286</f>
        <v>276.10000000000002</v>
      </c>
      <c r="L285" s="220">
        <f>L286</f>
        <v>0</v>
      </c>
      <c r="M285" s="220">
        <f>M286</f>
        <v>276.10000000000002</v>
      </c>
      <c r="N285" s="220">
        <f>N286</f>
        <v>276.10000000000002</v>
      </c>
      <c r="O285" s="151"/>
    </row>
    <row r="286" spans="1:19" s="125" customFormat="1" ht="54" x14ac:dyDescent="0.35">
      <c r="A286" s="120"/>
      <c r="B286" s="586" t="s">
        <v>212</v>
      </c>
      <c r="C286" s="249" t="s">
        <v>425</v>
      </c>
      <c r="D286" s="247" t="s">
        <v>37</v>
      </c>
      <c r="E286" s="247" t="s">
        <v>71</v>
      </c>
      <c r="F286" s="676" t="s">
        <v>39</v>
      </c>
      <c r="G286" s="677" t="s">
        <v>30</v>
      </c>
      <c r="H286" s="677" t="s">
        <v>43</v>
      </c>
      <c r="I286" s="678" t="s">
        <v>44</v>
      </c>
      <c r="J286" s="247"/>
      <c r="K286" s="220">
        <f>K287+K290+K293</f>
        <v>276.10000000000002</v>
      </c>
      <c r="L286" s="220">
        <f>L287+L290+L293</f>
        <v>0</v>
      </c>
      <c r="M286" s="220">
        <f>M287+M290+M293</f>
        <v>276.10000000000002</v>
      </c>
      <c r="N286" s="220">
        <f>N287+N290+N293</f>
        <v>276.10000000000002</v>
      </c>
      <c r="O286" s="151"/>
    </row>
    <row r="287" spans="1:19" s="125" customFormat="1" ht="36" x14ac:dyDescent="0.35">
      <c r="A287" s="120"/>
      <c r="B287" s="520" t="s">
        <v>351</v>
      </c>
      <c r="C287" s="249" t="s">
        <v>425</v>
      </c>
      <c r="D287" s="247" t="s">
        <v>37</v>
      </c>
      <c r="E287" s="247" t="s">
        <v>71</v>
      </c>
      <c r="F287" s="676" t="s">
        <v>39</v>
      </c>
      <c r="G287" s="677" t="s">
        <v>30</v>
      </c>
      <c r="H287" s="677" t="s">
        <v>63</v>
      </c>
      <c r="I287" s="678" t="s">
        <v>44</v>
      </c>
      <c r="J287" s="247"/>
      <c r="K287" s="220">
        <f t="shared" ref="K287:N288" si="50">K288</f>
        <v>141.5</v>
      </c>
      <c r="L287" s="220">
        <f t="shared" si="50"/>
        <v>0</v>
      </c>
      <c r="M287" s="220">
        <f t="shared" si="50"/>
        <v>141.5</v>
      </c>
      <c r="N287" s="220">
        <f t="shared" si="50"/>
        <v>141.5</v>
      </c>
      <c r="O287" s="151"/>
    </row>
    <row r="288" spans="1:19" s="125" customFormat="1" ht="54" x14ac:dyDescent="0.35">
      <c r="A288" s="120"/>
      <c r="B288" s="586" t="s">
        <v>474</v>
      </c>
      <c r="C288" s="251" t="s">
        <v>425</v>
      </c>
      <c r="D288" s="247" t="s">
        <v>37</v>
      </c>
      <c r="E288" s="247" t="s">
        <v>71</v>
      </c>
      <c r="F288" s="676" t="s">
        <v>39</v>
      </c>
      <c r="G288" s="677" t="s">
        <v>30</v>
      </c>
      <c r="H288" s="677" t="s">
        <v>63</v>
      </c>
      <c r="I288" s="678" t="s">
        <v>105</v>
      </c>
      <c r="J288" s="247"/>
      <c r="K288" s="220">
        <f t="shared" si="50"/>
        <v>141.5</v>
      </c>
      <c r="L288" s="220">
        <f t="shared" si="50"/>
        <v>0</v>
      </c>
      <c r="M288" s="220">
        <f t="shared" si="50"/>
        <v>141.5</v>
      </c>
      <c r="N288" s="220">
        <f t="shared" si="50"/>
        <v>141.5</v>
      </c>
      <c r="O288" s="151"/>
    </row>
    <row r="289" spans="1:15" s="125" customFormat="1" ht="54" x14ac:dyDescent="0.35">
      <c r="A289" s="120"/>
      <c r="B289" s="586" t="s">
        <v>55</v>
      </c>
      <c r="C289" s="251" t="s">
        <v>425</v>
      </c>
      <c r="D289" s="247" t="s">
        <v>37</v>
      </c>
      <c r="E289" s="247" t="s">
        <v>71</v>
      </c>
      <c r="F289" s="676" t="s">
        <v>39</v>
      </c>
      <c r="G289" s="677" t="s">
        <v>30</v>
      </c>
      <c r="H289" s="677" t="s">
        <v>63</v>
      </c>
      <c r="I289" s="678" t="s">
        <v>105</v>
      </c>
      <c r="J289" s="247" t="s">
        <v>56</v>
      </c>
      <c r="K289" s="220">
        <v>141.5</v>
      </c>
      <c r="L289" s="24">
        <f>M289-K289</f>
        <v>0</v>
      </c>
      <c r="M289" s="220">
        <v>141.5</v>
      </c>
      <c r="N289" s="220">
        <v>141.5</v>
      </c>
      <c r="O289" s="151"/>
    </row>
    <row r="290" spans="1:15" s="125" customFormat="1" ht="36" x14ac:dyDescent="0.35">
      <c r="A290" s="120"/>
      <c r="B290" s="586" t="s">
        <v>470</v>
      </c>
      <c r="C290" s="249" t="s">
        <v>425</v>
      </c>
      <c r="D290" s="247" t="s">
        <v>37</v>
      </c>
      <c r="E290" s="247" t="s">
        <v>71</v>
      </c>
      <c r="F290" s="676" t="s">
        <v>39</v>
      </c>
      <c r="G290" s="677" t="s">
        <v>30</v>
      </c>
      <c r="H290" s="677" t="s">
        <v>52</v>
      </c>
      <c r="I290" s="678" t="s">
        <v>44</v>
      </c>
      <c r="J290" s="247"/>
      <c r="K290" s="220">
        <f t="shared" ref="K290:N291" si="51">K291</f>
        <v>24</v>
      </c>
      <c r="L290" s="220">
        <f t="shared" si="51"/>
        <v>0</v>
      </c>
      <c r="M290" s="220">
        <f t="shared" si="51"/>
        <v>24</v>
      </c>
      <c r="N290" s="220">
        <f t="shared" si="51"/>
        <v>24</v>
      </c>
      <c r="O290" s="151"/>
    </row>
    <row r="291" spans="1:15" s="125" customFormat="1" ht="18" x14ac:dyDescent="0.35">
      <c r="A291" s="120"/>
      <c r="B291" s="586" t="s">
        <v>475</v>
      </c>
      <c r="C291" s="251" t="s">
        <v>425</v>
      </c>
      <c r="D291" s="247" t="s">
        <v>37</v>
      </c>
      <c r="E291" s="247" t="s">
        <v>71</v>
      </c>
      <c r="F291" s="676" t="s">
        <v>39</v>
      </c>
      <c r="G291" s="677" t="s">
        <v>30</v>
      </c>
      <c r="H291" s="677" t="s">
        <v>52</v>
      </c>
      <c r="I291" s="678" t="s">
        <v>469</v>
      </c>
      <c r="J291" s="247"/>
      <c r="K291" s="220">
        <f t="shared" si="51"/>
        <v>24</v>
      </c>
      <c r="L291" s="220">
        <f t="shared" si="51"/>
        <v>0</v>
      </c>
      <c r="M291" s="220">
        <f t="shared" si="51"/>
        <v>24</v>
      </c>
      <c r="N291" s="220">
        <f t="shared" si="51"/>
        <v>24</v>
      </c>
      <c r="O291" s="151"/>
    </row>
    <row r="292" spans="1:15" s="125" customFormat="1" ht="54" x14ac:dyDescent="0.35">
      <c r="A292" s="120"/>
      <c r="B292" s="586" t="s">
        <v>55</v>
      </c>
      <c r="C292" s="251" t="s">
        <v>425</v>
      </c>
      <c r="D292" s="247" t="s">
        <v>37</v>
      </c>
      <c r="E292" s="247" t="s">
        <v>71</v>
      </c>
      <c r="F292" s="676" t="s">
        <v>39</v>
      </c>
      <c r="G292" s="677" t="s">
        <v>30</v>
      </c>
      <c r="H292" s="677" t="s">
        <v>52</v>
      </c>
      <c r="I292" s="678" t="s">
        <v>469</v>
      </c>
      <c r="J292" s="247" t="s">
        <v>56</v>
      </c>
      <c r="K292" s="220">
        <v>24</v>
      </c>
      <c r="L292" s="24">
        <f>M292-K292</f>
        <v>0</v>
      </c>
      <c r="M292" s="220">
        <v>24</v>
      </c>
      <c r="N292" s="220">
        <v>24</v>
      </c>
      <c r="O292" s="151"/>
    </row>
    <row r="293" spans="1:15" s="125" customFormat="1" ht="36" x14ac:dyDescent="0.35">
      <c r="A293" s="120"/>
      <c r="B293" s="586" t="s">
        <v>473</v>
      </c>
      <c r="C293" s="251" t="s">
        <v>425</v>
      </c>
      <c r="D293" s="247" t="s">
        <v>37</v>
      </c>
      <c r="E293" s="247" t="s">
        <v>71</v>
      </c>
      <c r="F293" s="676" t="s">
        <v>39</v>
      </c>
      <c r="G293" s="677" t="s">
        <v>30</v>
      </c>
      <c r="H293" s="677" t="s">
        <v>65</v>
      </c>
      <c r="I293" s="410" t="s">
        <v>44</v>
      </c>
      <c r="J293" s="88"/>
      <c r="K293" s="220">
        <f t="shared" ref="K293:N294" si="52">K294</f>
        <v>110.6</v>
      </c>
      <c r="L293" s="220">
        <f t="shared" si="52"/>
        <v>0</v>
      </c>
      <c r="M293" s="220">
        <f t="shared" si="52"/>
        <v>110.6</v>
      </c>
      <c r="N293" s="220">
        <f t="shared" si="52"/>
        <v>110.6</v>
      </c>
      <c r="O293" s="151"/>
    </row>
    <row r="294" spans="1:15" s="125" customFormat="1" ht="36" x14ac:dyDescent="0.35">
      <c r="A294" s="120"/>
      <c r="B294" s="586" t="s">
        <v>127</v>
      </c>
      <c r="C294" s="251" t="s">
        <v>425</v>
      </c>
      <c r="D294" s="247" t="s">
        <v>37</v>
      </c>
      <c r="E294" s="247" t="s">
        <v>71</v>
      </c>
      <c r="F294" s="676" t="s">
        <v>39</v>
      </c>
      <c r="G294" s="677" t="s">
        <v>30</v>
      </c>
      <c r="H294" s="677" t="s">
        <v>65</v>
      </c>
      <c r="I294" s="410" t="s">
        <v>90</v>
      </c>
      <c r="J294" s="88"/>
      <c r="K294" s="220">
        <f t="shared" si="52"/>
        <v>110.6</v>
      </c>
      <c r="L294" s="220">
        <f t="shared" si="52"/>
        <v>0</v>
      </c>
      <c r="M294" s="220">
        <f t="shared" si="52"/>
        <v>110.6</v>
      </c>
      <c r="N294" s="220">
        <f t="shared" si="52"/>
        <v>110.6</v>
      </c>
      <c r="O294" s="151"/>
    </row>
    <row r="295" spans="1:15" s="125" customFormat="1" ht="54" x14ac:dyDescent="0.35">
      <c r="A295" s="120"/>
      <c r="B295" s="586" t="s">
        <v>55</v>
      </c>
      <c r="C295" s="251" t="s">
        <v>425</v>
      </c>
      <c r="D295" s="247" t="s">
        <v>37</v>
      </c>
      <c r="E295" s="247" t="s">
        <v>71</v>
      </c>
      <c r="F295" s="676" t="s">
        <v>39</v>
      </c>
      <c r="G295" s="677" t="s">
        <v>30</v>
      </c>
      <c r="H295" s="677" t="s">
        <v>65</v>
      </c>
      <c r="I295" s="410" t="s">
        <v>90</v>
      </c>
      <c r="J295" s="88" t="s">
        <v>56</v>
      </c>
      <c r="K295" s="220">
        <v>110.6</v>
      </c>
      <c r="L295" s="24">
        <f>M295-K295</f>
        <v>0</v>
      </c>
      <c r="M295" s="220">
        <v>110.6</v>
      </c>
      <c r="N295" s="220">
        <v>110.6</v>
      </c>
      <c r="O295" s="151"/>
    </row>
    <row r="296" spans="1:15" s="126" customFormat="1" ht="18" x14ac:dyDescent="0.35">
      <c r="A296" s="11"/>
      <c r="B296" s="518" t="s">
        <v>179</v>
      </c>
      <c r="C296" s="23" t="s">
        <v>425</v>
      </c>
      <c r="D296" s="10" t="s">
        <v>224</v>
      </c>
      <c r="E296" s="10"/>
      <c r="F296" s="680"/>
      <c r="G296" s="681"/>
      <c r="H296" s="681"/>
      <c r="I296" s="682"/>
      <c r="J296" s="10"/>
      <c r="K296" s="24">
        <f>K297+K314+K381+K365</f>
        <v>1249070.1000000001</v>
      </c>
      <c r="L296" s="24">
        <f>L297+L314+L381+L365</f>
        <v>0</v>
      </c>
      <c r="M296" s="24">
        <f>M297+M314+M381+M365</f>
        <v>1249070.1000000001</v>
      </c>
      <c r="N296" s="24">
        <f>N297+N314+N381+N365</f>
        <v>1280693.7000000002</v>
      </c>
      <c r="O296" s="152"/>
    </row>
    <row r="297" spans="1:15" s="125" customFormat="1" ht="18" x14ac:dyDescent="0.35">
      <c r="A297" s="11"/>
      <c r="B297" s="518" t="s">
        <v>181</v>
      </c>
      <c r="C297" s="23" t="s">
        <v>425</v>
      </c>
      <c r="D297" s="10" t="s">
        <v>224</v>
      </c>
      <c r="E297" s="10" t="s">
        <v>37</v>
      </c>
      <c r="F297" s="680"/>
      <c r="G297" s="681"/>
      <c r="H297" s="681"/>
      <c r="I297" s="682"/>
      <c r="J297" s="10"/>
      <c r="K297" s="24">
        <f>K298+K309</f>
        <v>386437.70000000007</v>
      </c>
      <c r="L297" s="24">
        <f>L298+L309</f>
        <v>0</v>
      </c>
      <c r="M297" s="24">
        <f>M298+M309</f>
        <v>386437.70000000007</v>
      </c>
      <c r="N297" s="24">
        <f>N298+N309</f>
        <v>399716.60000000003</v>
      </c>
    </row>
    <row r="298" spans="1:15" s="125" customFormat="1" ht="54" x14ac:dyDescent="0.35">
      <c r="A298" s="11"/>
      <c r="B298" s="518" t="s">
        <v>205</v>
      </c>
      <c r="C298" s="23" t="s">
        <v>425</v>
      </c>
      <c r="D298" s="10" t="s">
        <v>224</v>
      </c>
      <c r="E298" s="10" t="s">
        <v>37</v>
      </c>
      <c r="F298" s="680" t="s">
        <v>39</v>
      </c>
      <c r="G298" s="681" t="s">
        <v>42</v>
      </c>
      <c r="H298" s="681" t="s">
        <v>43</v>
      </c>
      <c r="I298" s="682" t="s">
        <v>44</v>
      </c>
      <c r="J298" s="10"/>
      <c r="K298" s="24">
        <f t="shared" ref="K298:N299" si="53">K299</f>
        <v>386384.30000000005</v>
      </c>
      <c r="L298" s="24">
        <f t="shared" si="53"/>
        <v>0</v>
      </c>
      <c r="M298" s="24">
        <f t="shared" si="53"/>
        <v>386384.30000000005</v>
      </c>
      <c r="N298" s="24">
        <f t="shared" si="53"/>
        <v>399663.2</v>
      </c>
    </row>
    <row r="299" spans="1:15" s="125" customFormat="1" ht="36" x14ac:dyDescent="0.35">
      <c r="A299" s="11"/>
      <c r="B299" s="518" t="s">
        <v>206</v>
      </c>
      <c r="C299" s="23" t="s">
        <v>425</v>
      </c>
      <c r="D299" s="10" t="s">
        <v>224</v>
      </c>
      <c r="E299" s="10" t="s">
        <v>37</v>
      </c>
      <c r="F299" s="680" t="s">
        <v>39</v>
      </c>
      <c r="G299" s="681" t="s">
        <v>45</v>
      </c>
      <c r="H299" s="681" t="s">
        <v>43</v>
      </c>
      <c r="I299" s="682" t="s">
        <v>44</v>
      </c>
      <c r="J299" s="10"/>
      <c r="K299" s="24">
        <f>K300</f>
        <v>386384.30000000005</v>
      </c>
      <c r="L299" s="24">
        <f>L300</f>
        <v>0</v>
      </c>
      <c r="M299" s="24">
        <f>M300</f>
        <v>386384.30000000005</v>
      </c>
      <c r="N299" s="24">
        <f t="shared" si="53"/>
        <v>399663.2</v>
      </c>
    </row>
    <row r="300" spans="1:15" s="125" customFormat="1" ht="36" x14ac:dyDescent="0.35">
      <c r="A300" s="11"/>
      <c r="B300" s="518" t="s">
        <v>267</v>
      </c>
      <c r="C300" s="23" t="s">
        <v>425</v>
      </c>
      <c r="D300" s="10" t="s">
        <v>224</v>
      </c>
      <c r="E300" s="10" t="s">
        <v>37</v>
      </c>
      <c r="F300" s="680" t="s">
        <v>39</v>
      </c>
      <c r="G300" s="681" t="s">
        <v>45</v>
      </c>
      <c r="H300" s="681" t="s">
        <v>37</v>
      </c>
      <c r="I300" s="682" t="s">
        <v>44</v>
      </c>
      <c r="J300" s="10"/>
      <c r="K300" s="24">
        <f>K305+K303+K307+K301</f>
        <v>386384.30000000005</v>
      </c>
      <c r="L300" s="24">
        <f>L305+L303+L307+L301</f>
        <v>0</v>
      </c>
      <c r="M300" s="24">
        <f>M305+M303+M307+M301</f>
        <v>386384.30000000005</v>
      </c>
      <c r="N300" s="24">
        <f>N305+N303+N307+N301</f>
        <v>399663.2</v>
      </c>
    </row>
    <row r="301" spans="1:15" s="121" customFormat="1" ht="36" x14ac:dyDescent="0.35">
      <c r="A301" s="11"/>
      <c r="B301" s="596" t="s">
        <v>466</v>
      </c>
      <c r="C301" s="23" t="s">
        <v>425</v>
      </c>
      <c r="D301" s="10" t="s">
        <v>224</v>
      </c>
      <c r="E301" s="10" t="s">
        <v>37</v>
      </c>
      <c r="F301" s="680" t="s">
        <v>39</v>
      </c>
      <c r="G301" s="681" t="s">
        <v>45</v>
      </c>
      <c r="H301" s="681" t="s">
        <v>37</v>
      </c>
      <c r="I301" s="682" t="s">
        <v>91</v>
      </c>
      <c r="J301" s="10"/>
      <c r="K301" s="24">
        <f>K302</f>
        <v>110229.7</v>
      </c>
      <c r="L301" s="24">
        <f>L302</f>
        <v>0</v>
      </c>
      <c r="M301" s="24">
        <f>M302</f>
        <v>110229.7</v>
      </c>
      <c r="N301" s="24">
        <f>N302</f>
        <v>123486.2</v>
      </c>
    </row>
    <row r="302" spans="1:15" s="121" customFormat="1" ht="54" x14ac:dyDescent="0.35">
      <c r="A302" s="11"/>
      <c r="B302" s="518" t="s">
        <v>76</v>
      </c>
      <c r="C302" s="23" t="s">
        <v>425</v>
      </c>
      <c r="D302" s="10" t="s">
        <v>224</v>
      </c>
      <c r="E302" s="10" t="s">
        <v>37</v>
      </c>
      <c r="F302" s="680" t="s">
        <v>39</v>
      </c>
      <c r="G302" s="681" t="s">
        <v>45</v>
      </c>
      <c r="H302" s="681" t="s">
        <v>37</v>
      </c>
      <c r="I302" s="682" t="s">
        <v>91</v>
      </c>
      <c r="J302" s="10" t="s">
        <v>77</v>
      </c>
      <c r="K302" s="24">
        <v>110229.7</v>
      </c>
      <c r="L302" s="24">
        <f>M302-K302</f>
        <v>0</v>
      </c>
      <c r="M302" s="24">
        <v>110229.7</v>
      </c>
      <c r="N302" s="24">
        <v>123486.2</v>
      </c>
    </row>
    <row r="303" spans="1:15" s="121" customFormat="1" ht="54" x14ac:dyDescent="0.35">
      <c r="A303" s="11"/>
      <c r="B303" s="518" t="s">
        <v>207</v>
      </c>
      <c r="C303" s="23" t="s">
        <v>425</v>
      </c>
      <c r="D303" s="10" t="s">
        <v>224</v>
      </c>
      <c r="E303" s="10" t="s">
        <v>37</v>
      </c>
      <c r="F303" s="680" t="s">
        <v>39</v>
      </c>
      <c r="G303" s="681" t="s">
        <v>45</v>
      </c>
      <c r="H303" s="681" t="s">
        <v>37</v>
      </c>
      <c r="I303" s="682" t="s">
        <v>273</v>
      </c>
      <c r="J303" s="10"/>
      <c r="K303" s="24">
        <f>K304</f>
        <v>30855.9</v>
      </c>
      <c r="L303" s="24">
        <f>L304</f>
        <v>0</v>
      </c>
      <c r="M303" s="24">
        <f>M304</f>
        <v>30855.9</v>
      </c>
      <c r="N303" s="24">
        <f>N304</f>
        <v>30855.9</v>
      </c>
    </row>
    <row r="304" spans="1:15" s="121" customFormat="1" ht="54" x14ac:dyDescent="0.35">
      <c r="A304" s="11"/>
      <c r="B304" s="518" t="s">
        <v>76</v>
      </c>
      <c r="C304" s="23" t="s">
        <v>425</v>
      </c>
      <c r="D304" s="10" t="s">
        <v>224</v>
      </c>
      <c r="E304" s="10" t="s">
        <v>37</v>
      </c>
      <c r="F304" s="680" t="s">
        <v>39</v>
      </c>
      <c r="G304" s="681" t="s">
        <v>45</v>
      </c>
      <c r="H304" s="681" t="s">
        <v>37</v>
      </c>
      <c r="I304" s="682" t="s">
        <v>273</v>
      </c>
      <c r="J304" s="10" t="s">
        <v>77</v>
      </c>
      <c r="K304" s="24">
        <v>30855.9</v>
      </c>
      <c r="L304" s="24">
        <f>M304-K304</f>
        <v>0</v>
      </c>
      <c r="M304" s="24">
        <v>30855.9</v>
      </c>
      <c r="N304" s="24">
        <v>30855.9</v>
      </c>
    </row>
    <row r="305" spans="1:14" s="125" customFormat="1" ht="180" x14ac:dyDescent="0.35">
      <c r="A305" s="11"/>
      <c r="B305" s="518" t="s">
        <v>268</v>
      </c>
      <c r="C305" s="23" t="s">
        <v>425</v>
      </c>
      <c r="D305" s="10" t="s">
        <v>224</v>
      </c>
      <c r="E305" s="10" t="s">
        <v>37</v>
      </c>
      <c r="F305" s="680" t="s">
        <v>39</v>
      </c>
      <c r="G305" s="681" t="s">
        <v>45</v>
      </c>
      <c r="H305" s="681" t="s">
        <v>37</v>
      </c>
      <c r="I305" s="682" t="s">
        <v>269</v>
      </c>
      <c r="J305" s="10"/>
      <c r="K305" s="24">
        <f>K306</f>
        <v>557.9</v>
      </c>
      <c r="L305" s="24">
        <f>L306</f>
        <v>0</v>
      </c>
      <c r="M305" s="24">
        <f>M306</f>
        <v>557.9</v>
      </c>
      <c r="N305" s="24">
        <f>N306</f>
        <v>580.29999999999995</v>
      </c>
    </row>
    <row r="306" spans="1:14" s="125" customFormat="1" ht="54" x14ac:dyDescent="0.35">
      <c r="A306" s="11"/>
      <c r="B306" s="518" t="s">
        <v>76</v>
      </c>
      <c r="C306" s="23" t="s">
        <v>425</v>
      </c>
      <c r="D306" s="10" t="s">
        <v>224</v>
      </c>
      <c r="E306" s="10" t="s">
        <v>37</v>
      </c>
      <c r="F306" s="680" t="s">
        <v>39</v>
      </c>
      <c r="G306" s="681" t="s">
        <v>45</v>
      </c>
      <c r="H306" s="681" t="s">
        <v>37</v>
      </c>
      <c r="I306" s="682" t="s">
        <v>269</v>
      </c>
      <c r="J306" s="10" t="s">
        <v>77</v>
      </c>
      <c r="K306" s="24">
        <v>557.9</v>
      </c>
      <c r="L306" s="24">
        <f>M306-K306</f>
        <v>0</v>
      </c>
      <c r="M306" s="24">
        <v>557.9</v>
      </c>
      <c r="N306" s="24">
        <v>580.29999999999995</v>
      </c>
    </row>
    <row r="307" spans="1:14" s="125" customFormat="1" ht="108" x14ac:dyDescent="0.35">
      <c r="A307" s="11"/>
      <c r="B307" s="518" t="s">
        <v>345</v>
      </c>
      <c r="C307" s="23" t="s">
        <v>425</v>
      </c>
      <c r="D307" s="10" t="s">
        <v>224</v>
      </c>
      <c r="E307" s="10" t="s">
        <v>37</v>
      </c>
      <c r="F307" s="680" t="s">
        <v>39</v>
      </c>
      <c r="G307" s="681" t="s">
        <v>45</v>
      </c>
      <c r="H307" s="681" t="s">
        <v>37</v>
      </c>
      <c r="I307" s="682" t="s">
        <v>270</v>
      </c>
      <c r="J307" s="10"/>
      <c r="K307" s="24">
        <f>K308</f>
        <v>244740.80000000002</v>
      </c>
      <c r="L307" s="24">
        <f>L308</f>
        <v>0</v>
      </c>
      <c r="M307" s="24">
        <f>M308</f>
        <v>244740.80000000002</v>
      </c>
      <c r="N307" s="24">
        <f>N308</f>
        <v>244740.80000000002</v>
      </c>
    </row>
    <row r="308" spans="1:14" s="125" customFormat="1" ht="54" x14ac:dyDescent="0.35">
      <c r="A308" s="11"/>
      <c r="B308" s="518" t="s">
        <v>76</v>
      </c>
      <c r="C308" s="23" t="s">
        <v>425</v>
      </c>
      <c r="D308" s="10" t="s">
        <v>224</v>
      </c>
      <c r="E308" s="10" t="s">
        <v>37</v>
      </c>
      <c r="F308" s="680" t="s">
        <v>39</v>
      </c>
      <c r="G308" s="681" t="s">
        <v>45</v>
      </c>
      <c r="H308" s="681" t="s">
        <v>37</v>
      </c>
      <c r="I308" s="682" t="s">
        <v>270</v>
      </c>
      <c r="J308" s="10" t="s">
        <v>77</v>
      </c>
      <c r="K308" s="24">
        <f>242258.2+2482.6</f>
        <v>244740.80000000002</v>
      </c>
      <c r="L308" s="24">
        <f>M308-K308</f>
        <v>0</v>
      </c>
      <c r="M308" s="24">
        <f>242258.2+2482.6</f>
        <v>244740.80000000002</v>
      </c>
      <c r="N308" s="24">
        <f>242258.2+2482.6</f>
        <v>244740.80000000002</v>
      </c>
    </row>
    <row r="309" spans="1:14" s="125" customFormat="1" ht="54" x14ac:dyDescent="0.35">
      <c r="A309" s="11"/>
      <c r="B309" s="518" t="s">
        <v>233</v>
      </c>
      <c r="C309" s="23" t="s">
        <v>425</v>
      </c>
      <c r="D309" s="10" t="s">
        <v>224</v>
      </c>
      <c r="E309" s="10" t="s">
        <v>37</v>
      </c>
      <c r="F309" s="680" t="s">
        <v>234</v>
      </c>
      <c r="G309" s="681" t="s">
        <v>42</v>
      </c>
      <c r="H309" s="681" t="s">
        <v>43</v>
      </c>
      <c r="I309" s="682" t="s">
        <v>44</v>
      </c>
      <c r="J309" s="10"/>
      <c r="K309" s="24">
        <f t="shared" ref="K309:N312" si="54">K310</f>
        <v>53.4</v>
      </c>
      <c r="L309" s="24">
        <f t="shared" si="54"/>
        <v>0</v>
      </c>
      <c r="M309" s="24">
        <f t="shared" si="54"/>
        <v>53.4</v>
      </c>
      <c r="N309" s="24">
        <f t="shared" si="54"/>
        <v>53.4</v>
      </c>
    </row>
    <row r="310" spans="1:14" s="125" customFormat="1" ht="36" x14ac:dyDescent="0.35">
      <c r="A310" s="11"/>
      <c r="B310" s="518" t="s">
        <v>339</v>
      </c>
      <c r="C310" s="23" t="s">
        <v>425</v>
      </c>
      <c r="D310" s="10" t="s">
        <v>224</v>
      </c>
      <c r="E310" s="10" t="s">
        <v>37</v>
      </c>
      <c r="F310" s="680" t="s">
        <v>234</v>
      </c>
      <c r="G310" s="681" t="s">
        <v>45</v>
      </c>
      <c r="H310" s="681" t="s">
        <v>43</v>
      </c>
      <c r="I310" s="682" t="s">
        <v>44</v>
      </c>
      <c r="J310" s="10"/>
      <c r="K310" s="24">
        <f t="shared" si="54"/>
        <v>53.4</v>
      </c>
      <c r="L310" s="24">
        <f t="shared" si="54"/>
        <v>0</v>
      </c>
      <c r="M310" s="24">
        <f t="shared" si="54"/>
        <v>53.4</v>
      </c>
      <c r="N310" s="24">
        <f t="shared" si="54"/>
        <v>53.4</v>
      </c>
    </row>
    <row r="311" spans="1:14" s="125" customFormat="1" ht="144" x14ac:dyDescent="0.35">
      <c r="A311" s="11"/>
      <c r="B311" s="518" t="s">
        <v>743</v>
      </c>
      <c r="C311" s="23" t="s">
        <v>425</v>
      </c>
      <c r="D311" s="10" t="s">
        <v>224</v>
      </c>
      <c r="E311" s="10" t="s">
        <v>37</v>
      </c>
      <c r="F311" s="680" t="s">
        <v>234</v>
      </c>
      <c r="G311" s="681" t="s">
        <v>45</v>
      </c>
      <c r="H311" s="681" t="s">
        <v>37</v>
      </c>
      <c r="I311" s="682" t="s">
        <v>44</v>
      </c>
      <c r="J311" s="10"/>
      <c r="K311" s="24">
        <f>K312</f>
        <v>53.4</v>
      </c>
      <c r="L311" s="24">
        <f>L312</f>
        <v>0</v>
      </c>
      <c r="M311" s="24">
        <f>M312</f>
        <v>53.4</v>
      </c>
      <c r="N311" s="24">
        <f>N312</f>
        <v>53.4</v>
      </c>
    </row>
    <row r="312" spans="1:14" s="125" customFormat="1" ht="36" x14ac:dyDescent="0.35">
      <c r="A312" s="11"/>
      <c r="B312" s="518" t="s">
        <v>235</v>
      </c>
      <c r="C312" s="23" t="s">
        <v>425</v>
      </c>
      <c r="D312" s="10" t="s">
        <v>224</v>
      </c>
      <c r="E312" s="10" t="s">
        <v>37</v>
      </c>
      <c r="F312" s="680" t="s">
        <v>234</v>
      </c>
      <c r="G312" s="681" t="s">
        <v>45</v>
      </c>
      <c r="H312" s="681" t="s">
        <v>37</v>
      </c>
      <c r="I312" s="682" t="s">
        <v>280</v>
      </c>
      <c r="J312" s="10"/>
      <c r="K312" s="24">
        <f t="shared" si="54"/>
        <v>53.4</v>
      </c>
      <c r="L312" s="24">
        <f t="shared" si="54"/>
        <v>0</v>
      </c>
      <c r="M312" s="24">
        <f t="shared" si="54"/>
        <v>53.4</v>
      </c>
      <c r="N312" s="24">
        <f t="shared" si="54"/>
        <v>53.4</v>
      </c>
    </row>
    <row r="313" spans="1:14" s="125" customFormat="1" ht="54" x14ac:dyDescent="0.35">
      <c r="A313" s="11"/>
      <c r="B313" s="518" t="s">
        <v>76</v>
      </c>
      <c r="C313" s="23" t="s">
        <v>425</v>
      </c>
      <c r="D313" s="10" t="s">
        <v>224</v>
      </c>
      <c r="E313" s="10" t="s">
        <v>37</v>
      </c>
      <c r="F313" s="680" t="s">
        <v>234</v>
      </c>
      <c r="G313" s="681" t="s">
        <v>45</v>
      </c>
      <c r="H313" s="681" t="s">
        <v>37</v>
      </c>
      <c r="I313" s="682" t="s">
        <v>280</v>
      </c>
      <c r="J313" s="10" t="s">
        <v>77</v>
      </c>
      <c r="K313" s="24">
        <v>53.4</v>
      </c>
      <c r="L313" s="24">
        <f>M313-K313</f>
        <v>0</v>
      </c>
      <c r="M313" s="24">
        <v>53.4</v>
      </c>
      <c r="N313" s="24">
        <v>53.4</v>
      </c>
    </row>
    <row r="314" spans="1:14" s="125" customFormat="1" ht="18" x14ac:dyDescent="0.35">
      <c r="A314" s="11"/>
      <c r="B314" s="518" t="s">
        <v>183</v>
      </c>
      <c r="C314" s="23" t="s">
        <v>425</v>
      </c>
      <c r="D314" s="10" t="s">
        <v>224</v>
      </c>
      <c r="E314" s="10" t="s">
        <v>39</v>
      </c>
      <c r="F314" s="680"/>
      <c r="G314" s="681"/>
      <c r="H314" s="681"/>
      <c r="I314" s="682"/>
      <c r="J314" s="10"/>
      <c r="K314" s="24">
        <f>K315</f>
        <v>703477.19999999984</v>
      </c>
      <c r="L314" s="24">
        <f>L315</f>
        <v>0</v>
      </c>
      <c r="M314" s="24">
        <f>M315</f>
        <v>703477.19999999984</v>
      </c>
      <c r="N314" s="24">
        <f>N315</f>
        <v>711473.5</v>
      </c>
    </row>
    <row r="315" spans="1:14" s="125" customFormat="1" ht="54" x14ac:dyDescent="0.35">
      <c r="A315" s="11"/>
      <c r="B315" s="518" t="s">
        <v>205</v>
      </c>
      <c r="C315" s="23" t="s">
        <v>425</v>
      </c>
      <c r="D315" s="10" t="s">
        <v>224</v>
      </c>
      <c r="E315" s="10" t="s">
        <v>39</v>
      </c>
      <c r="F315" s="680" t="s">
        <v>39</v>
      </c>
      <c r="G315" s="681" t="s">
        <v>42</v>
      </c>
      <c r="H315" s="681" t="s">
        <v>43</v>
      </c>
      <c r="I315" s="682" t="s">
        <v>44</v>
      </c>
      <c r="J315" s="10"/>
      <c r="K315" s="24">
        <f>K316+K360</f>
        <v>703477.19999999984</v>
      </c>
      <c r="L315" s="24">
        <f>L316+L360</f>
        <v>0</v>
      </c>
      <c r="M315" s="24">
        <f>M316+M360</f>
        <v>703477.19999999984</v>
      </c>
      <c r="N315" s="24">
        <f>N316+N360</f>
        <v>711473.5</v>
      </c>
    </row>
    <row r="316" spans="1:14" s="125" customFormat="1" ht="36" x14ac:dyDescent="0.35">
      <c r="A316" s="11"/>
      <c r="B316" s="518" t="s">
        <v>206</v>
      </c>
      <c r="C316" s="23" t="s">
        <v>425</v>
      </c>
      <c r="D316" s="10" t="s">
        <v>224</v>
      </c>
      <c r="E316" s="10" t="s">
        <v>39</v>
      </c>
      <c r="F316" s="680" t="s">
        <v>39</v>
      </c>
      <c r="G316" s="681" t="s">
        <v>45</v>
      </c>
      <c r="H316" s="681" t="s">
        <v>43</v>
      </c>
      <c r="I316" s="682" t="s">
        <v>44</v>
      </c>
      <c r="J316" s="10"/>
      <c r="K316" s="24">
        <f t="shared" ref="K316" si="55">K317+K357</f>
        <v>701304.59999999986</v>
      </c>
      <c r="L316" s="24">
        <f>L317+L357</f>
        <v>0</v>
      </c>
      <c r="M316" s="24">
        <f t="shared" ref="M316:N316" si="56">M317+M357</f>
        <v>701304.59999999986</v>
      </c>
      <c r="N316" s="24">
        <f t="shared" si="56"/>
        <v>709306.8</v>
      </c>
    </row>
    <row r="317" spans="1:14" s="125" customFormat="1" ht="18" x14ac:dyDescent="0.35">
      <c r="A317" s="11"/>
      <c r="B317" s="518" t="s">
        <v>272</v>
      </c>
      <c r="C317" s="23" t="s">
        <v>425</v>
      </c>
      <c r="D317" s="10" t="s">
        <v>224</v>
      </c>
      <c r="E317" s="10" t="s">
        <v>39</v>
      </c>
      <c r="F317" s="680" t="s">
        <v>39</v>
      </c>
      <c r="G317" s="681" t="s">
        <v>45</v>
      </c>
      <c r="H317" s="681" t="s">
        <v>39</v>
      </c>
      <c r="I317" s="682" t="s">
        <v>44</v>
      </c>
      <c r="J317" s="10"/>
      <c r="K317" s="24">
        <f>K333+K337+K341+K318+K326+K348+K330+K323+K353+K344+K351</f>
        <v>695847.09999999986</v>
      </c>
      <c r="L317" s="24">
        <f>L333+L337+L341+L318+L326+L348+L330+L323+L353+L344+L351</f>
        <v>0</v>
      </c>
      <c r="M317" s="24">
        <f>M333+M337+M341+M318+M326+M348+M330+M323+M353+M344+M351</f>
        <v>695847.09999999986</v>
      </c>
      <c r="N317" s="24">
        <f>N333+N337+N341+N318+N326+N348+N330+N323+N353+N344+N351</f>
        <v>703849.3</v>
      </c>
    </row>
    <row r="318" spans="1:14" s="121" customFormat="1" ht="36" x14ac:dyDescent="0.35">
      <c r="A318" s="11"/>
      <c r="B318" s="596" t="s">
        <v>466</v>
      </c>
      <c r="C318" s="23" t="s">
        <v>425</v>
      </c>
      <c r="D318" s="10" t="s">
        <v>224</v>
      </c>
      <c r="E318" s="10" t="s">
        <v>39</v>
      </c>
      <c r="F318" s="680" t="s">
        <v>39</v>
      </c>
      <c r="G318" s="681" t="s">
        <v>45</v>
      </c>
      <c r="H318" s="681" t="s">
        <v>39</v>
      </c>
      <c r="I318" s="682" t="s">
        <v>91</v>
      </c>
      <c r="J318" s="10"/>
      <c r="K318" s="24">
        <f>K321+K322+K320+K319</f>
        <v>81087.199999999997</v>
      </c>
      <c r="L318" s="24">
        <f>L321+L322+L320+L319</f>
        <v>0</v>
      </c>
      <c r="M318" s="24">
        <f>M321+M322+M320+M319</f>
        <v>81087.199999999997</v>
      </c>
      <c r="N318" s="24">
        <f>N321+N322+N320+N319</f>
        <v>94774.8</v>
      </c>
    </row>
    <row r="319" spans="1:14" s="121" customFormat="1" ht="108" x14ac:dyDescent="0.35">
      <c r="A319" s="11"/>
      <c r="B319" s="518" t="s">
        <v>49</v>
      </c>
      <c r="C319" s="23" t="s">
        <v>425</v>
      </c>
      <c r="D319" s="10" t="s">
        <v>224</v>
      </c>
      <c r="E319" s="10" t="s">
        <v>39</v>
      </c>
      <c r="F319" s="680" t="s">
        <v>39</v>
      </c>
      <c r="G319" s="681" t="s">
        <v>45</v>
      </c>
      <c r="H319" s="681" t="s">
        <v>39</v>
      </c>
      <c r="I319" s="682" t="s">
        <v>91</v>
      </c>
      <c r="J319" s="10" t="s">
        <v>50</v>
      </c>
      <c r="K319" s="24">
        <v>361.1</v>
      </c>
      <c r="L319" s="24">
        <f>M319-K319</f>
        <v>0</v>
      </c>
      <c r="M319" s="24">
        <v>361.1</v>
      </c>
      <c r="N319" s="24">
        <v>361.1</v>
      </c>
    </row>
    <row r="320" spans="1:14" s="121" customFormat="1" ht="54" x14ac:dyDescent="0.35">
      <c r="A320" s="11"/>
      <c r="B320" s="518" t="s">
        <v>55</v>
      </c>
      <c r="C320" s="23" t="s">
        <v>425</v>
      </c>
      <c r="D320" s="10" t="s">
        <v>224</v>
      </c>
      <c r="E320" s="10" t="s">
        <v>39</v>
      </c>
      <c r="F320" s="680" t="s">
        <v>39</v>
      </c>
      <c r="G320" s="681" t="s">
        <v>45</v>
      </c>
      <c r="H320" s="681" t="s">
        <v>39</v>
      </c>
      <c r="I320" s="682" t="s">
        <v>91</v>
      </c>
      <c r="J320" s="10" t="s">
        <v>56</v>
      </c>
      <c r="K320" s="24">
        <v>8467.9</v>
      </c>
      <c r="L320" s="24">
        <f>M320-K320</f>
        <v>0</v>
      </c>
      <c r="M320" s="24">
        <v>8467.9</v>
      </c>
      <c r="N320" s="24">
        <v>12418.4</v>
      </c>
    </row>
    <row r="321" spans="1:14" s="121" customFormat="1" ht="54" x14ac:dyDescent="0.35">
      <c r="A321" s="11"/>
      <c r="B321" s="518" t="s">
        <v>76</v>
      </c>
      <c r="C321" s="23" t="s">
        <v>425</v>
      </c>
      <c r="D321" s="10" t="s">
        <v>224</v>
      </c>
      <c r="E321" s="10" t="s">
        <v>39</v>
      </c>
      <c r="F321" s="680" t="s">
        <v>39</v>
      </c>
      <c r="G321" s="681" t="s">
        <v>45</v>
      </c>
      <c r="H321" s="681" t="s">
        <v>39</v>
      </c>
      <c r="I321" s="682" t="s">
        <v>91</v>
      </c>
      <c r="J321" s="10" t="s">
        <v>77</v>
      </c>
      <c r="K321" s="24">
        <v>71870.399999999994</v>
      </c>
      <c r="L321" s="24">
        <f>M321-K321</f>
        <v>0</v>
      </c>
      <c r="M321" s="24">
        <v>71870.399999999994</v>
      </c>
      <c r="N321" s="24">
        <v>81618.100000000006</v>
      </c>
    </row>
    <row r="322" spans="1:14" s="121" customFormat="1" ht="18" x14ac:dyDescent="0.35">
      <c r="A322" s="11"/>
      <c r="B322" s="518" t="s">
        <v>57</v>
      </c>
      <c r="C322" s="23" t="s">
        <v>425</v>
      </c>
      <c r="D322" s="10" t="s">
        <v>224</v>
      </c>
      <c r="E322" s="10" t="s">
        <v>39</v>
      </c>
      <c r="F322" s="680" t="s">
        <v>39</v>
      </c>
      <c r="G322" s="681" t="s">
        <v>45</v>
      </c>
      <c r="H322" s="681" t="s">
        <v>39</v>
      </c>
      <c r="I322" s="682" t="s">
        <v>91</v>
      </c>
      <c r="J322" s="10" t="s">
        <v>58</v>
      </c>
      <c r="K322" s="24">
        <v>387.8</v>
      </c>
      <c r="L322" s="24">
        <f>M322-K322</f>
        <v>0</v>
      </c>
      <c r="M322" s="24">
        <v>387.8</v>
      </c>
      <c r="N322" s="24">
        <v>377.2</v>
      </c>
    </row>
    <row r="323" spans="1:14" s="121" customFormat="1" ht="54" x14ac:dyDescent="0.35">
      <c r="A323" s="11"/>
      <c r="B323" s="518" t="s">
        <v>207</v>
      </c>
      <c r="C323" s="23" t="s">
        <v>425</v>
      </c>
      <c r="D323" s="10" t="s">
        <v>224</v>
      </c>
      <c r="E323" s="10" t="s">
        <v>39</v>
      </c>
      <c r="F323" s="680" t="s">
        <v>39</v>
      </c>
      <c r="G323" s="681" t="s">
        <v>45</v>
      </c>
      <c r="H323" s="681" t="s">
        <v>39</v>
      </c>
      <c r="I323" s="682" t="s">
        <v>273</v>
      </c>
      <c r="J323" s="10"/>
      <c r="K323" s="24">
        <f>K324+K325</f>
        <v>29811.599999999999</v>
      </c>
      <c r="L323" s="24">
        <f>L324+L325</f>
        <v>0</v>
      </c>
      <c r="M323" s="24">
        <f>M324+M325</f>
        <v>29811.599999999999</v>
      </c>
      <c r="N323" s="24">
        <f>N324+N325</f>
        <v>29811.599999999999</v>
      </c>
    </row>
    <row r="324" spans="1:14" s="121" customFormat="1" ht="54" x14ac:dyDescent="0.35">
      <c r="A324" s="11"/>
      <c r="B324" s="518" t="s">
        <v>55</v>
      </c>
      <c r="C324" s="23" t="s">
        <v>425</v>
      </c>
      <c r="D324" s="10" t="s">
        <v>224</v>
      </c>
      <c r="E324" s="10" t="s">
        <v>39</v>
      </c>
      <c r="F324" s="680" t="s">
        <v>39</v>
      </c>
      <c r="G324" s="681" t="s">
        <v>45</v>
      </c>
      <c r="H324" s="681" t="s">
        <v>39</v>
      </c>
      <c r="I324" s="682" t="s">
        <v>273</v>
      </c>
      <c r="J324" s="10" t="s">
        <v>56</v>
      </c>
      <c r="K324" s="24">
        <v>4257.3999999999996</v>
      </c>
      <c r="L324" s="24">
        <f>M324-K324</f>
        <v>0</v>
      </c>
      <c r="M324" s="24">
        <v>4257.3999999999996</v>
      </c>
      <c r="N324" s="24">
        <v>4257.3999999999996</v>
      </c>
    </row>
    <row r="325" spans="1:14" s="121" customFormat="1" ht="54" x14ac:dyDescent="0.35">
      <c r="A325" s="11"/>
      <c r="B325" s="518" t="s">
        <v>76</v>
      </c>
      <c r="C325" s="23" t="s">
        <v>425</v>
      </c>
      <c r="D325" s="10" t="s">
        <v>224</v>
      </c>
      <c r="E325" s="10" t="s">
        <v>39</v>
      </c>
      <c r="F325" s="680" t="s">
        <v>39</v>
      </c>
      <c r="G325" s="681" t="s">
        <v>45</v>
      </c>
      <c r="H325" s="681" t="s">
        <v>39</v>
      </c>
      <c r="I325" s="682" t="s">
        <v>273</v>
      </c>
      <c r="J325" s="10" t="s">
        <v>77</v>
      </c>
      <c r="K325" s="24">
        <v>25554.2</v>
      </c>
      <c r="L325" s="24">
        <f>M325-K325</f>
        <v>0</v>
      </c>
      <c r="M325" s="24">
        <v>25554.2</v>
      </c>
      <c r="N325" s="24">
        <v>25554.2</v>
      </c>
    </row>
    <row r="326" spans="1:14" s="121" customFormat="1" ht="36" x14ac:dyDescent="0.35">
      <c r="A326" s="11"/>
      <c r="B326" s="518" t="s">
        <v>208</v>
      </c>
      <c r="C326" s="23" t="s">
        <v>425</v>
      </c>
      <c r="D326" s="10" t="s">
        <v>224</v>
      </c>
      <c r="E326" s="10" t="s">
        <v>39</v>
      </c>
      <c r="F326" s="680" t="s">
        <v>39</v>
      </c>
      <c r="G326" s="681" t="s">
        <v>45</v>
      </c>
      <c r="H326" s="681" t="s">
        <v>39</v>
      </c>
      <c r="I326" s="682" t="s">
        <v>274</v>
      </c>
      <c r="J326" s="10"/>
      <c r="K326" s="24">
        <f>SUM(K327:K329)</f>
        <v>16500.3</v>
      </c>
      <c r="L326" s="24">
        <f>SUM(L327:L329)</f>
        <v>0</v>
      </c>
      <c r="M326" s="24">
        <f>SUM(M327:M329)</f>
        <v>16500.3</v>
      </c>
      <c r="N326" s="24">
        <f>SUM(N327:N329)</f>
        <v>16500.3</v>
      </c>
    </row>
    <row r="327" spans="1:14" s="121" customFormat="1" ht="108" x14ac:dyDescent="0.35">
      <c r="A327" s="11"/>
      <c r="B327" s="518" t="s">
        <v>49</v>
      </c>
      <c r="C327" s="23" t="s">
        <v>425</v>
      </c>
      <c r="D327" s="10" t="s">
        <v>224</v>
      </c>
      <c r="E327" s="10" t="s">
        <v>39</v>
      </c>
      <c r="F327" s="680" t="s">
        <v>39</v>
      </c>
      <c r="G327" s="681" t="s">
        <v>45</v>
      </c>
      <c r="H327" s="681" t="s">
        <v>39</v>
      </c>
      <c r="I327" s="682" t="s">
        <v>274</v>
      </c>
      <c r="J327" s="10" t="s">
        <v>50</v>
      </c>
      <c r="K327" s="24">
        <v>93.8</v>
      </c>
      <c r="L327" s="24">
        <f>M327-K327</f>
        <v>0</v>
      </c>
      <c r="M327" s="24">
        <v>93.8</v>
      </c>
      <c r="N327" s="24">
        <v>93.8</v>
      </c>
    </row>
    <row r="328" spans="1:14" s="121" customFormat="1" ht="54" x14ac:dyDescent="0.35">
      <c r="A328" s="11"/>
      <c r="B328" s="518" t="s">
        <v>55</v>
      </c>
      <c r="C328" s="23" t="s">
        <v>425</v>
      </c>
      <c r="D328" s="10" t="s">
        <v>224</v>
      </c>
      <c r="E328" s="10" t="s">
        <v>39</v>
      </c>
      <c r="F328" s="680" t="s">
        <v>39</v>
      </c>
      <c r="G328" s="681" t="s">
        <v>45</v>
      </c>
      <c r="H328" s="681" t="s">
        <v>39</v>
      </c>
      <c r="I328" s="682" t="s">
        <v>274</v>
      </c>
      <c r="J328" s="10" t="s">
        <v>56</v>
      </c>
      <c r="K328" s="24">
        <v>546.20000000000005</v>
      </c>
      <c r="L328" s="24">
        <f>M328-K328</f>
        <v>0</v>
      </c>
      <c r="M328" s="24">
        <v>546.20000000000005</v>
      </c>
      <c r="N328" s="24">
        <v>546.20000000000005</v>
      </c>
    </row>
    <row r="329" spans="1:14" s="121" customFormat="1" ht="54" x14ac:dyDescent="0.35">
      <c r="A329" s="11"/>
      <c r="B329" s="518" t="s">
        <v>76</v>
      </c>
      <c r="C329" s="23" t="s">
        <v>425</v>
      </c>
      <c r="D329" s="10" t="s">
        <v>224</v>
      </c>
      <c r="E329" s="10" t="s">
        <v>39</v>
      </c>
      <c r="F329" s="680" t="s">
        <v>39</v>
      </c>
      <c r="G329" s="681" t="s">
        <v>45</v>
      </c>
      <c r="H329" s="681" t="s">
        <v>39</v>
      </c>
      <c r="I329" s="682" t="s">
        <v>274</v>
      </c>
      <c r="J329" s="10" t="s">
        <v>77</v>
      </c>
      <c r="K329" s="24">
        <v>15860.3</v>
      </c>
      <c r="L329" s="24">
        <f>M329-K329</f>
        <v>0</v>
      </c>
      <c r="M329" s="24">
        <v>15860.3</v>
      </c>
      <c r="N329" s="24">
        <v>15860.3</v>
      </c>
    </row>
    <row r="330" spans="1:14" s="121" customFormat="1" ht="270" x14ac:dyDescent="0.35">
      <c r="A330" s="11"/>
      <c r="B330" s="518" t="s">
        <v>606</v>
      </c>
      <c r="C330" s="23" t="s">
        <v>425</v>
      </c>
      <c r="D330" s="10" t="s">
        <v>224</v>
      </c>
      <c r="E330" s="10" t="s">
        <v>39</v>
      </c>
      <c r="F330" s="680" t="s">
        <v>39</v>
      </c>
      <c r="G330" s="681" t="s">
        <v>45</v>
      </c>
      <c r="H330" s="681" t="s">
        <v>39</v>
      </c>
      <c r="I330" s="682" t="s">
        <v>524</v>
      </c>
      <c r="J330" s="10"/>
      <c r="K330" s="24">
        <f>K331+K332</f>
        <v>35752.9</v>
      </c>
      <c r="L330" s="24">
        <f>L331+L332</f>
        <v>0</v>
      </c>
      <c r="M330" s="24">
        <f>M331+M332</f>
        <v>35752.9</v>
      </c>
      <c r="N330" s="24">
        <f>N331+N332</f>
        <v>35752.9</v>
      </c>
    </row>
    <row r="331" spans="1:14" s="121" customFormat="1" ht="108" x14ac:dyDescent="0.35">
      <c r="A331" s="11"/>
      <c r="B331" s="518" t="s">
        <v>49</v>
      </c>
      <c r="C331" s="23" t="s">
        <v>425</v>
      </c>
      <c r="D331" s="10" t="s">
        <v>224</v>
      </c>
      <c r="E331" s="10" t="s">
        <v>39</v>
      </c>
      <c r="F331" s="680" t="s">
        <v>39</v>
      </c>
      <c r="G331" s="681" t="s">
        <v>45</v>
      </c>
      <c r="H331" s="681" t="s">
        <v>39</v>
      </c>
      <c r="I331" s="682" t="s">
        <v>524</v>
      </c>
      <c r="J331" s="10" t="s">
        <v>50</v>
      </c>
      <c r="K331" s="24">
        <v>2968.6</v>
      </c>
      <c r="L331" s="24">
        <f>M331-K331</f>
        <v>0</v>
      </c>
      <c r="M331" s="24">
        <v>2968.6</v>
      </c>
      <c r="N331" s="24">
        <v>2968.6</v>
      </c>
    </row>
    <row r="332" spans="1:14" s="121" customFormat="1" ht="54" x14ac:dyDescent="0.35">
      <c r="A332" s="11"/>
      <c r="B332" s="518" t="s">
        <v>76</v>
      </c>
      <c r="C332" s="23" t="s">
        <v>425</v>
      </c>
      <c r="D332" s="10" t="s">
        <v>224</v>
      </c>
      <c r="E332" s="10" t="s">
        <v>39</v>
      </c>
      <c r="F332" s="680" t="s">
        <v>39</v>
      </c>
      <c r="G332" s="681" t="s">
        <v>45</v>
      </c>
      <c r="H332" s="681" t="s">
        <v>39</v>
      </c>
      <c r="I332" s="682" t="s">
        <v>524</v>
      </c>
      <c r="J332" s="10" t="s">
        <v>77</v>
      </c>
      <c r="K332" s="24">
        <v>32784.300000000003</v>
      </c>
      <c r="L332" s="24">
        <f>M332-K332</f>
        <v>0</v>
      </c>
      <c r="M332" s="24">
        <v>32784.300000000003</v>
      </c>
      <c r="N332" s="24">
        <v>32784.300000000003</v>
      </c>
    </row>
    <row r="333" spans="1:14" s="125" customFormat="1" ht="180" x14ac:dyDescent="0.35">
      <c r="A333" s="11"/>
      <c r="B333" s="518" t="s">
        <v>268</v>
      </c>
      <c r="C333" s="23" t="s">
        <v>425</v>
      </c>
      <c r="D333" s="10" t="s">
        <v>224</v>
      </c>
      <c r="E333" s="10" t="s">
        <v>39</v>
      </c>
      <c r="F333" s="680" t="s">
        <v>39</v>
      </c>
      <c r="G333" s="681" t="s">
        <v>45</v>
      </c>
      <c r="H333" s="681" t="s">
        <v>39</v>
      </c>
      <c r="I333" s="682" t="s">
        <v>269</v>
      </c>
      <c r="J333" s="10"/>
      <c r="K333" s="24">
        <f>SUM(K334:K336)</f>
        <v>1599.6</v>
      </c>
      <c r="L333" s="24">
        <f>SUM(L334:L336)</f>
        <v>0</v>
      </c>
      <c r="M333" s="24">
        <f>SUM(M334:M336)</f>
        <v>1599.6</v>
      </c>
      <c r="N333" s="24">
        <f>SUM(N334:N336)</f>
        <v>1663.6</v>
      </c>
    </row>
    <row r="334" spans="1:14" s="125" customFormat="1" ht="108" x14ac:dyDescent="0.35">
      <c r="A334" s="11"/>
      <c r="B334" s="518" t="s">
        <v>49</v>
      </c>
      <c r="C334" s="23" t="s">
        <v>425</v>
      </c>
      <c r="D334" s="10" t="s">
        <v>224</v>
      </c>
      <c r="E334" s="10" t="s">
        <v>39</v>
      </c>
      <c r="F334" s="680" t="s">
        <v>39</v>
      </c>
      <c r="G334" s="681" t="s">
        <v>45</v>
      </c>
      <c r="H334" s="681" t="s">
        <v>39</v>
      </c>
      <c r="I334" s="682" t="s">
        <v>269</v>
      </c>
      <c r="J334" s="10" t="s">
        <v>50</v>
      </c>
      <c r="K334" s="24">
        <v>77.599999999999994</v>
      </c>
      <c r="L334" s="24">
        <f>M334-K334</f>
        <v>0</v>
      </c>
      <c r="M334" s="24">
        <v>77.599999999999994</v>
      </c>
      <c r="N334" s="24">
        <v>80</v>
      </c>
    </row>
    <row r="335" spans="1:14" s="125" customFormat="1" ht="36" x14ac:dyDescent="0.35">
      <c r="A335" s="11"/>
      <c r="B335" s="518" t="s">
        <v>120</v>
      </c>
      <c r="C335" s="23" t="s">
        <v>425</v>
      </c>
      <c r="D335" s="10" t="s">
        <v>224</v>
      </c>
      <c r="E335" s="10" t="s">
        <v>39</v>
      </c>
      <c r="F335" s="680" t="s">
        <v>39</v>
      </c>
      <c r="G335" s="681" t="s">
        <v>45</v>
      </c>
      <c r="H335" s="681" t="s">
        <v>39</v>
      </c>
      <c r="I335" s="682" t="s">
        <v>269</v>
      </c>
      <c r="J335" s="10" t="s">
        <v>121</v>
      </c>
      <c r="K335" s="24">
        <v>5.5</v>
      </c>
      <c r="L335" s="24">
        <f>M335-K335</f>
        <v>0</v>
      </c>
      <c r="M335" s="24">
        <v>5.5</v>
      </c>
      <c r="N335" s="24">
        <v>5.6</v>
      </c>
    </row>
    <row r="336" spans="1:14" s="125" customFormat="1" ht="54" x14ac:dyDescent="0.35">
      <c r="A336" s="11"/>
      <c r="B336" s="518" t="s">
        <v>76</v>
      </c>
      <c r="C336" s="23" t="s">
        <v>425</v>
      </c>
      <c r="D336" s="10" t="s">
        <v>224</v>
      </c>
      <c r="E336" s="10" t="s">
        <v>39</v>
      </c>
      <c r="F336" s="680" t="s">
        <v>39</v>
      </c>
      <c r="G336" s="681" t="s">
        <v>45</v>
      </c>
      <c r="H336" s="681" t="s">
        <v>39</v>
      </c>
      <c r="I336" s="682" t="s">
        <v>269</v>
      </c>
      <c r="J336" s="10" t="s">
        <v>77</v>
      </c>
      <c r="K336" s="24">
        <v>1516.5</v>
      </c>
      <c r="L336" s="24">
        <f>M336-K336</f>
        <v>0</v>
      </c>
      <c r="M336" s="24">
        <v>1516.5</v>
      </c>
      <c r="N336" s="24">
        <v>1578</v>
      </c>
    </row>
    <row r="337" spans="1:17" s="125" customFormat="1" ht="108" x14ac:dyDescent="0.35">
      <c r="A337" s="11"/>
      <c r="B337" s="518" t="s">
        <v>345</v>
      </c>
      <c r="C337" s="23" t="s">
        <v>425</v>
      </c>
      <c r="D337" s="10" t="s">
        <v>224</v>
      </c>
      <c r="E337" s="10" t="s">
        <v>39</v>
      </c>
      <c r="F337" s="680" t="s">
        <v>39</v>
      </c>
      <c r="G337" s="681" t="s">
        <v>45</v>
      </c>
      <c r="H337" s="681" t="s">
        <v>39</v>
      </c>
      <c r="I337" s="682" t="s">
        <v>270</v>
      </c>
      <c r="J337" s="10"/>
      <c r="K337" s="24">
        <f>K338+K339+K340</f>
        <v>444750.99999999994</v>
      </c>
      <c r="L337" s="24">
        <f>L338+L339+L340</f>
        <v>0</v>
      </c>
      <c r="M337" s="24">
        <f>M338+M339+M340</f>
        <v>444750.99999999994</v>
      </c>
      <c r="N337" s="24">
        <f>N338+N339+N340</f>
        <v>444788.39999999997</v>
      </c>
    </row>
    <row r="338" spans="1:17" s="125" customFormat="1" ht="108" x14ac:dyDescent="0.35">
      <c r="A338" s="11"/>
      <c r="B338" s="518" t="s">
        <v>49</v>
      </c>
      <c r="C338" s="23" t="s">
        <v>425</v>
      </c>
      <c r="D338" s="10" t="s">
        <v>224</v>
      </c>
      <c r="E338" s="10" t="s">
        <v>39</v>
      </c>
      <c r="F338" s="680" t="s">
        <v>39</v>
      </c>
      <c r="G338" s="681" t="s">
        <v>45</v>
      </c>
      <c r="H338" s="681" t="s">
        <v>39</v>
      </c>
      <c r="I338" s="682" t="s">
        <v>270</v>
      </c>
      <c r="J338" s="10" t="s">
        <v>50</v>
      </c>
      <c r="K338" s="24">
        <f>30150+109.8</f>
        <v>30259.8</v>
      </c>
      <c r="L338" s="24">
        <f>M338-K338</f>
        <v>0</v>
      </c>
      <c r="M338" s="24">
        <f>30150+109.8</f>
        <v>30259.8</v>
      </c>
      <c r="N338" s="24">
        <f>30150+109.8</f>
        <v>30259.8</v>
      </c>
    </row>
    <row r="339" spans="1:17" s="125" customFormat="1" ht="54" x14ac:dyDescent="0.35">
      <c r="A339" s="11"/>
      <c r="B339" s="518" t="s">
        <v>55</v>
      </c>
      <c r="C339" s="23" t="s">
        <v>425</v>
      </c>
      <c r="D339" s="10" t="s">
        <v>224</v>
      </c>
      <c r="E339" s="10" t="s">
        <v>39</v>
      </c>
      <c r="F339" s="680" t="s">
        <v>39</v>
      </c>
      <c r="G339" s="681" t="s">
        <v>45</v>
      </c>
      <c r="H339" s="681" t="s">
        <v>39</v>
      </c>
      <c r="I339" s="682" t="s">
        <v>270</v>
      </c>
      <c r="J339" s="10" t="s">
        <v>56</v>
      </c>
      <c r="K339" s="24">
        <v>1983</v>
      </c>
      <c r="L339" s="24">
        <f>M339-K339</f>
        <v>0</v>
      </c>
      <c r="M339" s="24">
        <v>1983</v>
      </c>
      <c r="N339" s="24">
        <v>1983</v>
      </c>
    </row>
    <row r="340" spans="1:17" s="125" customFormat="1" ht="54" x14ac:dyDescent="0.35">
      <c r="A340" s="11"/>
      <c r="B340" s="518" t="s">
        <v>76</v>
      </c>
      <c r="C340" s="23" t="s">
        <v>425</v>
      </c>
      <c r="D340" s="10" t="s">
        <v>224</v>
      </c>
      <c r="E340" s="10" t="s">
        <v>39</v>
      </c>
      <c r="F340" s="680" t="s">
        <v>39</v>
      </c>
      <c r="G340" s="681" t="s">
        <v>45</v>
      </c>
      <c r="H340" s="681" t="s">
        <v>39</v>
      </c>
      <c r="I340" s="682" t="s">
        <v>270</v>
      </c>
      <c r="J340" s="10" t="s">
        <v>77</v>
      </c>
      <c r="K340" s="24">
        <f>386982.1+24598.3+927.8</f>
        <v>412508.19999999995</v>
      </c>
      <c r="L340" s="24">
        <f>M340-K340</f>
        <v>0</v>
      </c>
      <c r="M340" s="24">
        <f>386982.1+24598.3+927.8</f>
        <v>412508.19999999995</v>
      </c>
      <c r="N340" s="24">
        <f>387019.5+24598.3+927.8</f>
        <v>412545.6</v>
      </c>
    </row>
    <row r="341" spans="1:17" s="121" customFormat="1" ht="90" x14ac:dyDescent="0.35">
      <c r="A341" s="11"/>
      <c r="B341" s="518" t="s">
        <v>209</v>
      </c>
      <c r="C341" s="23" t="s">
        <v>425</v>
      </c>
      <c r="D341" s="10" t="s">
        <v>224</v>
      </c>
      <c r="E341" s="10" t="s">
        <v>39</v>
      </c>
      <c r="F341" s="680" t="s">
        <v>39</v>
      </c>
      <c r="G341" s="681" t="s">
        <v>45</v>
      </c>
      <c r="H341" s="681" t="s">
        <v>39</v>
      </c>
      <c r="I341" s="682" t="s">
        <v>275</v>
      </c>
      <c r="J341" s="10"/>
      <c r="K341" s="24">
        <f>SUM(K342:K343)</f>
        <v>2502.6</v>
      </c>
      <c r="L341" s="24">
        <f>SUM(L342:L343)</f>
        <v>0</v>
      </c>
      <c r="M341" s="24">
        <f>SUM(M342:M343)</f>
        <v>2502.6</v>
      </c>
      <c r="N341" s="24">
        <f>SUM(N342:N343)</f>
        <v>2502.6</v>
      </c>
    </row>
    <row r="342" spans="1:17" s="121" customFormat="1" ht="54" x14ac:dyDescent="0.35">
      <c r="A342" s="11"/>
      <c r="B342" s="518" t="s">
        <v>55</v>
      </c>
      <c r="C342" s="23" t="s">
        <v>425</v>
      </c>
      <c r="D342" s="10" t="s">
        <v>224</v>
      </c>
      <c r="E342" s="10" t="s">
        <v>39</v>
      </c>
      <c r="F342" s="680" t="s">
        <v>39</v>
      </c>
      <c r="G342" s="681" t="s">
        <v>45</v>
      </c>
      <c r="H342" s="681" t="s">
        <v>39</v>
      </c>
      <c r="I342" s="682" t="s">
        <v>275</v>
      </c>
      <c r="J342" s="10" t="s">
        <v>56</v>
      </c>
      <c r="K342" s="24">
        <v>129.9</v>
      </c>
      <c r="L342" s="24">
        <f>M342-K342</f>
        <v>0</v>
      </c>
      <c r="M342" s="24">
        <v>129.9</v>
      </c>
      <c r="N342" s="24">
        <v>129.9</v>
      </c>
    </row>
    <row r="343" spans="1:17" s="121" customFormat="1" ht="54" x14ac:dyDescent="0.35">
      <c r="A343" s="11"/>
      <c r="B343" s="518" t="s">
        <v>76</v>
      </c>
      <c r="C343" s="23" t="s">
        <v>425</v>
      </c>
      <c r="D343" s="10" t="s">
        <v>224</v>
      </c>
      <c r="E343" s="10" t="s">
        <v>39</v>
      </c>
      <c r="F343" s="680" t="s">
        <v>39</v>
      </c>
      <c r="G343" s="681" t="s">
        <v>45</v>
      </c>
      <c r="H343" s="681" t="s">
        <v>39</v>
      </c>
      <c r="I343" s="682" t="s">
        <v>275</v>
      </c>
      <c r="J343" s="10" t="s">
        <v>77</v>
      </c>
      <c r="K343" s="24">
        <v>2372.6999999999998</v>
      </c>
      <c r="L343" s="24">
        <f>M343-K343</f>
        <v>0</v>
      </c>
      <c r="M343" s="24">
        <v>2372.6999999999998</v>
      </c>
      <c r="N343" s="24">
        <v>2372.6999999999998</v>
      </c>
    </row>
    <row r="344" spans="1:17" s="121" customFormat="1" ht="144" x14ac:dyDescent="0.35">
      <c r="A344" s="11"/>
      <c r="B344" s="518" t="s">
        <v>553</v>
      </c>
      <c r="C344" s="23" t="s">
        <v>425</v>
      </c>
      <c r="D344" s="10" t="s">
        <v>224</v>
      </c>
      <c r="E344" s="10" t="s">
        <v>39</v>
      </c>
      <c r="F344" s="680" t="s">
        <v>39</v>
      </c>
      <c r="G344" s="681" t="s">
        <v>45</v>
      </c>
      <c r="H344" s="681" t="s">
        <v>39</v>
      </c>
      <c r="I344" s="682" t="s">
        <v>552</v>
      </c>
      <c r="J344" s="10"/>
      <c r="K344" s="24">
        <f>SUM(K345:K347)</f>
        <v>2232.2000000000003</v>
      </c>
      <c r="L344" s="24">
        <f>SUM(L345:L347)</f>
        <v>0</v>
      </c>
      <c r="M344" s="24">
        <f>SUM(M345:M347)</f>
        <v>2232.2000000000003</v>
      </c>
      <c r="N344" s="24">
        <f>SUM(N345:N347)</f>
        <v>2086.4</v>
      </c>
    </row>
    <row r="345" spans="1:17" s="121" customFormat="1" ht="54" x14ac:dyDescent="0.35">
      <c r="A345" s="11"/>
      <c r="B345" s="518" t="s">
        <v>55</v>
      </c>
      <c r="C345" s="23" t="s">
        <v>425</v>
      </c>
      <c r="D345" s="10" t="s">
        <v>224</v>
      </c>
      <c r="E345" s="10" t="s">
        <v>39</v>
      </c>
      <c r="F345" s="680" t="s">
        <v>39</v>
      </c>
      <c r="G345" s="681" t="s">
        <v>45</v>
      </c>
      <c r="H345" s="681" t="s">
        <v>39</v>
      </c>
      <c r="I345" s="682" t="s">
        <v>552</v>
      </c>
      <c r="J345" s="10" t="s">
        <v>56</v>
      </c>
      <c r="K345" s="24">
        <v>79.900000000000006</v>
      </c>
      <c r="L345" s="24">
        <f>M345-K345</f>
        <v>0</v>
      </c>
      <c r="M345" s="24">
        <v>79.900000000000006</v>
      </c>
      <c r="N345" s="24">
        <v>66.3</v>
      </c>
    </row>
    <row r="346" spans="1:17" s="121" customFormat="1" ht="36" x14ac:dyDescent="0.35">
      <c r="A346" s="11"/>
      <c r="B346" s="515" t="s">
        <v>120</v>
      </c>
      <c r="C346" s="225" t="s">
        <v>425</v>
      </c>
      <c r="D346" s="28" t="s">
        <v>224</v>
      </c>
      <c r="E346" s="28" t="s">
        <v>39</v>
      </c>
      <c r="F346" s="217" t="s">
        <v>39</v>
      </c>
      <c r="G346" s="218" t="s">
        <v>45</v>
      </c>
      <c r="H346" s="218" t="s">
        <v>39</v>
      </c>
      <c r="I346" s="219" t="s">
        <v>552</v>
      </c>
      <c r="J346" s="28" t="s">
        <v>121</v>
      </c>
      <c r="K346" s="24">
        <v>25.5</v>
      </c>
      <c r="L346" s="24">
        <f>M346-K346</f>
        <v>0</v>
      </c>
      <c r="M346" s="24">
        <v>25.5</v>
      </c>
      <c r="N346" s="24">
        <v>23.6</v>
      </c>
    </row>
    <row r="347" spans="1:17" s="121" customFormat="1" ht="54" x14ac:dyDescent="0.35">
      <c r="A347" s="11"/>
      <c r="B347" s="518" t="s">
        <v>76</v>
      </c>
      <c r="C347" s="23" t="s">
        <v>425</v>
      </c>
      <c r="D347" s="10" t="s">
        <v>224</v>
      </c>
      <c r="E347" s="10" t="s">
        <v>39</v>
      </c>
      <c r="F347" s="680" t="s">
        <v>39</v>
      </c>
      <c r="G347" s="681" t="s">
        <v>45</v>
      </c>
      <c r="H347" s="681" t="s">
        <v>39</v>
      </c>
      <c r="I347" s="682" t="s">
        <v>552</v>
      </c>
      <c r="J347" s="10" t="s">
        <v>77</v>
      </c>
      <c r="K347" s="24">
        <v>2126.8000000000002</v>
      </c>
      <c r="L347" s="24">
        <f>M347-K347</f>
        <v>0</v>
      </c>
      <c r="M347" s="24">
        <v>2126.8000000000002</v>
      </c>
      <c r="N347" s="24">
        <v>1996.5</v>
      </c>
    </row>
    <row r="348" spans="1:17" s="121" customFormat="1" ht="72" x14ac:dyDescent="0.35">
      <c r="A348" s="11"/>
      <c r="B348" s="518" t="s">
        <v>457</v>
      </c>
      <c r="C348" s="23" t="s">
        <v>425</v>
      </c>
      <c r="D348" s="10" t="s">
        <v>224</v>
      </c>
      <c r="E348" s="10" t="s">
        <v>39</v>
      </c>
      <c r="F348" s="680" t="s">
        <v>39</v>
      </c>
      <c r="G348" s="681" t="s">
        <v>45</v>
      </c>
      <c r="H348" s="681" t="s">
        <v>39</v>
      </c>
      <c r="I348" s="682" t="s">
        <v>456</v>
      </c>
      <c r="J348" s="10"/>
      <c r="K348" s="24">
        <f>K349+K350</f>
        <v>63320.5</v>
      </c>
      <c r="L348" s="24">
        <f>L349+L350</f>
        <v>0</v>
      </c>
      <c r="M348" s="24">
        <f>M349+M350</f>
        <v>63320.5</v>
      </c>
      <c r="N348" s="24">
        <f>N349+N350</f>
        <v>62761.9</v>
      </c>
    </row>
    <row r="349" spans="1:17" s="121" customFormat="1" ht="54" x14ac:dyDescent="0.35">
      <c r="A349" s="11"/>
      <c r="B349" s="518" t="s">
        <v>55</v>
      </c>
      <c r="C349" s="23" t="s">
        <v>425</v>
      </c>
      <c r="D349" s="10" t="s">
        <v>224</v>
      </c>
      <c r="E349" s="10" t="s">
        <v>39</v>
      </c>
      <c r="F349" s="680" t="s">
        <v>39</v>
      </c>
      <c r="G349" s="681" t="s">
        <v>45</v>
      </c>
      <c r="H349" s="681" t="s">
        <v>39</v>
      </c>
      <c r="I349" s="682" t="s">
        <v>456</v>
      </c>
      <c r="J349" s="10" t="s">
        <v>56</v>
      </c>
      <c r="K349" s="24">
        <f>1439.7+406.1+54.1+3</f>
        <v>1902.9</v>
      </c>
      <c r="L349" s="24">
        <f>M349-K349</f>
        <v>0</v>
      </c>
      <c r="M349" s="24">
        <f>1439.7+406.1+54.1+3</f>
        <v>1902.9</v>
      </c>
      <c r="N349" s="24">
        <f>1488.2+372+57.5</f>
        <v>1917.7</v>
      </c>
    </row>
    <row r="350" spans="1:17" s="121" customFormat="1" ht="54" x14ac:dyDescent="0.35">
      <c r="A350" s="11"/>
      <c r="B350" s="518" t="s">
        <v>76</v>
      </c>
      <c r="C350" s="23" t="s">
        <v>425</v>
      </c>
      <c r="D350" s="10" t="s">
        <v>224</v>
      </c>
      <c r="E350" s="10" t="s">
        <v>39</v>
      </c>
      <c r="F350" s="680" t="s">
        <v>39</v>
      </c>
      <c r="G350" s="681" t="s">
        <v>45</v>
      </c>
      <c r="H350" s="681" t="s">
        <v>39</v>
      </c>
      <c r="I350" s="682" t="s">
        <v>456</v>
      </c>
      <c r="J350" s="10" t="s">
        <v>77</v>
      </c>
      <c r="K350" s="24">
        <f>46468.5+13106.5+1747.5+95.1</f>
        <v>61417.599999999999</v>
      </c>
      <c r="L350" s="24">
        <f>M350-K350</f>
        <v>0</v>
      </c>
      <c r="M350" s="24">
        <f>46468.5+13106.5+1747.5+95.1</f>
        <v>61417.599999999999</v>
      </c>
      <c r="N350" s="24">
        <f>47215+11803.8+1825.4</f>
        <v>60844.200000000004</v>
      </c>
      <c r="Q350" s="188"/>
    </row>
    <row r="351" spans="1:17" s="121" customFormat="1" ht="180" x14ac:dyDescent="0.35">
      <c r="A351" s="11"/>
      <c r="B351" s="518" t="s">
        <v>554</v>
      </c>
      <c r="C351" s="23" t="s">
        <v>425</v>
      </c>
      <c r="D351" s="10" t="s">
        <v>224</v>
      </c>
      <c r="E351" s="10" t="s">
        <v>39</v>
      </c>
      <c r="F351" s="680" t="s">
        <v>39</v>
      </c>
      <c r="G351" s="681" t="s">
        <v>45</v>
      </c>
      <c r="H351" s="681" t="s">
        <v>39</v>
      </c>
      <c r="I351" s="682" t="s">
        <v>555</v>
      </c>
      <c r="J351" s="10"/>
      <c r="K351" s="24">
        <f>K352</f>
        <v>3900.6</v>
      </c>
      <c r="L351" s="24">
        <f>L352</f>
        <v>0</v>
      </c>
      <c r="M351" s="24">
        <f>M352</f>
        <v>3900.6</v>
      </c>
      <c r="N351" s="24">
        <f>N352</f>
        <v>0</v>
      </c>
      <c r="Q351" s="188"/>
    </row>
    <row r="352" spans="1:17" s="121" customFormat="1" ht="54" x14ac:dyDescent="0.35">
      <c r="A352" s="11"/>
      <c r="B352" s="518" t="s">
        <v>76</v>
      </c>
      <c r="C352" s="23" t="s">
        <v>425</v>
      </c>
      <c r="D352" s="10" t="s">
        <v>224</v>
      </c>
      <c r="E352" s="10" t="s">
        <v>39</v>
      </c>
      <c r="F352" s="680" t="s">
        <v>39</v>
      </c>
      <c r="G352" s="681" t="s">
        <v>45</v>
      </c>
      <c r="H352" s="681" t="s">
        <v>39</v>
      </c>
      <c r="I352" s="682" t="s">
        <v>555</v>
      </c>
      <c r="J352" s="10" t="s">
        <v>77</v>
      </c>
      <c r="K352" s="24">
        <v>3900.6</v>
      </c>
      <c r="L352" s="24">
        <f>M352-K352</f>
        <v>0</v>
      </c>
      <c r="M352" s="24">
        <v>3900.6</v>
      </c>
      <c r="N352" s="24">
        <v>0</v>
      </c>
      <c r="Q352" s="188"/>
    </row>
    <row r="353" spans="1:17" s="121" customFormat="1" ht="90" x14ac:dyDescent="0.35">
      <c r="A353" s="11"/>
      <c r="B353" s="518" t="s">
        <v>550</v>
      </c>
      <c r="C353" s="23" t="s">
        <v>425</v>
      </c>
      <c r="D353" s="10" t="s">
        <v>224</v>
      </c>
      <c r="E353" s="10" t="s">
        <v>39</v>
      </c>
      <c r="F353" s="680" t="s">
        <v>39</v>
      </c>
      <c r="G353" s="681" t="s">
        <v>45</v>
      </c>
      <c r="H353" s="681" t="s">
        <v>39</v>
      </c>
      <c r="I353" s="682" t="s">
        <v>549</v>
      </c>
      <c r="J353" s="10"/>
      <c r="K353" s="24">
        <f>K354+K355+K356</f>
        <v>14388.6</v>
      </c>
      <c r="L353" s="24">
        <f>L354+L355+L356</f>
        <v>0</v>
      </c>
      <c r="M353" s="24">
        <f>M354+M355+M356</f>
        <v>14388.6</v>
      </c>
      <c r="N353" s="24">
        <f>N354+N355+N356</f>
        <v>13206.8</v>
      </c>
      <c r="Q353" s="188"/>
    </row>
    <row r="354" spans="1:17" s="121" customFormat="1" ht="54" x14ac:dyDescent="0.35">
      <c r="A354" s="11"/>
      <c r="B354" s="518" t="s">
        <v>55</v>
      </c>
      <c r="C354" s="23" t="s">
        <v>425</v>
      </c>
      <c r="D354" s="10" t="s">
        <v>224</v>
      </c>
      <c r="E354" s="10" t="s">
        <v>39</v>
      </c>
      <c r="F354" s="680" t="s">
        <v>39</v>
      </c>
      <c r="G354" s="681" t="s">
        <v>45</v>
      </c>
      <c r="H354" s="681" t="s">
        <v>39</v>
      </c>
      <c r="I354" s="682" t="s">
        <v>549</v>
      </c>
      <c r="J354" s="10" t="s">
        <v>56</v>
      </c>
      <c r="K354" s="24">
        <v>90.6</v>
      </c>
      <c r="L354" s="24">
        <f>M354-K354</f>
        <v>0</v>
      </c>
      <c r="M354" s="24">
        <v>90.6</v>
      </c>
      <c r="N354" s="24">
        <v>71.900000000000006</v>
      </c>
      <c r="Q354" s="188"/>
    </row>
    <row r="355" spans="1:17" s="121" customFormat="1" ht="36" x14ac:dyDescent="0.35">
      <c r="A355" s="11"/>
      <c r="B355" s="518" t="s">
        <v>120</v>
      </c>
      <c r="C355" s="23" t="s">
        <v>425</v>
      </c>
      <c r="D355" s="10" t="s">
        <v>224</v>
      </c>
      <c r="E355" s="10" t="s">
        <v>39</v>
      </c>
      <c r="F355" s="680" t="s">
        <v>39</v>
      </c>
      <c r="G355" s="681" t="s">
        <v>45</v>
      </c>
      <c r="H355" s="681" t="s">
        <v>39</v>
      </c>
      <c r="I355" s="682" t="s">
        <v>549</v>
      </c>
      <c r="J355" s="10" t="s">
        <v>121</v>
      </c>
      <c r="K355" s="24">
        <v>102</v>
      </c>
      <c r="L355" s="24">
        <f>M355-K355</f>
        <v>0</v>
      </c>
      <c r="M355" s="24">
        <v>102</v>
      </c>
      <c r="N355" s="24">
        <v>102</v>
      </c>
      <c r="Q355" s="188"/>
    </row>
    <row r="356" spans="1:17" s="121" customFormat="1" ht="54" x14ac:dyDescent="0.35">
      <c r="A356" s="11"/>
      <c r="B356" s="518" t="s">
        <v>76</v>
      </c>
      <c r="C356" s="23" t="s">
        <v>425</v>
      </c>
      <c r="D356" s="10" t="s">
        <v>224</v>
      </c>
      <c r="E356" s="10" t="s">
        <v>39</v>
      </c>
      <c r="F356" s="680" t="s">
        <v>39</v>
      </c>
      <c r="G356" s="681" t="s">
        <v>45</v>
      </c>
      <c r="H356" s="681" t="s">
        <v>39</v>
      </c>
      <c r="I356" s="682" t="s">
        <v>549</v>
      </c>
      <c r="J356" s="10" t="s">
        <v>77</v>
      </c>
      <c r="K356" s="24">
        <v>14196</v>
      </c>
      <c r="L356" s="24">
        <f>M356-K356</f>
        <v>0</v>
      </c>
      <c r="M356" s="24">
        <v>14196</v>
      </c>
      <c r="N356" s="24">
        <v>13032.9</v>
      </c>
      <c r="Q356" s="188"/>
    </row>
    <row r="357" spans="1:17" s="121" customFormat="1" ht="90" x14ac:dyDescent="0.35">
      <c r="A357" s="11"/>
      <c r="B357" s="518" t="s">
        <v>676</v>
      </c>
      <c r="C357" s="23" t="s">
        <v>425</v>
      </c>
      <c r="D357" s="10" t="s">
        <v>224</v>
      </c>
      <c r="E357" s="10" t="s">
        <v>39</v>
      </c>
      <c r="F357" s="680" t="s">
        <v>39</v>
      </c>
      <c r="G357" s="681" t="s">
        <v>45</v>
      </c>
      <c r="H357" s="681" t="s">
        <v>657</v>
      </c>
      <c r="I357" s="682" t="s">
        <v>675</v>
      </c>
      <c r="J357" s="10"/>
      <c r="K357" s="24">
        <f>K358+K359</f>
        <v>5457.5</v>
      </c>
      <c r="L357" s="24">
        <f>L358+L359</f>
        <v>0</v>
      </c>
      <c r="M357" s="24">
        <f>M358+M359</f>
        <v>5457.5</v>
      </c>
      <c r="N357" s="24">
        <f>N358+N359</f>
        <v>5457.5</v>
      </c>
      <c r="Q357" s="188"/>
    </row>
    <row r="358" spans="1:17" s="121" customFormat="1" ht="108" x14ac:dyDescent="0.35">
      <c r="A358" s="11"/>
      <c r="B358" s="518" t="s">
        <v>49</v>
      </c>
      <c r="C358" s="23" t="s">
        <v>425</v>
      </c>
      <c r="D358" s="10" t="s">
        <v>224</v>
      </c>
      <c r="E358" s="10" t="s">
        <v>39</v>
      </c>
      <c r="F358" s="680" t="s">
        <v>39</v>
      </c>
      <c r="G358" s="681" t="s">
        <v>45</v>
      </c>
      <c r="H358" s="681" t="s">
        <v>657</v>
      </c>
      <c r="I358" s="682" t="s">
        <v>675</v>
      </c>
      <c r="J358" s="10" t="s">
        <v>50</v>
      </c>
      <c r="K358" s="24">
        <v>399.32925</v>
      </c>
      <c r="L358" s="24">
        <f t="shared" ref="L358:L359" si="57">M358-K358</f>
        <v>0</v>
      </c>
      <c r="M358" s="24">
        <v>399.32925</v>
      </c>
      <c r="N358" s="24">
        <v>399.32925</v>
      </c>
      <c r="Q358" s="188"/>
    </row>
    <row r="359" spans="1:17" s="121" customFormat="1" ht="54" x14ac:dyDescent="0.35">
      <c r="A359" s="11"/>
      <c r="B359" s="518" t="s">
        <v>76</v>
      </c>
      <c r="C359" s="23" t="s">
        <v>425</v>
      </c>
      <c r="D359" s="10" t="s">
        <v>224</v>
      </c>
      <c r="E359" s="10" t="s">
        <v>39</v>
      </c>
      <c r="F359" s="680" t="s">
        <v>39</v>
      </c>
      <c r="G359" s="681" t="s">
        <v>45</v>
      </c>
      <c r="H359" s="681" t="s">
        <v>657</v>
      </c>
      <c r="I359" s="682" t="s">
        <v>675</v>
      </c>
      <c r="J359" s="10" t="s">
        <v>77</v>
      </c>
      <c r="K359" s="24">
        <v>5058.1707500000002</v>
      </c>
      <c r="L359" s="24">
        <f t="shared" si="57"/>
        <v>0</v>
      </c>
      <c r="M359" s="24">
        <v>5058.1707500000002</v>
      </c>
      <c r="N359" s="24">
        <v>5058.1707500000002</v>
      </c>
      <c r="Q359" s="188"/>
    </row>
    <row r="360" spans="1:17" s="125" customFormat="1" ht="54" x14ac:dyDescent="0.35">
      <c r="A360" s="11"/>
      <c r="B360" s="518" t="s">
        <v>212</v>
      </c>
      <c r="C360" s="23" t="s">
        <v>425</v>
      </c>
      <c r="D360" s="10" t="s">
        <v>224</v>
      </c>
      <c r="E360" s="10" t="s">
        <v>39</v>
      </c>
      <c r="F360" s="680" t="s">
        <v>39</v>
      </c>
      <c r="G360" s="681" t="s">
        <v>30</v>
      </c>
      <c r="H360" s="681" t="s">
        <v>43</v>
      </c>
      <c r="I360" s="682" t="s">
        <v>44</v>
      </c>
      <c r="J360" s="10"/>
      <c r="K360" s="24">
        <f t="shared" ref="K360:N361" si="58">K361</f>
        <v>2172.6</v>
      </c>
      <c r="L360" s="24">
        <f t="shared" si="58"/>
        <v>0</v>
      </c>
      <c r="M360" s="24">
        <f t="shared" si="58"/>
        <v>2172.6</v>
      </c>
      <c r="N360" s="24">
        <f t="shared" si="58"/>
        <v>2166.6999999999998</v>
      </c>
    </row>
    <row r="361" spans="1:17" s="125" customFormat="1" ht="36" x14ac:dyDescent="0.35">
      <c r="A361" s="11"/>
      <c r="B361" s="518" t="s">
        <v>282</v>
      </c>
      <c r="C361" s="23" t="s">
        <v>425</v>
      </c>
      <c r="D361" s="10" t="s">
        <v>224</v>
      </c>
      <c r="E361" s="10" t="s">
        <v>39</v>
      </c>
      <c r="F361" s="680" t="s">
        <v>39</v>
      </c>
      <c r="G361" s="681" t="s">
        <v>30</v>
      </c>
      <c r="H361" s="681" t="s">
        <v>37</v>
      </c>
      <c r="I361" s="682" t="s">
        <v>44</v>
      </c>
      <c r="J361" s="10"/>
      <c r="K361" s="24">
        <f t="shared" si="58"/>
        <v>2172.6</v>
      </c>
      <c r="L361" s="24">
        <f t="shared" si="58"/>
        <v>0</v>
      </c>
      <c r="M361" s="24">
        <f t="shared" si="58"/>
        <v>2172.6</v>
      </c>
      <c r="N361" s="24">
        <f t="shared" si="58"/>
        <v>2166.6999999999998</v>
      </c>
    </row>
    <row r="362" spans="1:17" s="125" customFormat="1" ht="252" x14ac:dyDescent="0.35">
      <c r="A362" s="11"/>
      <c r="B362" s="518" t="s">
        <v>436</v>
      </c>
      <c r="C362" s="23" t="s">
        <v>425</v>
      </c>
      <c r="D362" s="10" t="s">
        <v>224</v>
      </c>
      <c r="E362" s="10" t="s">
        <v>39</v>
      </c>
      <c r="F362" s="680" t="s">
        <v>39</v>
      </c>
      <c r="G362" s="681" t="s">
        <v>30</v>
      </c>
      <c r="H362" s="681" t="s">
        <v>37</v>
      </c>
      <c r="I362" s="682" t="s">
        <v>346</v>
      </c>
      <c r="J362" s="10"/>
      <c r="K362" s="24">
        <f>SUM(K363:K364)</f>
        <v>2172.6</v>
      </c>
      <c r="L362" s="24">
        <f>SUM(L363:L364)</f>
        <v>0</v>
      </c>
      <c r="M362" s="24">
        <f>SUM(M363:M364)</f>
        <v>2172.6</v>
      </c>
      <c r="N362" s="24">
        <f>SUM(N363:N364)</f>
        <v>2166.6999999999998</v>
      </c>
    </row>
    <row r="363" spans="1:17" s="125" customFormat="1" ht="108" x14ac:dyDescent="0.35">
      <c r="A363" s="11"/>
      <c r="B363" s="518" t="s">
        <v>49</v>
      </c>
      <c r="C363" s="23" t="s">
        <v>425</v>
      </c>
      <c r="D363" s="10" t="s">
        <v>224</v>
      </c>
      <c r="E363" s="10" t="s">
        <v>39</v>
      </c>
      <c r="F363" s="680" t="s">
        <v>39</v>
      </c>
      <c r="G363" s="681" t="s">
        <v>30</v>
      </c>
      <c r="H363" s="681" t="s">
        <v>37</v>
      </c>
      <c r="I363" s="682" t="s">
        <v>346</v>
      </c>
      <c r="J363" s="10" t="s">
        <v>50</v>
      </c>
      <c r="K363" s="24">
        <v>8.1999999999999993</v>
      </c>
      <c r="L363" s="24">
        <f>M363-K363</f>
        <v>0</v>
      </c>
      <c r="M363" s="24">
        <v>8.1999999999999993</v>
      </c>
      <c r="N363" s="24">
        <v>8.1999999999999993</v>
      </c>
    </row>
    <row r="364" spans="1:17" s="125" customFormat="1" ht="54" x14ac:dyDescent="0.35">
      <c r="A364" s="11"/>
      <c r="B364" s="518" t="s">
        <v>76</v>
      </c>
      <c r="C364" s="23" t="s">
        <v>425</v>
      </c>
      <c r="D364" s="10" t="s">
        <v>224</v>
      </c>
      <c r="E364" s="10" t="s">
        <v>39</v>
      </c>
      <c r="F364" s="680" t="s">
        <v>39</v>
      </c>
      <c r="G364" s="681" t="s">
        <v>30</v>
      </c>
      <c r="H364" s="681" t="s">
        <v>37</v>
      </c>
      <c r="I364" s="682" t="s">
        <v>346</v>
      </c>
      <c r="J364" s="10" t="s">
        <v>77</v>
      </c>
      <c r="K364" s="24">
        <v>2164.4</v>
      </c>
      <c r="L364" s="24">
        <f>M364-K364</f>
        <v>0</v>
      </c>
      <c r="M364" s="24">
        <v>2164.4</v>
      </c>
      <c r="N364" s="24">
        <v>2158.5</v>
      </c>
    </row>
    <row r="365" spans="1:17" s="125" customFormat="1" ht="18" x14ac:dyDescent="0.35">
      <c r="A365" s="11"/>
      <c r="B365" s="518" t="s">
        <v>349</v>
      </c>
      <c r="C365" s="23" t="s">
        <v>425</v>
      </c>
      <c r="D365" s="10" t="s">
        <v>224</v>
      </c>
      <c r="E365" s="10" t="s">
        <v>63</v>
      </c>
      <c r="F365" s="680"/>
      <c r="G365" s="681"/>
      <c r="H365" s="681"/>
      <c r="I365" s="682"/>
      <c r="J365" s="10"/>
      <c r="K365" s="24">
        <f>K366</f>
        <v>70176.599999999991</v>
      </c>
      <c r="L365" s="24">
        <f>L366</f>
        <v>0</v>
      </c>
      <c r="M365" s="24">
        <f>M366</f>
        <v>70176.599999999991</v>
      </c>
      <c r="N365" s="24">
        <f>N366</f>
        <v>80775.10000000002</v>
      </c>
    </row>
    <row r="366" spans="1:17" s="125" customFormat="1" ht="54" x14ac:dyDescent="0.35">
      <c r="A366" s="11"/>
      <c r="B366" s="587" t="s">
        <v>205</v>
      </c>
      <c r="C366" s="23" t="s">
        <v>425</v>
      </c>
      <c r="D366" s="10" t="s">
        <v>224</v>
      </c>
      <c r="E366" s="10" t="s">
        <v>63</v>
      </c>
      <c r="F366" s="680" t="s">
        <v>39</v>
      </c>
      <c r="G366" s="681" t="s">
        <v>42</v>
      </c>
      <c r="H366" s="681" t="s">
        <v>43</v>
      </c>
      <c r="I366" s="682" t="s">
        <v>44</v>
      </c>
      <c r="J366" s="10"/>
      <c r="K366" s="24">
        <f t="shared" ref="K366:N367" si="59">K367</f>
        <v>70176.599999999991</v>
      </c>
      <c r="L366" s="24">
        <f t="shared" si="59"/>
        <v>0</v>
      </c>
      <c r="M366" s="24">
        <f t="shared" si="59"/>
        <v>70176.599999999991</v>
      </c>
      <c r="N366" s="24">
        <f t="shared" si="59"/>
        <v>80775.10000000002</v>
      </c>
    </row>
    <row r="367" spans="1:17" s="125" customFormat="1" ht="18" x14ac:dyDescent="0.35">
      <c r="A367" s="11"/>
      <c r="B367" s="518" t="s">
        <v>210</v>
      </c>
      <c r="C367" s="23" t="s">
        <v>425</v>
      </c>
      <c r="D367" s="10" t="s">
        <v>224</v>
      </c>
      <c r="E367" s="10" t="s">
        <v>63</v>
      </c>
      <c r="F367" s="680" t="s">
        <v>39</v>
      </c>
      <c r="G367" s="681" t="s">
        <v>89</v>
      </c>
      <c r="H367" s="681" t="s">
        <v>43</v>
      </c>
      <c r="I367" s="682" t="s">
        <v>44</v>
      </c>
      <c r="J367" s="10"/>
      <c r="K367" s="24">
        <f t="shared" si="59"/>
        <v>70176.599999999991</v>
      </c>
      <c r="L367" s="24">
        <f t="shared" si="59"/>
        <v>0</v>
      </c>
      <c r="M367" s="24">
        <f t="shared" si="59"/>
        <v>70176.599999999991</v>
      </c>
      <c r="N367" s="24">
        <f t="shared" si="59"/>
        <v>80775.10000000002</v>
      </c>
    </row>
    <row r="368" spans="1:17" s="125" customFormat="1" ht="36" x14ac:dyDescent="0.35">
      <c r="A368" s="11"/>
      <c r="B368" s="518" t="s">
        <v>276</v>
      </c>
      <c r="C368" s="23" t="s">
        <v>425</v>
      </c>
      <c r="D368" s="10" t="s">
        <v>224</v>
      </c>
      <c r="E368" s="10" t="s">
        <v>63</v>
      </c>
      <c r="F368" s="680" t="s">
        <v>39</v>
      </c>
      <c r="G368" s="681" t="s">
        <v>89</v>
      </c>
      <c r="H368" s="681" t="s">
        <v>37</v>
      </c>
      <c r="I368" s="682" t="s">
        <v>44</v>
      </c>
      <c r="J368" s="10"/>
      <c r="K368" s="24">
        <f>K369+K377+K379+K374</f>
        <v>70176.599999999991</v>
      </c>
      <c r="L368" s="24">
        <f>L369+L377+L379+L374</f>
        <v>0</v>
      </c>
      <c r="M368" s="24">
        <f>M369+M377+M379+M374</f>
        <v>70176.599999999991</v>
      </c>
      <c r="N368" s="24">
        <f>N369+N377+N379+N374</f>
        <v>80775.10000000002</v>
      </c>
    </row>
    <row r="369" spans="1:14" s="125" customFormat="1" ht="36" x14ac:dyDescent="0.35">
      <c r="A369" s="11"/>
      <c r="B369" s="596" t="s">
        <v>466</v>
      </c>
      <c r="C369" s="23" t="s">
        <v>425</v>
      </c>
      <c r="D369" s="10" t="s">
        <v>224</v>
      </c>
      <c r="E369" s="10" t="s">
        <v>63</v>
      </c>
      <c r="F369" s="680" t="s">
        <v>39</v>
      </c>
      <c r="G369" s="681" t="s">
        <v>89</v>
      </c>
      <c r="H369" s="681" t="s">
        <v>37</v>
      </c>
      <c r="I369" s="682" t="s">
        <v>91</v>
      </c>
      <c r="J369" s="10"/>
      <c r="K369" s="24">
        <f>K372+K370+K371+K373</f>
        <v>53765.799999999996</v>
      </c>
      <c r="L369" s="24">
        <f>L372+L370+L371+L373</f>
        <v>0</v>
      </c>
      <c r="M369" s="24">
        <f>M372+M370+M371+M373</f>
        <v>53765.799999999996</v>
      </c>
      <c r="N369" s="24">
        <f>N372+N370+N371+N373</f>
        <v>64360.80000000001</v>
      </c>
    </row>
    <row r="370" spans="1:14" s="125" customFormat="1" ht="108" x14ac:dyDescent="0.35">
      <c r="A370" s="11"/>
      <c r="B370" s="518" t="s">
        <v>49</v>
      </c>
      <c r="C370" s="23" t="s">
        <v>425</v>
      </c>
      <c r="D370" s="10" t="s">
        <v>224</v>
      </c>
      <c r="E370" s="10" t="s">
        <v>63</v>
      </c>
      <c r="F370" s="680" t="s">
        <v>39</v>
      </c>
      <c r="G370" s="681" t="s">
        <v>89</v>
      </c>
      <c r="H370" s="681" t="s">
        <v>37</v>
      </c>
      <c r="I370" s="682" t="s">
        <v>91</v>
      </c>
      <c r="J370" s="10" t="s">
        <v>50</v>
      </c>
      <c r="K370" s="24">
        <f>21569.8-6237.5</f>
        <v>15332.3</v>
      </c>
      <c r="L370" s="24">
        <f>M370-K370</f>
        <v>0</v>
      </c>
      <c r="M370" s="24">
        <f>21569.8-6237.5</f>
        <v>15332.3</v>
      </c>
      <c r="N370" s="24">
        <f>21569.8-6237.5</f>
        <v>15332.3</v>
      </c>
    </row>
    <row r="371" spans="1:14" s="125" customFormat="1" ht="54" x14ac:dyDescent="0.35">
      <c r="A371" s="11"/>
      <c r="B371" s="518" t="s">
        <v>55</v>
      </c>
      <c r="C371" s="23" t="s">
        <v>425</v>
      </c>
      <c r="D371" s="10" t="s">
        <v>224</v>
      </c>
      <c r="E371" s="10" t="s">
        <v>63</v>
      </c>
      <c r="F371" s="680" t="s">
        <v>39</v>
      </c>
      <c r="G371" s="681" t="s">
        <v>89</v>
      </c>
      <c r="H371" s="681" t="s">
        <v>37</v>
      </c>
      <c r="I371" s="682" t="s">
        <v>91</v>
      </c>
      <c r="J371" s="10" t="s">
        <v>56</v>
      </c>
      <c r="K371" s="24">
        <f>2284.2-1161.60847</f>
        <v>1122.5915299999999</v>
      </c>
      <c r="L371" s="24">
        <f>M371-K371</f>
        <v>0</v>
      </c>
      <c r="M371" s="24">
        <f>2284.2-1161.60847</f>
        <v>1122.5915299999999</v>
      </c>
      <c r="N371" s="24">
        <f>8834.2-2294.60847</f>
        <v>6539.5915300000006</v>
      </c>
    </row>
    <row r="372" spans="1:14" s="125" customFormat="1" ht="54" x14ac:dyDescent="0.35">
      <c r="A372" s="11"/>
      <c r="B372" s="518" t="s">
        <v>76</v>
      </c>
      <c r="C372" s="23" t="s">
        <v>425</v>
      </c>
      <c r="D372" s="10" t="s">
        <v>224</v>
      </c>
      <c r="E372" s="10" t="s">
        <v>63</v>
      </c>
      <c r="F372" s="680" t="s">
        <v>39</v>
      </c>
      <c r="G372" s="681" t="s">
        <v>89</v>
      </c>
      <c r="H372" s="681" t="s">
        <v>37</v>
      </c>
      <c r="I372" s="682" t="s">
        <v>91</v>
      </c>
      <c r="J372" s="10" t="s">
        <v>77</v>
      </c>
      <c r="K372" s="24">
        <f>29799+7467.40847</f>
        <v>37266.408470000002</v>
      </c>
      <c r="L372" s="24">
        <f>M372-K372</f>
        <v>0</v>
      </c>
      <c r="M372" s="24">
        <f>29799+7467.40847</f>
        <v>37266.408470000002</v>
      </c>
      <c r="N372" s="24">
        <f>33844.3+8600.30847</f>
        <v>42444.608470000006</v>
      </c>
    </row>
    <row r="373" spans="1:14" s="125" customFormat="1" ht="18" x14ac:dyDescent="0.35">
      <c r="A373" s="11"/>
      <c r="B373" s="518" t="s">
        <v>57</v>
      </c>
      <c r="C373" s="23" t="s">
        <v>425</v>
      </c>
      <c r="D373" s="10" t="s">
        <v>224</v>
      </c>
      <c r="E373" s="10" t="s">
        <v>63</v>
      </c>
      <c r="F373" s="680" t="s">
        <v>39</v>
      </c>
      <c r="G373" s="681" t="s">
        <v>89</v>
      </c>
      <c r="H373" s="681" t="s">
        <v>37</v>
      </c>
      <c r="I373" s="682" t="s">
        <v>91</v>
      </c>
      <c r="J373" s="10" t="s">
        <v>58</v>
      </c>
      <c r="K373" s="24">
        <f>112.8-68.3</f>
        <v>44.5</v>
      </c>
      <c r="L373" s="24">
        <f>M373-K373</f>
        <v>0</v>
      </c>
      <c r="M373" s="24">
        <f>112.8-68.3</f>
        <v>44.5</v>
      </c>
      <c r="N373" s="24">
        <f>112.5-68.2</f>
        <v>44.3</v>
      </c>
    </row>
    <row r="374" spans="1:14" s="125" customFormat="1" ht="54" x14ac:dyDescent="0.35">
      <c r="A374" s="11"/>
      <c r="B374" s="518" t="s">
        <v>207</v>
      </c>
      <c r="C374" s="23" t="s">
        <v>425</v>
      </c>
      <c r="D374" s="10" t="s">
        <v>224</v>
      </c>
      <c r="E374" s="10" t="s">
        <v>63</v>
      </c>
      <c r="F374" s="680" t="s">
        <v>39</v>
      </c>
      <c r="G374" s="681" t="s">
        <v>89</v>
      </c>
      <c r="H374" s="681" t="s">
        <v>37</v>
      </c>
      <c r="I374" s="682" t="s">
        <v>273</v>
      </c>
      <c r="J374" s="10"/>
      <c r="K374" s="24">
        <f>K375+K376</f>
        <v>5321.7999999999993</v>
      </c>
      <c r="L374" s="24">
        <f>L375+L376</f>
        <v>0</v>
      </c>
      <c r="M374" s="24">
        <f>M375+M376</f>
        <v>5321.7999999999993</v>
      </c>
      <c r="N374" s="24">
        <f>N375+N376</f>
        <v>5321.7999999999993</v>
      </c>
    </row>
    <row r="375" spans="1:14" s="125" customFormat="1" ht="54" x14ac:dyDescent="0.35">
      <c r="A375" s="11"/>
      <c r="B375" s="518" t="s">
        <v>55</v>
      </c>
      <c r="C375" s="23" t="s">
        <v>425</v>
      </c>
      <c r="D375" s="10" t="s">
        <v>224</v>
      </c>
      <c r="E375" s="10" t="s">
        <v>63</v>
      </c>
      <c r="F375" s="680" t="s">
        <v>39</v>
      </c>
      <c r="G375" s="681" t="s">
        <v>89</v>
      </c>
      <c r="H375" s="681" t="s">
        <v>37</v>
      </c>
      <c r="I375" s="682" t="s">
        <v>273</v>
      </c>
      <c r="J375" s="10" t="s">
        <v>56</v>
      </c>
      <c r="K375" s="24">
        <f>2128.7-1064.35</f>
        <v>1064.3499999999999</v>
      </c>
      <c r="L375" s="24">
        <f>M375-K375</f>
        <v>0</v>
      </c>
      <c r="M375" s="24">
        <f>2128.7-1064.35</f>
        <v>1064.3499999999999</v>
      </c>
      <c r="N375" s="24">
        <f>2128.7-1064.35</f>
        <v>1064.3499999999999</v>
      </c>
    </row>
    <row r="376" spans="1:14" s="125" customFormat="1" ht="54" x14ac:dyDescent="0.35">
      <c r="A376" s="11"/>
      <c r="B376" s="587" t="s">
        <v>76</v>
      </c>
      <c r="C376" s="23" t="s">
        <v>425</v>
      </c>
      <c r="D376" s="10" t="s">
        <v>224</v>
      </c>
      <c r="E376" s="10" t="s">
        <v>63</v>
      </c>
      <c r="F376" s="680" t="s">
        <v>39</v>
      </c>
      <c r="G376" s="681" t="s">
        <v>89</v>
      </c>
      <c r="H376" s="681" t="s">
        <v>37</v>
      </c>
      <c r="I376" s="682" t="s">
        <v>273</v>
      </c>
      <c r="J376" s="10" t="s">
        <v>77</v>
      </c>
      <c r="K376" s="24">
        <f>3193.1+1064.35</f>
        <v>4257.45</v>
      </c>
      <c r="L376" s="24">
        <f>M376-K376</f>
        <v>0</v>
      </c>
      <c r="M376" s="24">
        <f>3193.1+1064.35</f>
        <v>4257.45</v>
      </c>
      <c r="N376" s="24">
        <f>3193.1+1064.35</f>
        <v>4257.45</v>
      </c>
    </row>
    <row r="377" spans="1:14" s="125" customFormat="1" ht="180" x14ac:dyDescent="0.35">
      <c r="A377" s="11"/>
      <c r="B377" s="518" t="s">
        <v>268</v>
      </c>
      <c r="C377" s="23" t="s">
        <v>425</v>
      </c>
      <c r="D377" s="10" t="s">
        <v>224</v>
      </c>
      <c r="E377" s="10" t="s">
        <v>63</v>
      </c>
      <c r="F377" s="680" t="s">
        <v>39</v>
      </c>
      <c r="G377" s="681" t="s">
        <v>89</v>
      </c>
      <c r="H377" s="681" t="s">
        <v>37</v>
      </c>
      <c r="I377" s="682" t="s">
        <v>269</v>
      </c>
      <c r="J377" s="10"/>
      <c r="K377" s="24">
        <f>K378</f>
        <v>89</v>
      </c>
      <c r="L377" s="24">
        <f>L378</f>
        <v>0</v>
      </c>
      <c r="M377" s="24">
        <f>M378</f>
        <v>89</v>
      </c>
      <c r="N377" s="24">
        <f>N378</f>
        <v>92.5</v>
      </c>
    </row>
    <row r="378" spans="1:14" s="125" customFormat="1" ht="54" x14ac:dyDescent="0.35">
      <c r="A378" s="11"/>
      <c r="B378" s="518" t="s">
        <v>76</v>
      </c>
      <c r="C378" s="23" t="s">
        <v>425</v>
      </c>
      <c r="D378" s="10" t="s">
        <v>224</v>
      </c>
      <c r="E378" s="10" t="s">
        <v>63</v>
      </c>
      <c r="F378" s="680" t="s">
        <v>39</v>
      </c>
      <c r="G378" s="681" t="s">
        <v>89</v>
      </c>
      <c r="H378" s="681" t="s">
        <v>37</v>
      </c>
      <c r="I378" s="682" t="s">
        <v>269</v>
      </c>
      <c r="J378" s="10" t="s">
        <v>77</v>
      </c>
      <c r="K378" s="24">
        <v>89</v>
      </c>
      <c r="L378" s="24">
        <f>M378-K378</f>
        <v>0</v>
      </c>
      <c r="M378" s="24">
        <v>89</v>
      </c>
      <c r="N378" s="24">
        <v>92.5</v>
      </c>
    </row>
    <row r="379" spans="1:14" s="125" customFormat="1" ht="108" x14ac:dyDescent="0.35">
      <c r="A379" s="11"/>
      <c r="B379" s="518" t="s">
        <v>345</v>
      </c>
      <c r="C379" s="23" t="s">
        <v>425</v>
      </c>
      <c r="D379" s="10" t="s">
        <v>224</v>
      </c>
      <c r="E379" s="10" t="s">
        <v>63</v>
      </c>
      <c r="F379" s="680" t="s">
        <v>39</v>
      </c>
      <c r="G379" s="681" t="s">
        <v>89</v>
      </c>
      <c r="H379" s="681" t="s">
        <v>37</v>
      </c>
      <c r="I379" s="682" t="s">
        <v>270</v>
      </c>
      <c r="J379" s="10"/>
      <c r="K379" s="24">
        <f>K380</f>
        <v>11000</v>
      </c>
      <c r="L379" s="24">
        <f>L380</f>
        <v>0</v>
      </c>
      <c r="M379" s="24">
        <f>M380</f>
        <v>11000</v>
      </c>
      <c r="N379" s="24">
        <f>N380</f>
        <v>11000</v>
      </c>
    </row>
    <row r="380" spans="1:14" s="125" customFormat="1" ht="54" x14ac:dyDescent="0.35">
      <c r="A380" s="11"/>
      <c r="B380" s="518" t="s">
        <v>76</v>
      </c>
      <c r="C380" s="23" t="s">
        <v>425</v>
      </c>
      <c r="D380" s="10" t="s">
        <v>224</v>
      </c>
      <c r="E380" s="10" t="s">
        <v>63</v>
      </c>
      <c r="F380" s="680" t="s">
        <v>39</v>
      </c>
      <c r="G380" s="681" t="s">
        <v>89</v>
      </c>
      <c r="H380" s="681" t="s">
        <v>37</v>
      </c>
      <c r="I380" s="682" t="s">
        <v>270</v>
      </c>
      <c r="J380" s="10" t="s">
        <v>77</v>
      </c>
      <c r="K380" s="24">
        <v>11000</v>
      </c>
      <c r="L380" s="24">
        <f>M380-K380</f>
        <v>0</v>
      </c>
      <c r="M380" s="24">
        <v>11000</v>
      </c>
      <c r="N380" s="24">
        <v>11000</v>
      </c>
    </row>
    <row r="381" spans="1:14" s="125" customFormat="1" ht="18" x14ac:dyDescent="0.35">
      <c r="A381" s="11"/>
      <c r="B381" s="518" t="s">
        <v>186</v>
      </c>
      <c r="C381" s="23" t="s">
        <v>425</v>
      </c>
      <c r="D381" s="10" t="s">
        <v>224</v>
      </c>
      <c r="E381" s="10" t="s">
        <v>79</v>
      </c>
      <c r="F381" s="680"/>
      <c r="G381" s="681"/>
      <c r="H381" s="681"/>
      <c r="I381" s="682"/>
      <c r="J381" s="10"/>
      <c r="K381" s="24">
        <f>K382</f>
        <v>88978.6</v>
      </c>
      <c r="L381" s="24">
        <f>L382</f>
        <v>0</v>
      </c>
      <c r="M381" s="24">
        <f>M382</f>
        <v>88978.6</v>
      </c>
      <c r="N381" s="24">
        <f>N382</f>
        <v>88728.500000000015</v>
      </c>
    </row>
    <row r="382" spans="1:14" s="125" customFormat="1" ht="54" x14ac:dyDescent="0.35">
      <c r="A382" s="11"/>
      <c r="B382" s="518" t="s">
        <v>205</v>
      </c>
      <c r="C382" s="23" t="s">
        <v>425</v>
      </c>
      <c r="D382" s="10" t="s">
        <v>224</v>
      </c>
      <c r="E382" s="10" t="s">
        <v>79</v>
      </c>
      <c r="F382" s="680" t="s">
        <v>39</v>
      </c>
      <c r="G382" s="681" t="s">
        <v>42</v>
      </c>
      <c r="H382" s="681" t="s">
        <v>43</v>
      </c>
      <c r="I382" s="682" t="s">
        <v>44</v>
      </c>
      <c r="J382" s="10"/>
      <c r="K382" s="24">
        <f t="shared" ref="K382:N382" si="60">K383</f>
        <v>88978.6</v>
      </c>
      <c r="L382" s="24">
        <f t="shared" si="60"/>
        <v>0</v>
      </c>
      <c r="M382" s="24">
        <f t="shared" si="60"/>
        <v>88978.6</v>
      </c>
      <c r="N382" s="24">
        <f t="shared" si="60"/>
        <v>88728.500000000015</v>
      </c>
    </row>
    <row r="383" spans="1:14" s="125" customFormat="1" ht="54" x14ac:dyDescent="0.35">
      <c r="A383" s="11"/>
      <c r="B383" s="518" t="s">
        <v>212</v>
      </c>
      <c r="C383" s="23" t="s">
        <v>425</v>
      </c>
      <c r="D383" s="10" t="s">
        <v>224</v>
      </c>
      <c r="E383" s="10" t="s">
        <v>79</v>
      </c>
      <c r="F383" s="680" t="s">
        <v>39</v>
      </c>
      <c r="G383" s="681" t="s">
        <v>30</v>
      </c>
      <c r="H383" s="681" t="s">
        <v>43</v>
      </c>
      <c r="I383" s="682" t="s">
        <v>44</v>
      </c>
      <c r="J383" s="10"/>
      <c r="K383" s="24">
        <f>K384+K399</f>
        <v>88978.6</v>
      </c>
      <c r="L383" s="24">
        <f>L384+L399</f>
        <v>0</v>
      </c>
      <c r="M383" s="24">
        <f>M384+M399</f>
        <v>88978.6</v>
      </c>
      <c r="N383" s="24">
        <f>N384+N399</f>
        <v>88728.500000000015</v>
      </c>
    </row>
    <row r="384" spans="1:14" s="125" customFormat="1" ht="36" x14ac:dyDescent="0.35">
      <c r="A384" s="11"/>
      <c r="B384" s="518" t="s">
        <v>282</v>
      </c>
      <c r="C384" s="23" t="s">
        <v>425</v>
      </c>
      <c r="D384" s="10" t="s">
        <v>224</v>
      </c>
      <c r="E384" s="10" t="s">
        <v>79</v>
      </c>
      <c r="F384" s="680" t="s">
        <v>39</v>
      </c>
      <c r="G384" s="681" t="s">
        <v>30</v>
      </c>
      <c r="H384" s="681" t="s">
        <v>37</v>
      </c>
      <c r="I384" s="682" t="s">
        <v>44</v>
      </c>
      <c r="J384" s="10"/>
      <c r="K384" s="24">
        <f>K385+K389+K396+K394</f>
        <v>81074</v>
      </c>
      <c r="L384" s="24">
        <f>L385+L389+L396+L394</f>
        <v>0</v>
      </c>
      <c r="M384" s="24">
        <f>M385+M389+M396+M394</f>
        <v>81074</v>
      </c>
      <c r="N384" s="24">
        <f>N385+N389+N396+N394</f>
        <v>80591.900000000009</v>
      </c>
    </row>
    <row r="385" spans="1:14" s="125" customFormat="1" ht="36" x14ac:dyDescent="0.35">
      <c r="A385" s="11"/>
      <c r="B385" s="518" t="s">
        <v>47</v>
      </c>
      <c r="C385" s="23" t="s">
        <v>425</v>
      </c>
      <c r="D385" s="10" t="s">
        <v>224</v>
      </c>
      <c r="E385" s="10" t="s">
        <v>79</v>
      </c>
      <c r="F385" s="680" t="s">
        <v>39</v>
      </c>
      <c r="G385" s="681" t="s">
        <v>30</v>
      </c>
      <c r="H385" s="681" t="s">
        <v>37</v>
      </c>
      <c r="I385" s="682" t="s">
        <v>48</v>
      </c>
      <c r="J385" s="10"/>
      <c r="K385" s="24">
        <f>K386+K387+K388</f>
        <v>12618</v>
      </c>
      <c r="L385" s="24">
        <f>L386+L387+L388</f>
        <v>0</v>
      </c>
      <c r="M385" s="24">
        <f>M386+M387+M388</f>
        <v>12618</v>
      </c>
      <c r="N385" s="24">
        <f>N386+N387+N388</f>
        <v>12624.6</v>
      </c>
    </row>
    <row r="386" spans="1:14" s="125" customFormat="1" ht="108" x14ac:dyDescent="0.35">
      <c r="A386" s="11"/>
      <c r="B386" s="518" t="s">
        <v>49</v>
      </c>
      <c r="C386" s="23" t="s">
        <v>425</v>
      </c>
      <c r="D386" s="10" t="s">
        <v>224</v>
      </c>
      <c r="E386" s="10" t="s">
        <v>79</v>
      </c>
      <c r="F386" s="680" t="s">
        <v>39</v>
      </c>
      <c r="G386" s="681" t="s">
        <v>30</v>
      </c>
      <c r="H386" s="681" t="s">
        <v>37</v>
      </c>
      <c r="I386" s="682" t="s">
        <v>48</v>
      </c>
      <c r="J386" s="10" t="s">
        <v>50</v>
      </c>
      <c r="K386" s="24">
        <v>11816.7</v>
      </c>
      <c r="L386" s="24">
        <f>M386-K386</f>
        <v>0</v>
      </c>
      <c r="M386" s="24">
        <v>11816.7</v>
      </c>
      <c r="N386" s="24">
        <v>11816.7</v>
      </c>
    </row>
    <row r="387" spans="1:14" s="125" customFormat="1" ht="54" x14ac:dyDescent="0.35">
      <c r="A387" s="11"/>
      <c r="B387" s="518" t="s">
        <v>55</v>
      </c>
      <c r="C387" s="23" t="s">
        <v>425</v>
      </c>
      <c r="D387" s="10" t="s">
        <v>224</v>
      </c>
      <c r="E387" s="10" t="s">
        <v>79</v>
      </c>
      <c r="F387" s="680" t="s">
        <v>39</v>
      </c>
      <c r="G387" s="681" t="s">
        <v>30</v>
      </c>
      <c r="H387" s="681" t="s">
        <v>37</v>
      </c>
      <c r="I387" s="682" t="s">
        <v>48</v>
      </c>
      <c r="J387" s="10" t="s">
        <v>56</v>
      </c>
      <c r="K387" s="24">
        <v>784.4</v>
      </c>
      <c r="L387" s="24">
        <f>M387-K387</f>
        <v>0</v>
      </c>
      <c r="M387" s="24">
        <v>784.4</v>
      </c>
      <c r="N387" s="24">
        <v>791.1</v>
      </c>
    </row>
    <row r="388" spans="1:14" s="125" customFormat="1" ht="18" x14ac:dyDescent="0.35">
      <c r="A388" s="11"/>
      <c r="B388" s="518" t="s">
        <v>57</v>
      </c>
      <c r="C388" s="23" t="s">
        <v>425</v>
      </c>
      <c r="D388" s="10" t="s">
        <v>224</v>
      </c>
      <c r="E388" s="10" t="s">
        <v>79</v>
      </c>
      <c r="F388" s="680" t="s">
        <v>39</v>
      </c>
      <c r="G388" s="681" t="s">
        <v>30</v>
      </c>
      <c r="H388" s="681" t="s">
        <v>37</v>
      </c>
      <c r="I388" s="682" t="s">
        <v>48</v>
      </c>
      <c r="J388" s="10" t="s">
        <v>58</v>
      </c>
      <c r="K388" s="24">
        <v>16.899999999999999</v>
      </c>
      <c r="L388" s="24">
        <f>M388-K388</f>
        <v>0</v>
      </c>
      <c r="M388" s="24">
        <v>16.899999999999999</v>
      </c>
      <c r="N388" s="24">
        <v>16.8</v>
      </c>
    </row>
    <row r="389" spans="1:14" s="125" customFormat="1" ht="36" x14ac:dyDescent="0.35">
      <c r="A389" s="11"/>
      <c r="B389" s="596" t="s">
        <v>466</v>
      </c>
      <c r="C389" s="23" t="s">
        <v>425</v>
      </c>
      <c r="D389" s="10" t="s">
        <v>224</v>
      </c>
      <c r="E389" s="10" t="s">
        <v>79</v>
      </c>
      <c r="F389" s="680" t="s">
        <v>39</v>
      </c>
      <c r="G389" s="681" t="s">
        <v>30</v>
      </c>
      <c r="H389" s="681" t="s">
        <v>37</v>
      </c>
      <c r="I389" s="682" t="s">
        <v>91</v>
      </c>
      <c r="J389" s="10"/>
      <c r="K389" s="24">
        <f>K390+K391+K393+K392</f>
        <v>61101.2</v>
      </c>
      <c r="L389" s="24">
        <f>L390+L391+L393+L392</f>
        <v>0</v>
      </c>
      <c r="M389" s="24">
        <f>M390+M391+M393+M392</f>
        <v>61101.2</v>
      </c>
      <c r="N389" s="24">
        <f>N390+N391+N393+N392</f>
        <v>61130.5</v>
      </c>
    </row>
    <row r="390" spans="1:14" s="125" customFormat="1" ht="108" x14ac:dyDescent="0.35">
      <c r="A390" s="11"/>
      <c r="B390" s="518" t="s">
        <v>49</v>
      </c>
      <c r="C390" s="23" t="s">
        <v>425</v>
      </c>
      <c r="D390" s="10" t="s">
        <v>224</v>
      </c>
      <c r="E390" s="10" t="s">
        <v>79</v>
      </c>
      <c r="F390" s="680" t="s">
        <v>39</v>
      </c>
      <c r="G390" s="681" t="s">
        <v>30</v>
      </c>
      <c r="H390" s="681" t="s">
        <v>37</v>
      </c>
      <c r="I390" s="682" t="s">
        <v>91</v>
      </c>
      <c r="J390" s="10" t="s">
        <v>50</v>
      </c>
      <c r="K390" s="24">
        <v>37625.5</v>
      </c>
      <c r="L390" s="24">
        <f>M390-K390</f>
        <v>0</v>
      </c>
      <c r="M390" s="24">
        <v>37625.5</v>
      </c>
      <c r="N390" s="24">
        <v>37625.5</v>
      </c>
    </row>
    <row r="391" spans="1:14" s="125" customFormat="1" ht="54" x14ac:dyDescent="0.35">
      <c r="A391" s="11"/>
      <c r="B391" s="518" t="s">
        <v>55</v>
      </c>
      <c r="C391" s="23" t="s">
        <v>425</v>
      </c>
      <c r="D391" s="10" t="s">
        <v>224</v>
      </c>
      <c r="E391" s="10" t="s">
        <v>79</v>
      </c>
      <c r="F391" s="680" t="s">
        <v>39</v>
      </c>
      <c r="G391" s="681" t="s">
        <v>30</v>
      </c>
      <c r="H391" s="681" t="s">
        <v>37</v>
      </c>
      <c r="I391" s="682" t="s">
        <v>91</v>
      </c>
      <c r="J391" s="10" t="s">
        <v>56</v>
      </c>
      <c r="K391" s="24">
        <v>3061.4</v>
      </c>
      <c r="L391" s="24">
        <f>M391-K391</f>
        <v>0</v>
      </c>
      <c r="M391" s="24">
        <v>3061.4</v>
      </c>
      <c r="N391" s="24">
        <v>3091.4</v>
      </c>
    </row>
    <row r="392" spans="1:14" s="125" customFormat="1" ht="54" x14ac:dyDescent="0.35">
      <c r="A392" s="11"/>
      <c r="B392" s="518" t="s">
        <v>76</v>
      </c>
      <c r="C392" s="23" t="s">
        <v>425</v>
      </c>
      <c r="D392" s="10" t="s">
        <v>224</v>
      </c>
      <c r="E392" s="10" t="s">
        <v>79</v>
      </c>
      <c r="F392" s="680" t="s">
        <v>39</v>
      </c>
      <c r="G392" s="681" t="s">
        <v>30</v>
      </c>
      <c r="H392" s="681" t="s">
        <v>37</v>
      </c>
      <c r="I392" s="682" t="s">
        <v>91</v>
      </c>
      <c r="J392" s="10" t="s">
        <v>77</v>
      </c>
      <c r="K392" s="24">
        <v>20409.3</v>
      </c>
      <c r="L392" s="24">
        <f>M392-K392</f>
        <v>0</v>
      </c>
      <c r="M392" s="24">
        <v>20409.3</v>
      </c>
      <c r="N392" s="24">
        <v>20409.3</v>
      </c>
    </row>
    <row r="393" spans="1:14" s="125" customFormat="1" ht="18" x14ac:dyDescent="0.35">
      <c r="A393" s="11"/>
      <c r="B393" s="518" t="s">
        <v>57</v>
      </c>
      <c r="C393" s="23" t="s">
        <v>425</v>
      </c>
      <c r="D393" s="10" t="s">
        <v>224</v>
      </c>
      <c r="E393" s="10" t="s">
        <v>79</v>
      </c>
      <c r="F393" s="680" t="s">
        <v>39</v>
      </c>
      <c r="G393" s="681" t="s">
        <v>30</v>
      </c>
      <c r="H393" s="681" t="s">
        <v>37</v>
      </c>
      <c r="I393" s="682" t="s">
        <v>91</v>
      </c>
      <c r="J393" s="10" t="s">
        <v>58</v>
      </c>
      <c r="K393" s="24">
        <v>5</v>
      </c>
      <c r="L393" s="24">
        <f>M393-K393</f>
        <v>0</v>
      </c>
      <c r="M393" s="24">
        <v>5</v>
      </c>
      <c r="N393" s="24">
        <v>4.3</v>
      </c>
    </row>
    <row r="394" spans="1:14" s="125" customFormat="1" ht="54" x14ac:dyDescent="0.35">
      <c r="A394" s="11"/>
      <c r="B394" s="518" t="s">
        <v>581</v>
      </c>
      <c r="C394" s="23" t="s">
        <v>425</v>
      </c>
      <c r="D394" s="10" t="s">
        <v>224</v>
      </c>
      <c r="E394" s="10" t="s">
        <v>79</v>
      </c>
      <c r="F394" s="680" t="s">
        <v>39</v>
      </c>
      <c r="G394" s="681" t="s">
        <v>30</v>
      </c>
      <c r="H394" s="681" t="s">
        <v>37</v>
      </c>
      <c r="I394" s="682" t="s">
        <v>580</v>
      </c>
      <c r="J394" s="10"/>
      <c r="K394" s="24">
        <f>K395</f>
        <v>518.6</v>
      </c>
      <c r="L394" s="24">
        <f>L395</f>
        <v>0</v>
      </c>
      <c r="M394" s="24">
        <f>M395</f>
        <v>518.6</v>
      </c>
      <c r="N394" s="24">
        <f>N395</f>
        <v>0</v>
      </c>
    </row>
    <row r="395" spans="1:14" s="125" customFormat="1" ht="54" x14ac:dyDescent="0.35">
      <c r="A395" s="11"/>
      <c r="B395" s="518" t="s">
        <v>76</v>
      </c>
      <c r="C395" s="23" t="s">
        <v>425</v>
      </c>
      <c r="D395" s="10" t="s">
        <v>224</v>
      </c>
      <c r="E395" s="10" t="s">
        <v>79</v>
      </c>
      <c r="F395" s="680" t="s">
        <v>39</v>
      </c>
      <c r="G395" s="681" t="s">
        <v>30</v>
      </c>
      <c r="H395" s="681" t="s">
        <v>37</v>
      </c>
      <c r="I395" s="682" t="s">
        <v>580</v>
      </c>
      <c r="J395" s="10" t="s">
        <v>77</v>
      </c>
      <c r="K395" s="24">
        <v>518.6</v>
      </c>
      <c r="L395" s="24">
        <f>M395-K395</f>
        <v>0</v>
      </c>
      <c r="M395" s="24">
        <v>518.6</v>
      </c>
      <c r="N395" s="24">
        <v>0</v>
      </c>
    </row>
    <row r="396" spans="1:14" s="125" customFormat="1" ht="108" x14ac:dyDescent="0.35">
      <c r="A396" s="11"/>
      <c r="B396" s="518" t="s">
        <v>345</v>
      </c>
      <c r="C396" s="23" t="s">
        <v>425</v>
      </c>
      <c r="D396" s="10" t="s">
        <v>224</v>
      </c>
      <c r="E396" s="10" t="s">
        <v>79</v>
      </c>
      <c r="F396" s="680" t="s">
        <v>39</v>
      </c>
      <c r="G396" s="681" t="s">
        <v>30</v>
      </c>
      <c r="H396" s="681" t="s">
        <v>37</v>
      </c>
      <c r="I396" s="682" t="s">
        <v>270</v>
      </c>
      <c r="J396" s="10"/>
      <c r="K396" s="24">
        <f t="shared" ref="K396" si="61">K397+K398</f>
        <v>6836.2000000000007</v>
      </c>
      <c r="L396" s="24">
        <f>L397+L398</f>
        <v>0</v>
      </c>
      <c r="M396" s="24">
        <f t="shared" ref="M396:N396" si="62">M397+M398</f>
        <v>6836.2000000000007</v>
      </c>
      <c r="N396" s="24">
        <f t="shared" si="62"/>
        <v>6836.8</v>
      </c>
    </row>
    <row r="397" spans="1:14" s="125" customFormat="1" ht="108" x14ac:dyDescent="0.35">
      <c r="A397" s="11"/>
      <c r="B397" s="518" t="s">
        <v>49</v>
      </c>
      <c r="C397" s="23" t="s">
        <v>425</v>
      </c>
      <c r="D397" s="10" t="s">
        <v>224</v>
      </c>
      <c r="E397" s="10" t="s">
        <v>79</v>
      </c>
      <c r="F397" s="680" t="s">
        <v>39</v>
      </c>
      <c r="G397" s="681" t="s">
        <v>30</v>
      </c>
      <c r="H397" s="681" t="s">
        <v>37</v>
      </c>
      <c r="I397" s="682" t="s">
        <v>270</v>
      </c>
      <c r="J397" s="10" t="s">
        <v>50</v>
      </c>
      <c r="K397" s="24">
        <v>6820.6</v>
      </c>
      <c r="L397" s="24">
        <f>M397-K397</f>
        <v>0</v>
      </c>
      <c r="M397" s="24">
        <v>6820.6</v>
      </c>
      <c r="N397" s="24">
        <v>6821.2</v>
      </c>
    </row>
    <row r="398" spans="1:14" s="125" customFormat="1" ht="54" x14ac:dyDescent="0.35">
      <c r="A398" s="11"/>
      <c r="B398" s="518" t="s">
        <v>55</v>
      </c>
      <c r="C398" s="23" t="s">
        <v>425</v>
      </c>
      <c r="D398" s="10" t="s">
        <v>224</v>
      </c>
      <c r="E398" s="10" t="s">
        <v>79</v>
      </c>
      <c r="F398" s="680" t="s">
        <v>39</v>
      </c>
      <c r="G398" s="681" t="s">
        <v>30</v>
      </c>
      <c r="H398" s="681" t="s">
        <v>37</v>
      </c>
      <c r="I398" s="682" t="s">
        <v>270</v>
      </c>
      <c r="J398" s="10" t="s">
        <v>56</v>
      </c>
      <c r="K398" s="24">
        <v>15.6</v>
      </c>
      <c r="L398" s="24">
        <f>M398-K398</f>
        <v>0</v>
      </c>
      <c r="M398" s="24">
        <v>15.6</v>
      </c>
      <c r="N398" s="24">
        <v>15.6</v>
      </c>
    </row>
    <row r="399" spans="1:14" s="125" customFormat="1" ht="54" x14ac:dyDescent="0.35">
      <c r="A399" s="11"/>
      <c r="B399" s="515" t="s">
        <v>281</v>
      </c>
      <c r="C399" s="225" t="s">
        <v>425</v>
      </c>
      <c r="D399" s="28" t="s">
        <v>224</v>
      </c>
      <c r="E399" s="28" t="s">
        <v>79</v>
      </c>
      <c r="F399" s="217" t="s">
        <v>39</v>
      </c>
      <c r="G399" s="218" t="s">
        <v>30</v>
      </c>
      <c r="H399" s="218" t="s">
        <v>39</v>
      </c>
      <c r="I399" s="219" t="s">
        <v>44</v>
      </c>
      <c r="J399" s="28"/>
      <c r="K399" s="220">
        <f>K400+K402</f>
        <v>7904.6</v>
      </c>
      <c r="L399" s="220">
        <f>L400+L402</f>
        <v>0</v>
      </c>
      <c r="M399" s="220">
        <f>M400+M402</f>
        <v>7904.6</v>
      </c>
      <c r="N399" s="220">
        <f>N400+N402</f>
        <v>8136.6</v>
      </c>
    </row>
    <row r="400" spans="1:14" s="125" customFormat="1" ht="36" x14ac:dyDescent="0.35">
      <c r="A400" s="11"/>
      <c r="B400" s="515" t="s">
        <v>472</v>
      </c>
      <c r="C400" s="225" t="s">
        <v>425</v>
      </c>
      <c r="D400" s="28" t="s">
        <v>224</v>
      </c>
      <c r="E400" s="28" t="s">
        <v>79</v>
      </c>
      <c r="F400" s="217" t="s">
        <v>39</v>
      </c>
      <c r="G400" s="218" t="s">
        <v>30</v>
      </c>
      <c r="H400" s="218" t="s">
        <v>39</v>
      </c>
      <c r="I400" s="219" t="s">
        <v>471</v>
      </c>
      <c r="J400" s="28"/>
      <c r="K400" s="220">
        <f>K401</f>
        <v>2107.5</v>
      </c>
      <c r="L400" s="220">
        <f>L401</f>
        <v>0</v>
      </c>
      <c r="M400" s="220">
        <f>M401</f>
        <v>2107.5</v>
      </c>
      <c r="N400" s="220">
        <f>N401</f>
        <v>2107.5</v>
      </c>
    </row>
    <row r="401" spans="1:14" s="125" customFormat="1" ht="54" x14ac:dyDescent="0.35">
      <c r="A401" s="11"/>
      <c r="B401" s="515" t="s">
        <v>76</v>
      </c>
      <c r="C401" s="225" t="s">
        <v>425</v>
      </c>
      <c r="D401" s="28" t="s">
        <v>224</v>
      </c>
      <c r="E401" s="28" t="s">
        <v>79</v>
      </c>
      <c r="F401" s="217" t="s">
        <v>39</v>
      </c>
      <c r="G401" s="218" t="s">
        <v>30</v>
      </c>
      <c r="H401" s="218" t="s">
        <v>39</v>
      </c>
      <c r="I401" s="219" t="s">
        <v>471</v>
      </c>
      <c r="J401" s="28" t="s">
        <v>77</v>
      </c>
      <c r="K401" s="220">
        <f>1945.5+162</f>
        <v>2107.5</v>
      </c>
      <c r="L401" s="24">
        <f>M401-K401</f>
        <v>0</v>
      </c>
      <c r="M401" s="220">
        <f>1945.5+162</f>
        <v>2107.5</v>
      </c>
      <c r="N401" s="264">
        <f>1945.5+162</f>
        <v>2107.5</v>
      </c>
    </row>
    <row r="402" spans="1:14" s="125" customFormat="1" ht="108" x14ac:dyDescent="0.35">
      <c r="A402" s="11"/>
      <c r="B402" s="515" t="s">
        <v>441</v>
      </c>
      <c r="C402" s="225" t="s">
        <v>425</v>
      </c>
      <c r="D402" s="28" t="s">
        <v>224</v>
      </c>
      <c r="E402" s="28" t="s">
        <v>79</v>
      </c>
      <c r="F402" s="217" t="s">
        <v>39</v>
      </c>
      <c r="G402" s="218" t="s">
        <v>30</v>
      </c>
      <c r="H402" s="218" t="s">
        <v>39</v>
      </c>
      <c r="I402" s="219" t="s">
        <v>440</v>
      </c>
      <c r="J402" s="28"/>
      <c r="K402" s="220">
        <f>K403</f>
        <v>5797.1</v>
      </c>
      <c r="L402" s="220">
        <f>L403</f>
        <v>0</v>
      </c>
      <c r="M402" s="220">
        <f>M403</f>
        <v>5797.1</v>
      </c>
      <c r="N402" s="220">
        <f>N403</f>
        <v>6029.1</v>
      </c>
    </row>
    <row r="403" spans="1:14" s="125" customFormat="1" ht="54" x14ac:dyDescent="0.35">
      <c r="A403" s="11"/>
      <c r="B403" s="515" t="s">
        <v>76</v>
      </c>
      <c r="C403" s="225" t="s">
        <v>425</v>
      </c>
      <c r="D403" s="28" t="s">
        <v>224</v>
      </c>
      <c r="E403" s="28" t="s">
        <v>79</v>
      </c>
      <c r="F403" s="217" t="s">
        <v>39</v>
      </c>
      <c r="G403" s="218" t="s">
        <v>30</v>
      </c>
      <c r="H403" s="218" t="s">
        <v>39</v>
      </c>
      <c r="I403" s="219" t="s">
        <v>440</v>
      </c>
      <c r="J403" s="28" t="s">
        <v>77</v>
      </c>
      <c r="K403" s="220">
        <v>5797.1</v>
      </c>
      <c r="L403" s="24">
        <f>M403-K403</f>
        <v>0</v>
      </c>
      <c r="M403" s="220">
        <v>5797.1</v>
      </c>
      <c r="N403" s="264">
        <v>6029.1</v>
      </c>
    </row>
    <row r="404" spans="1:14" s="125" customFormat="1" ht="18" x14ac:dyDescent="0.35">
      <c r="A404" s="11"/>
      <c r="B404" s="567" t="s">
        <v>119</v>
      </c>
      <c r="C404" s="23" t="s">
        <v>425</v>
      </c>
      <c r="D404" s="10" t="s">
        <v>104</v>
      </c>
      <c r="E404" s="10"/>
      <c r="F404" s="680"/>
      <c r="G404" s="681"/>
      <c r="H404" s="681"/>
      <c r="I404" s="682"/>
      <c r="J404" s="10"/>
      <c r="K404" s="24">
        <f t="shared" ref="K404:N405" si="63">K405</f>
        <v>6292.9</v>
      </c>
      <c r="L404" s="24">
        <f t="shared" si="63"/>
        <v>0</v>
      </c>
      <c r="M404" s="24">
        <f t="shared" si="63"/>
        <v>6292.9</v>
      </c>
      <c r="N404" s="24">
        <f t="shared" si="63"/>
        <v>6292.9</v>
      </c>
    </row>
    <row r="405" spans="1:14" s="125" customFormat="1" ht="18" x14ac:dyDescent="0.35">
      <c r="A405" s="11"/>
      <c r="B405" s="567" t="s">
        <v>193</v>
      </c>
      <c r="C405" s="23" t="s">
        <v>425</v>
      </c>
      <c r="D405" s="10" t="s">
        <v>104</v>
      </c>
      <c r="E405" s="10" t="s">
        <v>52</v>
      </c>
      <c r="F405" s="680"/>
      <c r="G405" s="681"/>
      <c r="H405" s="681"/>
      <c r="I405" s="682"/>
      <c r="J405" s="10"/>
      <c r="K405" s="24">
        <f t="shared" si="63"/>
        <v>6292.9</v>
      </c>
      <c r="L405" s="24">
        <f t="shared" si="63"/>
        <v>0</v>
      </c>
      <c r="M405" s="24">
        <f t="shared" si="63"/>
        <v>6292.9</v>
      </c>
      <c r="N405" s="24">
        <f t="shared" si="63"/>
        <v>6292.9</v>
      </c>
    </row>
    <row r="406" spans="1:14" s="125" customFormat="1" ht="54" x14ac:dyDescent="0.35">
      <c r="A406" s="11"/>
      <c r="B406" s="518" t="s">
        <v>205</v>
      </c>
      <c r="C406" s="23" t="s">
        <v>425</v>
      </c>
      <c r="D406" s="10" t="s">
        <v>104</v>
      </c>
      <c r="E406" s="10" t="s">
        <v>52</v>
      </c>
      <c r="F406" s="680" t="s">
        <v>39</v>
      </c>
      <c r="G406" s="681" t="s">
        <v>42</v>
      </c>
      <c r="H406" s="681" t="s">
        <v>43</v>
      </c>
      <c r="I406" s="682" t="s">
        <v>44</v>
      </c>
      <c r="J406" s="10"/>
      <c r="K406" s="24">
        <f t="shared" ref="K406:N408" si="64">K407</f>
        <v>6292.9</v>
      </c>
      <c r="L406" s="24">
        <f t="shared" si="64"/>
        <v>0</v>
      </c>
      <c r="M406" s="24">
        <f t="shared" si="64"/>
        <v>6292.9</v>
      </c>
      <c r="N406" s="24">
        <f t="shared" si="64"/>
        <v>6292.9</v>
      </c>
    </row>
    <row r="407" spans="1:14" s="125" customFormat="1" ht="36" x14ac:dyDescent="0.35">
      <c r="A407" s="11"/>
      <c r="B407" s="518" t="s">
        <v>206</v>
      </c>
      <c r="C407" s="23" t="s">
        <v>425</v>
      </c>
      <c r="D407" s="10" t="s">
        <v>104</v>
      </c>
      <c r="E407" s="10" t="s">
        <v>52</v>
      </c>
      <c r="F407" s="680" t="s">
        <v>39</v>
      </c>
      <c r="G407" s="681" t="s">
        <v>45</v>
      </c>
      <c r="H407" s="681" t="s">
        <v>43</v>
      </c>
      <c r="I407" s="682" t="s">
        <v>44</v>
      </c>
      <c r="J407" s="10"/>
      <c r="K407" s="24">
        <f t="shared" si="64"/>
        <v>6292.9</v>
      </c>
      <c r="L407" s="24">
        <f t="shared" si="64"/>
        <v>0</v>
      </c>
      <c r="M407" s="24">
        <f t="shared" si="64"/>
        <v>6292.9</v>
      </c>
      <c r="N407" s="24">
        <f t="shared" si="64"/>
        <v>6292.9</v>
      </c>
    </row>
    <row r="408" spans="1:14" s="125" customFormat="1" ht="36" x14ac:dyDescent="0.35">
      <c r="A408" s="11"/>
      <c r="B408" s="518" t="s">
        <v>267</v>
      </c>
      <c r="C408" s="23" t="s">
        <v>425</v>
      </c>
      <c r="D408" s="10" t="s">
        <v>104</v>
      </c>
      <c r="E408" s="10" t="s">
        <v>52</v>
      </c>
      <c r="F408" s="680" t="s">
        <v>39</v>
      </c>
      <c r="G408" s="681" t="s">
        <v>45</v>
      </c>
      <c r="H408" s="681" t="s">
        <v>37</v>
      </c>
      <c r="I408" s="682" t="s">
        <v>44</v>
      </c>
      <c r="J408" s="10"/>
      <c r="K408" s="24">
        <f t="shared" si="64"/>
        <v>6292.9</v>
      </c>
      <c r="L408" s="24">
        <f t="shared" si="64"/>
        <v>0</v>
      </c>
      <c r="M408" s="24">
        <f t="shared" si="64"/>
        <v>6292.9</v>
      </c>
      <c r="N408" s="24">
        <f t="shared" si="64"/>
        <v>6292.9</v>
      </c>
    </row>
    <row r="409" spans="1:14" s="125" customFormat="1" ht="126" x14ac:dyDescent="0.35">
      <c r="A409" s="11"/>
      <c r="B409" s="518" t="s">
        <v>283</v>
      </c>
      <c r="C409" s="23" t="s">
        <v>425</v>
      </c>
      <c r="D409" s="10" t="s">
        <v>104</v>
      </c>
      <c r="E409" s="10" t="s">
        <v>52</v>
      </c>
      <c r="F409" s="680" t="s">
        <v>39</v>
      </c>
      <c r="G409" s="681" t="s">
        <v>45</v>
      </c>
      <c r="H409" s="681" t="s">
        <v>37</v>
      </c>
      <c r="I409" s="682" t="s">
        <v>284</v>
      </c>
      <c r="J409" s="10"/>
      <c r="K409" s="24">
        <f>K410+K411</f>
        <v>6292.9</v>
      </c>
      <c r="L409" s="24">
        <f>L410+L411</f>
        <v>0</v>
      </c>
      <c r="M409" s="24">
        <f>M410+M411</f>
        <v>6292.9</v>
      </c>
      <c r="N409" s="24">
        <f>N410+N411</f>
        <v>6292.9</v>
      </c>
    </row>
    <row r="410" spans="1:14" s="125" customFormat="1" ht="54" x14ac:dyDescent="0.35">
      <c r="A410" s="11"/>
      <c r="B410" s="518" t="s">
        <v>55</v>
      </c>
      <c r="C410" s="23" t="s">
        <v>425</v>
      </c>
      <c r="D410" s="10" t="s">
        <v>104</v>
      </c>
      <c r="E410" s="10" t="s">
        <v>52</v>
      </c>
      <c r="F410" s="680" t="s">
        <v>39</v>
      </c>
      <c r="G410" s="681" t="s">
        <v>45</v>
      </c>
      <c r="H410" s="681" t="s">
        <v>37</v>
      </c>
      <c r="I410" s="682" t="s">
        <v>284</v>
      </c>
      <c r="J410" s="10" t="s">
        <v>56</v>
      </c>
      <c r="K410" s="24">
        <v>92.9</v>
      </c>
      <c r="L410" s="24">
        <f>M410-K410</f>
        <v>0</v>
      </c>
      <c r="M410" s="24">
        <v>92.9</v>
      </c>
      <c r="N410" s="24">
        <v>92.9</v>
      </c>
    </row>
    <row r="411" spans="1:14" s="125" customFormat="1" ht="36" x14ac:dyDescent="0.35">
      <c r="A411" s="11"/>
      <c r="B411" s="525" t="s">
        <v>120</v>
      </c>
      <c r="C411" s="23" t="s">
        <v>425</v>
      </c>
      <c r="D411" s="10" t="s">
        <v>104</v>
      </c>
      <c r="E411" s="10" t="s">
        <v>52</v>
      </c>
      <c r="F411" s="680" t="s">
        <v>39</v>
      </c>
      <c r="G411" s="681" t="s">
        <v>45</v>
      </c>
      <c r="H411" s="681" t="s">
        <v>37</v>
      </c>
      <c r="I411" s="682" t="s">
        <v>284</v>
      </c>
      <c r="J411" s="10" t="s">
        <v>121</v>
      </c>
      <c r="K411" s="24">
        <v>6200</v>
      </c>
      <c r="L411" s="24">
        <f>M411-K411</f>
        <v>0</v>
      </c>
      <c r="M411" s="24">
        <v>6200</v>
      </c>
      <c r="N411" s="24">
        <v>6200</v>
      </c>
    </row>
    <row r="412" spans="1:14" s="127" customFormat="1" ht="18" x14ac:dyDescent="0.35">
      <c r="A412" s="11"/>
      <c r="B412" s="518"/>
      <c r="C412" s="23"/>
      <c r="D412" s="10"/>
      <c r="E412" s="10"/>
      <c r="F412" s="680"/>
      <c r="G412" s="681"/>
      <c r="H412" s="681"/>
      <c r="I412" s="682"/>
      <c r="J412" s="10"/>
      <c r="K412" s="24"/>
      <c r="L412" s="24"/>
      <c r="M412" s="24"/>
      <c r="N412" s="24"/>
    </row>
    <row r="413" spans="1:14" s="121" customFormat="1" ht="52.2" x14ac:dyDescent="0.3">
      <c r="A413" s="120">
        <v>6</v>
      </c>
      <c r="B413" s="588" t="s">
        <v>9</v>
      </c>
      <c r="C413" s="18" t="s">
        <v>314</v>
      </c>
      <c r="D413" s="19"/>
      <c r="E413" s="19"/>
      <c r="F413" s="20"/>
      <c r="G413" s="21"/>
      <c r="H413" s="21"/>
      <c r="I413" s="22"/>
      <c r="J413" s="19"/>
      <c r="K413" s="32">
        <f>K421+K439+K414</f>
        <v>96417.300000000017</v>
      </c>
      <c r="L413" s="32">
        <f>L421+L439+L414</f>
        <v>0</v>
      </c>
      <c r="M413" s="32">
        <f>M421+M439+M414</f>
        <v>96417.300000000017</v>
      </c>
      <c r="N413" s="32">
        <f>N421+N439+N414</f>
        <v>96420.2</v>
      </c>
    </row>
    <row r="414" spans="1:14" s="121" customFormat="1" ht="18" x14ac:dyDescent="0.35">
      <c r="A414" s="120"/>
      <c r="B414" s="518" t="s">
        <v>36</v>
      </c>
      <c r="C414" s="23" t="s">
        <v>314</v>
      </c>
      <c r="D414" s="28" t="s">
        <v>37</v>
      </c>
      <c r="E414" s="19"/>
      <c r="F414" s="20"/>
      <c r="G414" s="21"/>
      <c r="H414" s="21"/>
      <c r="I414" s="22"/>
      <c r="J414" s="19"/>
      <c r="K414" s="220">
        <f t="shared" ref="K414:M418" si="65">K415</f>
        <v>54.1</v>
      </c>
      <c r="L414" s="220">
        <f t="shared" si="65"/>
        <v>0</v>
      </c>
      <c r="M414" s="220">
        <f t="shared" si="65"/>
        <v>54.1</v>
      </c>
      <c r="N414" s="220">
        <f>N415</f>
        <v>54.1</v>
      </c>
    </row>
    <row r="415" spans="1:14" s="121" customFormat="1" ht="18" x14ac:dyDescent="0.35">
      <c r="A415" s="120"/>
      <c r="B415" s="518" t="s">
        <v>70</v>
      </c>
      <c r="C415" s="23" t="s">
        <v>314</v>
      </c>
      <c r="D415" s="28" t="s">
        <v>37</v>
      </c>
      <c r="E415" s="28" t="s">
        <v>71</v>
      </c>
      <c r="F415" s="20"/>
      <c r="G415" s="21"/>
      <c r="H415" s="21"/>
      <c r="I415" s="22"/>
      <c r="J415" s="19"/>
      <c r="K415" s="220">
        <f t="shared" ref="K415:N416" si="66">K416</f>
        <v>54.1</v>
      </c>
      <c r="L415" s="220">
        <f t="shared" si="66"/>
        <v>0</v>
      </c>
      <c r="M415" s="220">
        <f t="shared" si="66"/>
        <v>54.1</v>
      </c>
      <c r="N415" s="220">
        <f t="shared" si="66"/>
        <v>54.1</v>
      </c>
    </row>
    <row r="416" spans="1:14" s="121" customFormat="1" ht="54" x14ac:dyDescent="0.35">
      <c r="A416" s="120"/>
      <c r="B416" s="568" t="s">
        <v>213</v>
      </c>
      <c r="C416" s="23" t="s">
        <v>314</v>
      </c>
      <c r="D416" s="28" t="s">
        <v>37</v>
      </c>
      <c r="E416" s="28" t="s">
        <v>71</v>
      </c>
      <c r="F416" s="217" t="s">
        <v>63</v>
      </c>
      <c r="G416" s="218" t="s">
        <v>42</v>
      </c>
      <c r="H416" s="218" t="s">
        <v>43</v>
      </c>
      <c r="I416" s="219" t="s">
        <v>44</v>
      </c>
      <c r="J416" s="19"/>
      <c r="K416" s="220">
        <f t="shared" si="66"/>
        <v>54.1</v>
      </c>
      <c r="L416" s="220">
        <f t="shared" si="66"/>
        <v>0</v>
      </c>
      <c r="M416" s="220">
        <f t="shared" si="66"/>
        <v>54.1</v>
      </c>
      <c r="N416" s="220">
        <f t="shared" si="66"/>
        <v>54.1</v>
      </c>
    </row>
    <row r="417" spans="1:14" s="121" customFormat="1" ht="54" x14ac:dyDescent="0.35">
      <c r="A417" s="120"/>
      <c r="B417" s="518" t="s">
        <v>216</v>
      </c>
      <c r="C417" s="23" t="s">
        <v>314</v>
      </c>
      <c r="D417" s="28" t="s">
        <v>37</v>
      </c>
      <c r="E417" s="28" t="s">
        <v>71</v>
      </c>
      <c r="F417" s="217" t="s">
        <v>63</v>
      </c>
      <c r="G417" s="218" t="s">
        <v>30</v>
      </c>
      <c r="H417" s="218" t="s">
        <v>43</v>
      </c>
      <c r="I417" s="219" t="s">
        <v>44</v>
      </c>
      <c r="J417" s="19"/>
      <c r="K417" s="220">
        <f t="shared" si="65"/>
        <v>54.1</v>
      </c>
      <c r="L417" s="220">
        <f t="shared" si="65"/>
        <v>0</v>
      </c>
      <c r="M417" s="220">
        <f t="shared" si="65"/>
        <v>54.1</v>
      </c>
      <c r="N417" s="220">
        <f>N418</f>
        <v>54.1</v>
      </c>
    </row>
    <row r="418" spans="1:14" s="121" customFormat="1" ht="36" x14ac:dyDescent="0.35">
      <c r="A418" s="120"/>
      <c r="B418" s="518" t="s">
        <v>351</v>
      </c>
      <c r="C418" s="23" t="s">
        <v>314</v>
      </c>
      <c r="D418" s="28" t="s">
        <v>37</v>
      </c>
      <c r="E418" s="28" t="s">
        <v>71</v>
      </c>
      <c r="F418" s="217" t="s">
        <v>63</v>
      </c>
      <c r="G418" s="218" t="s">
        <v>30</v>
      </c>
      <c r="H418" s="218" t="s">
        <v>39</v>
      </c>
      <c r="I418" s="219" t="s">
        <v>44</v>
      </c>
      <c r="J418" s="19"/>
      <c r="K418" s="220">
        <f t="shared" si="65"/>
        <v>54.1</v>
      </c>
      <c r="L418" s="220">
        <f t="shared" si="65"/>
        <v>0</v>
      </c>
      <c r="M418" s="220">
        <f t="shared" si="65"/>
        <v>54.1</v>
      </c>
      <c r="N418" s="220">
        <f>N419</f>
        <v>54.1</v>
      </c>
    </row>
    <row r="419" spans="1:14" s="121" customFormat="1" ht="54" x14ac:dyDescent="0.35">
      <c r="A419" s="120"/>
      <c r="B419" s="518" t="s">
        <v>352</v>
      </c>
      <c r="C419" s="23" t="s">
        <v>314</v>
      </c>
      <c r="D419" s="28" t="s">
        <v>37</v>
      </c>
      <c r="E419" s="28" t="s">
        <v>71</v>
      </c>
      <c r="F419" s="217" t="s">
        <v>63</v>
      </c>
      <c r="G419" s="218" t="s">
        <v>30</v>
      </c>
      <c r="H419" s="218" t="s">
        <v>39</v>
      </c>
      <c r="I419" s="219" t="s">
        <v>105</v>
      </c>
      <c r="J419" s="19"/>
      <c r="K419" s="220">
        <f>K420</f>
        <v>54.1</v>
      </c>
      <c r="L419" s="220">
        <f>L420</f>
        <v>0</v>
      </c>
      <c r="M419" s="220">
        <f>M420</f>
        <v>54.1</v>
      </c>
      <c r="N419" s="220">
        <f>N420</f>
        <v>54.1</v>
      </c>
    </row>
    <row r="420" spans="1:14" s="121" customFormat="1" ht="54" x14ac:dyDescent="0.35">
      <c r="A420" s="120"/>
      <c r="B420" s="518" t="s">
        <v>55</v>
      </c>
      <c r="C420" s="23" t="s">
        <v>314</v>
      </c>
      <c r="D420" s="28" t="s">
        <v>37</v>
      </c>
      <c r="E420" s="28" t="s">
        <v>71</v>
      </c>
      <c r="F420" s="217" t="s">
        <v>63</v>
      </c>
      <c r="G420" s="218" t="s">
        <v>30</v>
      </c>
      <c r="H420" s="218" t="s">
        <v>39</v>
      </c>
      <c r="I420" s="219" t="s">
        <v>105</v>
      </c>
      <c r="J420" s="28" t="s">
        <v>56</v>
      </c>
      <c r="K420" s="220">
        <v>54.1</v>
      </c>
      <c r="L420" s="24">
        <f>M420-K420</f>
        <v>0</v>
      </c>
      <c r="M420" s="220">
        <v>54.1</v>
      </c>
      <c r="N420" s="220">
        <v>54.1</v>
      </c>
    </row>
    <row r="421" spans="1:14" s="7" customFormat="1" ht="18" x14ac:dyDescent="0.35">
      <c r="A421" s="11"/>
      <c r="B421" s="568" t="s">
        <v>179</v>
      </c>
      <c r="C421" s="23" t="s">
        <v>314</v>
      </c>
      <c r="D421" s="10" t="s">
        <v>224</v>
      </c>
      <c r="E421" s="10"/>
      <c r="F421" s="680"/>
      <c r="G421" s="681"/>
      <c r="H421" s="681"/>
      <c r="I421" s="682"/>
      <c r="J421" s="10"/>
      <c r="K421" s="24">
        <f>K422+K430</f>
        <v>60705.4</v>
      </c>
      <c r="L421" s="24">
        <f>L422+L430</f>
        <v>0</v>
      </c>
      <c r="M421" s="24">
        <f>M422+M430</f>
        <v>60705.4</v>
      </c>
      <c r="N421" s="24">
        <f>N422+N430</f>
        <v>60762.2</v>
      </c>
    </row>
    <row r="422" spans="1:14" s="121" customFormat="1" ht="18" x14ac:dyDescent="0.35">
      <c r="A422" s="11"/>
      <c r="B422" s="568" t="s">
        <v>349</v>
      </c>
      <c r="C422" s="23" t="s">
        <v>314</v>
      </c>
      <c r="D422" s="10" t="s">
        <v>224</v>
      </c>
      <c r="E422" s="10" t="s">
        <v>63</v>
      </c>
      <c r="F422" s="680"/>
      <c r="G422" s="681"/>
      <c r="H422" s="681"/>
      <c r="I422" s="682"/>
      <c r="J422" s="10"/>
      <c r="K422" s="24">
        <f t="shared" ref="K422:M423" si="67">K423</f>
        <v>60029.8</v>
      </c>
      <c r="L422" s="24">
        <f t="shared" si="67"/>
        <v>0</v>
      </c>
      <c r="M422" s="24">
        <f t="shared" si="67"/>
        <v>60029.8</v>
      </c>
      <c r="N422" s="24">
        <f>N423</f>
        <v>60086.6</v>
      </c>
    </row>
    <row r="423" spans="1:14" s="121" customFormat="1" ht="54" x14ac:dyDescent="0.35">
      <c r="A423" s="11"/>
      <c r="B423" s="568" t="s">
        <v>213</v>
      </c>
      <c r="C423" s="23" t="s">
        <v>314</v>
      </c>
      <c r="D423" s="10" t="s">
        <v>224</v>
      </c>
      <c r="E423" s="10" t="s">
        <v>63</v>
      </c>
      <c r="F423" s="680" t="s">
        <v>63</v>
      </c>
      <c r="G423" s="681" t="s">
        <v>42</v>
      </c>
      <c r="H423" s="681" t="s">
        <v>43</v>
      </c>
      <c r="I423" s="682" t="s">
        <v>44</v>
      </c>
      <c r="J423" s="10"/>
      <c r="K423" s="24">
        <f t="shared" si="67"/>
        <v>60029.8</v>
      </c>
      <c r="L423" s="24">
        <f t="shared" si="67"/>
        <v>0</v>
      </c>
      <c r="M423" s="24">
        <f t="shared" si="67"/>
        <v>60029.8</v>
      </c>
      <c r="N423" s="24">
        <f>N424</f>
        <v>60086.6</v>
      </c>
    </row>
    <row r="424" spans="1:14" s="121" customFormat="1" ht="72" x14ac:dyDescent="0.35">
      <c r="A424" s="11"/>
      <c r="B424" s="568" t="s">
        <v>214</v>
      </c>
      <c r="C424" s="23" t="s">
        <v>314</v>
      </c>
      <c r="D424" s="10" t="s">
        <v>224</v>
      </c>
      <c r="E424" s="10" t="s">
        <v>63</v>
      </c>
      <c r="F424" s="680" t="s">
        <v>63</v>
      </c>
      <c r="G424" s="681" t="s">
        <v>45</v>
      </c>
      <c r="H424" s="681" t="s">
        <v>43</v>
      </c>
      <c r="I424" s="682" t="s">
        <v>44</v>
      </c>
      <c r="J424" s="10"/>
      <c r="K424" s="24">
        <f t="shared" ref="K424:N426" si="68">K425</f>
        <v>60029.8</v>
      </c>
      <c r="L424" s="24">
        <f t="shared" si="68"/>
        <v>0</v>
      </c>
      <c r="M424" s="24">
        <f t="shared" si="68"/>
        <v>60029.8</v>
      </c>
      <c r="N424" s="24">
        <f t="shared" si="68"/>
        <v>60086.6</v>
      </c>
    </row>
    <row r="425" spans="1:14" s="121" customFormat="1" ht="36" x14ac:dyDescent="0.35">
      <c r="A425" s="11"/>
      <c r="B425" s="568" t="s">
        <v>276</v>
      </c>
      <c r="C425" s="23" t="s">
        <v>314</v>
      </c>
      <c r="D425" s="10" t="s">
        <v>224</v>
      </c>
      <c r="E425" s="10" t="s">
        <v>63</v>
      </c>
      <c r="F425" s="680" t="s">
        <v>63</v>
      </c>
      <c r="G425" s="681" t="s">
        <v>45</v>
      </c>
      <c r="H425" s="681" t="s">
        <v>37</v>
      </c>
      <c r="I425" s="682" t="s">
        <v>44</v>
      </c>
      <c r="J425" s="10"/>
      <c r="K425" s="24">
        <f>K426+K428</f>
        <v>60029.8</v>
      </c>
      <c r="L425" s="24">
        <f>L426+L428</f>
        <v>0</v>
      </c>
      <c r="M425" s="24">
        <f>M426+M428</f>
        <v>60029.8</v>
      </c>
      <c r="N425" s="24">
        <f>N426+N428</f>
        <v>60086.6</v>
      </c>
    </row>
    <row r="426" spans="1:14" s="121" customFormat="1" ht="36" x14ac:dyDescent="0.35">
      <c r="A426" s="11"/>
      <c r="B426" s="596" t="s">
        <v>466</v>
      </c>
      <c r="C426" s="23" t="s">
        <v>314</v>
      </c>
      <c r="D426" s="10" t="s">
        <v>224</v>
      </c>
      <c r="E426" s="10" t="s">
        <v>63</v>
      </c>
      <c r="F426" s="680" t="s">
        <v>63</v>
      </c>
      <c r="G426" s="681" t="s">
        <v>45</v>
      </c>
      <c r="H426" s="681" t="s">
        <v>37</v>
      </c>
      <c r="I426" s="682" t="s">
        <v>91</v>
      </c>
      <c r="J426" s="10"/>
      <c r="K426" s="24">
        <f t="shared" si="68"/>
        <v>54257</v>
      </c>
      <c r="L426" s="24">
        <f t="shared" si="68"/>
        <v>0</v>
      </c>
      <c r="M426" s="24">
        <f t="shared" si="68"/>
        <v>54257</v>
      </c>
      <c r="N426" s="24">
        <f t="shared" si="68"/>
        <v>54257.7</v>
      </c>
    </row>
    <row r="427" spans="1:14" s="7" customFormat="1" ht="54" x14ac:dyDescent="0.35">
      <c r="A427" s="11"/>
      <c r="B427" s="525" t="s">
        <v>76</v>
      </c>
      <c r="C427" s="23" t="s">
        <v>314</v>
      </c>
      <c r="D427" s="10" t="s">
        <v>224</v>
      </c>
      <c r="E427" s="10" t="s">
        <v>63</v>
      </c>
      <c r="F427" s="680" t="s">
        <v>63</v>
      </c>
      <c r="G427" s="681" t="s">
        <v>45</v>
      </c>
      <c r="H427" s="681" t="s">
        <v>37</v>
      </c>
      <c r="I427" s="682" t="s">
        <v>91</v>
      </c>
      <c r="J427" s="10" t="s">
        <v>77</v>
      </c>
      <c r="K427" s="24">
        <v>54257</v>
      </c>
      <c r="L427" s="24">
        <f>M427-K427</f>
        <v>0</v>
      </c>
      <c r="M427" s="24">
        <v>54257</v>
      </c>
      <c r="N427" s="24">
        <v>54257.7</v>
      </c>
    </row>
    <row r="428" spans="1:14" s="7" customFormat="1" ht="36" x14ac:dyDescent="0.35">
      <c r="A428" s="11"/>
      <c r="B428" s="525" t="s">
        <v>315</v>
      </c>
      <c r="C428" s="23" t="s">
        <v>314</v>
      </c>
      <c r="D428" s="10" t="s">
        <v>224</v>
      </c>
      <c r="E428" s="10" t="s">
        <v>63</v>
      </c>
      <c r="F428" s="680" t="s">
        <v>63</v>
      </c>
      <c r="G428" s="681" t="s">
        <v>45</v>
      </c>
      <c r="H428" s="681" t="s">
        <v>37</v>
      </c>
      <c r="I428" s="682" t="s">
        <v>316</v>
      </c>
      <c r="J428" s="10"/>
      <c r="K428" s="24">
        <f>K429</f>
        <v>5772.8</v>
      </c>
      <c r="L428" s="24">
        <f>L429</f>
        <v>0</v>
      </c>
      <c r="M428" s="24">
        <f>M429</f>
        <v>5772.8</v>
      </c>
      <c r="N428" s="24">
        <f>N429</f>
        <v>5828.9</v>
      </c>
    </row>
    <row r="429" spans="1:14" s="7" customFormat="1" ht="54" x14ac:dyDescent="0.35">
      <c r="A429" s="11"/>
      <c r="B429" s="525" t="s">
        <v>76</v>
      </c>
      <c r="C429" s="23" t="s">
        <v>314</v>
      </c>
      <c r="D429" s="10" t="s">
        <v>224</v>
      </c>
      <c r="E429" s="10" t="s">
        <v>63</v>
      </c>
      <c r="F429" s="680" t="s">
        <v>63</v>
      </c>
      <c r="G429" s="681" t="s">
        <v>45</v>
      </c>
      <c r="H429" s="681" t="s">
        <v>37</v>
      </c>
      <c r="I429" s="682" t="s">
        <v>316</v>
      </c>
      <c r="J429" s="10" t="s">
        <v>77</v>
      </c>
      <c r="K429" s="24">
        <v>5772.8</v>
      </c>
      <c r="L429" s="24">
        <f>M429-K429</f>
        <v>0</v>
      </c>
      <c r="M429" s="24">
        <v>5772.8</v>
      </c>
      <c r="N429" s="24">
        <v>5828.9</v>
      </c>
    </row>
    <row r="430" spans="1:14" s="7" customFormat="1" ht="18" x14ac:dyDescent="0.35">
      <c r="A430" s="11"/>
      <c r="B430" s="518" t="s">
        <v>186</v>
      </c>
      <c r="C430" s="23" t="s">
        <v>314</v>
      </c>
      <c r="D430" s="10" t="s">
        <v>224</v>
      </c>
      <c r="E430" s="10" t="s">
        <v>79</v>
      </c>
      <c r="F430" s="680"/>
      <c r="G430" s="681"/>
      <c r="H430" s="681"/>
      <c r="I430" s="682"/>
      <c r="J430" s="10"/>
      <c r="K430" s="24">
        <f t="shared" ref="K430:N434" si="69">K431</f>
        <v>675.6</v>
      </c>
      <c r="L430" s="24">
        <f t="shared" si="69"/>
        <v>0</v>
      </c>
      <c r="M430" s="24">
        <f t="shared" si="69"/>
        <v>675.6</v>
      </c>
      <c r="N430" s="24">
        <f t="shared" si="69"/>
        <v>675.6</v>
      </c>
    </row>
    <row r="431" spans="1:14" s="7" customFormat="1" ht="54" x14ac:dyDescent="0.35">
      <c r="A431" s="11"/>
      <c r="B431" s="568" t="s">
        <v>213</v>
      </c>
      <c r="C431" s="23" t="s">
        <v>314</v>
      </c>
      <c r="D431" s="10" t="s">
        <v>224</v>
      </c>
      <c r="E431" s="10" t="s">
        <v>79</v>
      </c>
      <c r="F431" s="680" t="s">
        <v>63</v>
      </c>
      <c r="G431" s="681" t="s">
        <v>42</v>
      </c>
      <c r="H431" s="681" t="s">
        <v>43</v>
      </c>
      <c r="I431" s="682" t="s">
        <v>44</v>
      </c>
      <c r="J431" s="10"/>
      <c r="K431" s="24">
        <f t="shared" si="69"/>
        <v>675.6</v>
      </c>
      <c r="L431" s="24">
        <f t="shared" si="69"/>
        <v>0</v>
      </c>
      <c r="M431" s="24">
        <f t="shared" si="69"/>
        <v>675.6</v>
      </c>
      <c r="N431" s="24">
        <f t="shared" si="69"/>
        <v>675.6</v>
      </c>
    </row>
    <row r="432" spans="1:14" s="7" customFormat="1" ht="72" x14ac:dyDescent="0.35">
      <c r="A432" s="11"/>
      <c r="B432" s="568" t="s">
        <v>214</v>
      </c>
      <c r="C432" s="23" t="s">
        <v>314</v>
      </c>
      <c r="D432" s="10" t="s">
        <v>224</v>
      </c>
      <c r="E432" s="10" t="s">
        <v>79</v>
      </c>
      <c r="F432" s="680" t="s">
        <v>63</v>
      </c>
      <c r="G432" s="681" t="s">
        <v>45</v>
      </c>
      <c r="H432" s="681" t="s">
        <v>43</v>
      </c>
      <c r="I432" s="682" t="s">
        <v>44</v>
      </c>
      <c r="J432" s="10"/>
      <c r="K432" s="24">
        <f t="shared" si="69"/>
        <v>675.6</v>
      </c>
      <c r="L432" s="24">
        <f t="shared" si="69"/>
        <v>0</v>
      </c>
      <c r="M432" s="24">
        <f t="shared" si="69"/>
        <v>675.6</v>
      </c>
      <c r="N432" s="24">
        <f t="shared" si="69"/>
        <v>675.6</v>
      </c>
    </row>
    <row r="433" spans="1:14" s="7" customFormat="1" ht="18" x14ac:dyDescent="0.35">
      <c r="A433" s="11"/>
      <c r="B433" s="525" t="s">
        <v>277</v>
      </c>
      <c r="C433" s="23" t="s">
        <v>314</v>
      </c>
      <c r="D433" s="10" t="s">
        <v>224</v>
      </c>
      <c r="E433" s="10" t="s">
        <v>79</v>
      </c>
      <c r="F433" s="680" t="s">
        <v>63</v>
      </c>
      <c r="G433" s="681" t="s">
        <v>45</v>
      </c>
      <c r="H433" s="681" t="s">
        <v>39</v>
      </c>
      <c r="I433" s="682" t="s">
        <v>44</v>
      </c>
      <c r="J433" s="10"/>
      <c r="K433" s="24">
        <f>K434+K436</f>
        <v>675.6</v>
      </c>
      <c r="L433" s="24">
        <f>L434+L436</f>
        <v>0</v>
      </c>
      <c r="M433" s="24">
        <f>M434+M436</f>
        <v>675.6</v>
      </c>
      <c r="N433" s="24">
        <f>N434+N436</f>
        <v>675.6</v>
      </c>
    </row>
    <row r="434" spans="1:14" s="7" customFormat="1" ht="36" x14ac:dyDescent="0.35">
      <c r="A434" s="11"/>
      <c r="B434" s="525" t="s">
        <v>211</v>
      </c>
      <c r="C434" s="23" t="s">
        <v>314</v>
      </c>
      <c r="D434" s="10" t="s">
        <v>224</v>
      </c>
      <c r="E434" s="10" t="s">
        <v>79</v>
      </c>
      <c r="F434" s="680" t="s">
        <v>63</v>
      </c>
      <c r="G434" s="681" t="s">
        <v>45</v>
      </c>
      <c r="H434" s="681" t="s">
        <v>39</v>
      </c>
      <c r="I434" s="682" t="s">
        <v>279</v>
      </c>
      <c r="J434" s="10"/>
      <c r="K434" s="24">
        <f t="shared" si="69"/>
        <v>375</v>
      </c>
      <c r="L434" s="24">
        <f t="shared" si="69"/>
        <v>0</v>
      </c>
      <c r="M434" s="24">
        <f t="shared" si="69"/>
        <v>375</v>
      </c>
      <c r="N434" s="24">
        <f t="shared" si="69"/>
        <v>375</v>
      </c>
    </row>
    <row r="435" spans="1:14" s="7" customFormat="1" ht="36" x14ac:dyDescent="0.35">
      <c r="A435" s="11"/>
      <c r="B435" s="525" t="s">
        <v>120</v>
      </c>
      <c r="C435" s="23" t="s">
        <v>314</v>
      </c>
      <c r="D435" s="10" t="s">
        <v>224</v>
      </c>
      <c r="E435" s="10" t="s">
        <v>79</v>
      </c>
      <c r="F435" s="680" t="s">
        <v>63</v>
      </c>
      <c r="G435" s="681" t="s">
        <v>45</v>
      </c>
      <c r="H435" s="681" t="s">
        <v>39</v>
      </c>
      <c r="I435" s="682" t="s">
        <v>279</v>
      </c>
      <c r="J435" s="10" t="s">
        <v>121</v>
      </c>
      <c r="K435" s="24">
        <v>375</v>
      </c>
      <c r="L435" s="24">
        <f>M435-K435</f>
        <v>0</v>
      </c>
      <c r="M435" s="24">
        <v>375</v>
      </c>
      <c r="N435" s="24">
        <v>375</v>
      </c>
    </row>
    <row r="436" spans="1:14" s="7" customFormat="1" ht="54" x14ac:dyDescent="0.35">
      <c r="A436" s="11"/>
      <c r="B436" s="525" t="s">
        <v>281</v>
      </c>
      <c r="C436" s="23" t="s">
        <v>314</v>
      </c>
      <c r="D436" s="10" t="s">
        <v>224</v>
      </c>
      <c r="E436" s="10" t="s">
        <v>79</v>
      </c>
      <c r="F436" s="680" t="s">
        <v>63</v>
      </c>
      <c r="G436" s="681" t="s">
        <v>45</v>
      </c>
      <c r="H436" s="681" t="s">
        <v>65</v>
      </c>
      <c r="I436" s="682" t="s">
        <v>44</v>
      </c>
      <c r="J436" s="10"/>
      <c r="K436" s="24">
        <f t="shared" ref="K436:M437" si="70">K437</f>
        <v>300.60000000000002</v>
      </c>
      <c r="L436" s="24">
        <f t="shared" si="70"/>
        <v>0</v>
      </c>
      <c r="M436" s="24">
        <f t="shared" si="70"/>
        <v>300.60000000000002</v>
      </c>
      <c r="N436" s="24">
        <f>N437</f>
        <v>300.60000000000002</v>
      </c>
    </row>
    <row r="437" spans="1:14" s="7" customFormat="1" ht="36" x14ac:dyDescent="0.35">
      <c r="A437" s="11"/>
      <c r="B437" s="525" t="s">
        <v>472</v>
      </c>
      <c r="C437" s="23" t="s">
        <v>314</v>
      </c>
      <c r="D437" s="10" t="s">
        <v>224</v>
      </c>
      <c r="E437" s="10" t="s">
        <v>79</v>
      </c>
      <c r="F437" s="680" t="s">
        <v>63</v>
      </c>
      <c r="G437" s="681" t="s">
        <v>45</v>
      </c>
      <c r="H437" s="681" t="s">
        <v>65</v>
      </c>
      <c r="I437" s="682" t="s">
        <v>471</v>
      </c>
      <c r="J437" s="10"/>
      <c r="K437" s="24">
        <f t="shared" si="70"/>
        <v>300.60000000000002</v>
      </c>
      <c r="L437" s="24">
        <f t="shared" si="70"/>
        <v>0</v>
      </c>
      <c r="M437" s="24">
        <f t="shared" si="70"/>
        <v>300.60000000000002</v>
      </c>
      <c r="N437" s="24">
        <f>N438</f>
        <v>300.60000000000002</v>
      </c>
    </row>
    <row r="438" spans="1:14" s="7" customFormat="1" ht="54" x14ac:dyDescent="0.35">
      <c r="A438" s="11"/>
      <c r="B438" s="525" t="s">
        <v>76</v>
      </c>
      <c r="C438" s="23" t="s">
        <v>314</v>
      </c>
      <c r="D438" s="10" t="s">
        <v>224</v>
      </c>
      <c r="E438" s="10" t="s">
        <v>79</v>
      </c>
      <c r="F438" s="680" t="s">
        <v>63</v>
      </c>
      <c r="G438" s="681" t="s">
        <v>45</v>
      </c>
      <c r="H438" s="681" t="s">
        <v>65</v>
      </c>
      <c r="I438" s="682" t="s">
        <v>471</v>
      </c>
      <c r="J438" s="10" t="s">
        <v>77</v>
      </c>
      <c r="K438" s="24">
        <v>300.60000000000002</v>
      </c>
      <c r="L438" s="24">
        <f>M438-K438</f>
        <v>0</v>
      </c>
      <c r="M438" s="24">
        <v>300.60000000000002</v>
      </c>
      <c r="N438" s="24">
        <v>300.60000000000002</v>
      </c>
    </row>
    <row r="439" spans="1:14" s="7" customFormat="1" ht="18" x14ac:dyDescent="0.35">
      <c r="A439" s="11"/>
      <c r="B439" s="518" t="s">
        <v>188</v>
      </c>
      <c r="C439" s="23" t="s">
        <v>314</v>
      </c>
      <c r="D439" s="10" t="s">
        <v>226</v>
      </c>
      <c r="E439" s="10"/>
      <c r="F439" s="680"/>
      <c r="G439" s="681"/>
      <c r="H439" s="681"/>
      <c r="I439" s="682"/>
      <c r="J439" s="10"/>
      <c r="K439" s="24">
        <f>K440+K457</f>
        <v>35657.800000000003</v>
      </c>
      <c r="L439" s="24">
        <f>L440+L457</f>
        <v>0</v>
      </c>
      <c r="M439" s="24">
        <f>M440+M457</f>
        <v>35657.800000000003</v>
      </c>
      <c r="N439" s="24">
        <f>N440+N457</f>
        <v>35603.899999999994</v>
      </c>
    </row>
    <row r="440" spans="1:14" s="7" customFormat="1" ht="18" x14ac:dyDescent="0.35">
      <c r="A440" s="11"/>
      <c r="B440" s="518" t="s">
        <v>190</v>
      </c>
      <c r="C440" s="23" t="s">
        <v>314</v>
      </c>
      <c r="D440" s="10" t="s">
        <v>226</v>
      </c>
      <c r="E440" s="10" t="s">
        <v>37</v>
      </c>
      <c r="F440" s="680"/>
      <c r="G440" s="681"/>
      <c r="H440" s="681"/>
      <c r="I440" s="682"/>
      <c r="J440" s="10"/>
      <c r="K440" s="24">
        <f>K441</f>
        <v>24215.8</v>
      </c>
      <c r="L440" s="24">
        <f>L441</f>
        <v>0</v>
      </c>
      <c r="M440" s="24">
        <f>M441</f>
        <v>24215.8</v>
      </c>
      <c r="N440" s="24">
        <f>N441</f>
        <v>24157.399999999998</v>
      </c>
    </row>
    <row r="441" spans="1:14" s="7" customFormat="1" ht="54" x14ac:dyDescent="0.35">
      <c r="A441" s="11"/>
      <c r="B441" s="568" t="s">
        <v>213</v>
      </c>
      <c r="C441" s="23" t="s">
        <v>314</v>
      </c>
      <c r="D441" s="10" t="s">
        <v>226</v>
      </c>
      <c r="E441" s="10" t="s">
        <v>37</v>
      </c>
      <c r="F441" s="680" t="s">
        <v>63</v>
      </c>
      <c r="G441" s="681" t="s">
        <v>42</v>
      </c>
      <c r="H441" s="681" t="s">
        <v>43</v>
      </c>
      <c r="I441" s="682" t="s">
        <v>44</v>
      </c>
      <c r="J441" s="10"/>
      <c r="K441" s="24">
        <f>K442+K451</f>
        <v>24215.8</v>
      </c>
      <c r="L441" s="24">
        <f>L442+L451</f>
        <v>0</v>
      </c>
      <c r="M441" s="24">
        <f>M442+M451</f>
        <v>24215.8</v>
      </c>
      <c r="N441" s="24">
        <f>N442+N451</f>
        <v>24157.399999999998</v>
      </c>
    </row>
    <row r="442" spans="1:14" s="7" customFormat="1" ht="72" x14ac:dyDescent="0.35">
      <c r="A442" s="11"/>
      <c r="B442" s="568" t="s">
        <v>214</v>
      </c>
      <c r="C442" s="23" t="s">
        <v>314</v>
      </c>
      <c r="D442" s="10" t="s">
        <v>226</v>
      </c>
      <c r="E442" s="10" t="s">
        <v>37</v>
      </c>
      <c r="F442" s="27" t="s">
        <v>63</v>
      </c>
      <c r="G442" s="98" t="s">
        <v>45</v>
      </c>
      <c r="H442" s="98" t="s">
        <v>43</v>
      </c>
      <c r="I442" s="99" t="s">
        <v>44</v>
      </c>
      <c r="J442" s="100"/>
      <c r="K442" s="24">
        <f>K443+K448</f>
        <v>23779.8</v>
      </c>
      <c r="L442" s="24">
        <f>L443+L448</f>
        <v>0</v>
      </c>
      <c r="M442" s="24">
        <f>M443+M448</f>
        <v>23779.8</v>
      </c>
      <c r="N442" s="24">
        <f>N443+N448</f>
        <v>23722.3</v>
      </c>
    </row>
    <row r="443" spans="1:14" s="7" customFormat="1" ht="18" x14ac:dyDescent="0.35">
      <c r="A443" s="11"/>
      <c r="B443" s="518" t="s">
        <v>317</v>
      </c>
      <c r="C443" s="23" t="s">
        <v>314</v>
      </c>
      <c r="D443" s="10" t="s">
        <v>226</v>
      </c>
      <c r="E443" s="10" t="s">
        <v>37</v>
      </c>
      <c r="F443" s="27" t="s">
        <v>63</v>
      </c>
      <c r="G443" s="98" t="s">
        <v>45</v>
      </c>
      <c r="H443" s="98" t="s">
        <v>63</v>
      </c>
      <c r="I443" s="99" t="s">
        <v>44</v>
      </c>
      <c r="J443" s="100"/>
      <c r="K443" s="24">
        <f>K444+K446</f>
        <v>12452.699999999999</v>
      </c>
      <c r="L443" s="24">
        <f>L444+L446</f>
        <v>0</v>
      </c>
      <c r="M443" s="24">
        <f>M444+M446</f>
        <v>12452.699999999999</v>
      </c>
      <c r="N443" s="24">
        <f>N444+N446</f>
        <v>12395</v>
      </c>
    </row>
    <row r="444" spans="1:14" s="7" customFormat="1" ht="36" x14ac:dyDescent="0.35">
      <c r="A444" s="11"/>
      <c r="B444" s="596" t="s">
        <v>466</v>
      </c>
      <c r="C444" s="23" t="s">
        <v>314</v>
      </c>
      <c r="D444" s="10" t="s">
        <v>226</v>
      </c>
      <c r="E444" s="10" t="s">
        <v>37</v>
      </c>
      <c r="F444" s="27" t="s">
        <v>63</v>
      </c>
      <c r="G444" s="98" t="s">
        <v>45</v>
      </c>
      <c r="H444" s="98" t="s">
        <v>63</v>
      </c>
      <c r="I444" s="99" t="s">
        <v>91</v>
      </c>
      <c r="J444" s="100"/>
      <c r="K444" s="24">
        <f t="shared" ref="K444:N444" si="71">K445</f>
        <v>11901.3</v>
      </c>
      <c r="L444" s="24">
        <f t="shared" si="71"/>
        <v>0</v>
      </c>
      <c r="M444" s="24">
        <f t="shared" si="71"/>
        <v>11901.3</v>
      </c>
      <c r="N444" s="24">
        <f t="shared" si="71"/>
        <v>11901.3</v>
      </c>
    </row>
    <row r="445" spans="1:14" s="7" customFormat="1" ht="54" x14ac:dyDescent="0.35">
      <c r="A445" s="11"/>
      <c r="B445" s="525" t="s">
        <v>76</v>
      </c>
      <c r="C445" s="23" t="s">
        <v>314</v>
      </c>
      <c r="D445" s="10" t="s">
        <v>226</v>
      </c>
      <c r="E445" s="10" t="s">
        <v>37</v>
      </c>
      <c r="F445" s="680" t="s">
        <v>63</v>
      </c>
      <c r="G445" s="681" t="s">
        <v>45</v>
      </c>
      <c r="H445" s="681" t="s">
        <v>63</v>
      </c>
      <c r="I445" s="682" t="s">
        <v>91</v>
      </c>
      <c r="J445" s="10" t="s">
        <v>77</v>
      </c>
      <c r="K445" s="24">
        <v>11901.3</v>
      </c>
      <c r="L445" s="24">
        <f>M445-K445</f>
        <v>0</v>
      </c>
      <c r="M445" s="24">
        <v>11901.3</v>
      </c>
      <c r="N445" s="24">
        <v>11901.3</v>
      </c>
    </row>
    <row r="446" spans="1:14" s="7" customFormat="1" ht="18" x14ac:dyDescent="0.35">
      <c r="A446" s="11"/>
      <c r="B446" s="525" t="s">
        <v>570</v>
      </c>
      <c r="C446" s="23" t="s">
        <v>314</v>
      </c>
      <c r="D446" s="10" t="s">
        <v>226</v>
      </c>
      <c r="E446" s="10" t="s">
        <v>37</v>
      </c>
      <c r="F446" s="680" t="s">
        <v>63</v>
      </c>
      <c r="G446" s="681" t="s">
        <v>45</v>
      </c>
      <c r="H446" s="681" t="s">
        <v>63</v>
      </c>
      <c r="I446" s="682" t="s">
        <v>569</v>
      </c>
      <c r="J446" s="10"/>
      <c r="K446" s="24">
        <f>K447</f>
        <v>551.4</v>
      </c>
      <c r="L446" s="24">
        <f>L447</f>
        <v>0</v>
      </c>
      <c r="M446" s="24">
        <f>M447</f>
        <v>551.4</v>
      </c>
      <c r="N446" s="24">
        <f>N447</f>
        <v>493.7</v>
      </c>
    </row>
    <row r="447" spans="1:14" s="7" customFormat="1" ht="54" x14ac:dyDescent="0.35">
      <c r="A447" s="11"/>
      <c r="B447" s="525" t="s">
        <v>76</v>
      </c>
      <c r="C447" s="23" t="s">
        <v>314</v>
      </c>
      <c r="D447" s="10" t="s">
        <v>226</v>
      </c>
      <c r="E447" s="10" t="s">
        <v>37</v>
      </c>
      <c r="F447" s="680" t="s">
        <v>63</v>
      </c>
      <c r="G447" s="681" t="s">
        <v>45</v>
      </c>
      <c r="H447" s="681" t="s">
        <v>63</v>
      </c>
      <c r="I447" s="682" t="s">
        <v>569</v>
      </c>
      <c r="J447" s="10" t="s">
        <v>77</v>
      </c>
      <c r="K447" s="24">
        <f>496.2+55.2</f>
        <v>551.4</v>
      </c>
      <c r="L447" s="24">
        <f>M447-K447</f>
        <v>0</v>
      </c>
      <c r="M447" s="24">
        <f>496.2+55.2</f>
        <v>551.4</v>
      </c>
      <c r="N447" s="24">
        <f>444.3+49.4</f>
        <v>493.7</v>
      </c>
    </row>
    <row r="448" spans="1:14" s="7" customFormat="1" ht="36" x14ac:dyDescent="0.35">
      <c r="A448" s="11"/>
      <c r="B448" s="525" t="s">
        <v>319</v>
      </c>
      <c r="C448" s="23" t="s">
        <v>314</v>
      </c>
      <c r="D448" s="10" t="s">
        <v>226</v>
      </c>
      <c r="E448" s="10" t="s">
        <v>37</v>
      </c>
      <c r="F448" s="27" t="s">
        <v>63</v>
      </c>
      <c r="G448" s="98" t="s">
        <v>45</v>
      </c>
      <c r="H448" s="98" t="s">
        <v>52</v>
      </c>
      <c r="I448" s="682" t="s">
        <v>44</v>
      </c>
      <c r="J448" s="10"/>
      <c r="K448" s="24">
        <f t="shared" ref="K448:N449" si="72">K449</f>
        <v>11327.1</v>
      </c>
      <c r="L448" s="24">
        <f t="shared" si="72"/>
        <v>0</v>
      </c>
      <c r="M448" s="24">
        <f t="shared" si="72"/>
        <v>11327.1</v>
      </c>
      <c r="N448" s="24">
        <f t="shared" si="72"/>
        <v>11327.3</v>
      </c>
    </row>
    <row r="449" spans="1:14" s="7" customFormat="1" ht="36" x14ac:dyDescent="0.35">
      <c r="A449" s="11"/>
      <c r="B449" s="596" t="s">
        <v>466</v>
      </c>
      <c r="C449" s="23" t="s">
        <v>314</v>
      </c>
      <c r="D449" s="10" t="s">
        <v>226</v>
      </c>
      <c r="E449" s="10" t="s">
        <v>37</v>
      </c>
      <c r="F449" s="27" t="s">
        <v>63</v>
      </c>
      <c r="G449" s="98" t="s">
        <v>45</v>
      </c>
      <c r="H449" s="98" t="s">
        <v>52</v>
      </c>
      <c r="I449" s="99" t="s">
        <v>91</v>
      </c>
      <c r="J449" s="100"/>
      <c r="K449" s="24">
        <f t="shared" si="72"/>
        <v>11327.1</v>
      </c>
      <c r="L449" s="24">
        <f t="shared" si="72"/>
        <v>0</v>
      </c>
      <c r="M449" s="24">
        <f t="shared" si="72"/>
        <v>11327.1</v>
      </c>
      <c r="N449" s="24">
        <f t="shared" si="72"/>
        <v>11327.3</v>
      </c>
    </row>
    <row r="450" spans="1:14" s="7" customFormat="1" ht="108" x14ac:dyDescent="0.35">
      <c r="A450" s="11"/>
      <c r="B450" s="518" t="s">
        <v>49</v>
      </c>
      <c r="C450" s="23" t="s">
        <v>314</v>
      </c>
      <c r="D450" s="10" t="s">
        <v>226</v>
      </c>
      <c r="E450" s="10" t="s">
        <v>37</v>
      </c>
      <c r="F450" s="680" t="s">
        <v>63</v>
      </c>
      <c r="G450" s="681" t="s">
        <v>45</v>
      </c>
      <c r="H450" s="681" t="s">
        <v>52</v>
      </c>
      <c r="I450" s="682" t="s">
        <v>91</v>
      </c>
      <c r="J450" s="10" t="s">
        <v>50</v>
      </c>
      <c r="K450" s="24">
        <v>11327.1</v>
      </c>
      <c r="L450" s="24">
        <f>M450-K450</f>
        <v>0</v>
      </c>
      <c r="M450" s="24">
        <v>11327.1</v>
      </c>
      <c r="N450" s="24">
        <v>11327.3</v>
      </c>
    </row>
    <row r="451" spans="1:14" s="7" customFormat="1" ht="54" x14ac:dyDescent="0.35">
      <c r="A451" s="11"/>
      <c r="B451" s="518" t="s">
        <v>327</v>
      </c>
      <c r="C451" s="23" t="s">
        <v>314</v>
      </c>
      <c r="D451" s="10" t="s">
        <v>226</v>
      </c>
      <c r="E451" s="10" t="s">
        <v>37</v>
      </c>
      <c r="F451" s="27" t="s">
        <v>63</v>
      </c>
      <c r="G451" s="98" t="s">
        <v>89</v>
      </c>
      <c r="H451" s="98" t="s">
        <v>43</v>
      </c>
      <c r="I451" s="682" t="s">
        <v>44</v>
      </c>
      <c r="J451" s="10"/>
      <c r="K451" s="24">
        <f>K452</f>
        <v>436</v>
      </c>
      <c r="L451" s="24">
        <f>L452</f>
        <v>0</v>
      </c>
      <c r="M451" s="24">
        <f>M452</f>
        <v>436</v>
      </c>
      <c r="N451" s="24">
        <f>N452</f>
        <v>435.1</v>
      </c>
    </row>
    <row r="452" spans="1:14" s="7" customFormat="1" ht="90" x14ac:dyDescent="0.35">
      <c r="A452" s="11"/>
      <c r="B452" s="525" t="s">
        <v>320</v>
      </c>
      <c r="C452" s="23" t="s">
        <v>314</v>
      </c>
      <c r="D452" s="10" t="s">
        <v>226</v>
      </c>
      <c r="E452" s="10" t="s">
        <v>37</v>
      </c>
      <c r="F452" s="27" t="s">
        <v>63</v>
      </c>
      <c r="G452" s="98" t="s">
        <v>89</v>
      </c>
      <c r="H452" s="98" t="s">
        <v>63</v>
      </c>
      <c r="I452" s="682" t="s">
        <v>44</v>
      </c>
      <c r="J452" s="10"/>
      <c r="K452" s="24">
        <f>K455+K453</f>
        <v>436</v>
      </c>
      <c r="L452" s="24">
        <f>L455+L453</f>
        <v>0</v>
      </c>
      <c r="M452" s="24">
        <f>M455+M453</f>
        <v>436</v>
      </c>
      <c r="N452" s="24">
        <f>N455+N453</f>
        <v>435.1</v>
      </c>
    </row>
    <row r="453" spans="1:14" s="7" customFormat="1" ht="36" x14ac:dyDescent="0.35">
      <c r="A453" s="11"/>
      <c r="B453" s="525" t="s">
        <v>315</v>
      </c>
      <c r="C453" s="23" t="s">
        <v>314</v>
      </c>
      <c r="D453" s="10" t="s">
        <v>226</v>
      </c>
      <c r="E453" s="10" t="s">
        <v>37</v>
      </c>
      <c r="F453" s="27" t="s">
        <v>63</v>
      </c>
      <c r="G453" s="98" t="s">
        <v>89</v>
      </c>
      <c r="H453" s="98" t="s">
        <v>63</v>
      </c>
      <c r="I453" s="682" t="s">
        <v>316</v>
      </c>
      <c r="J453" s="10"/>
      <c r="K453" s="24">
        <f>K454</f>
        <v>393.9</v>
      </c>
      <c r="L453" s="24">
        <f>L454</f>
        <v>0</v>
      </c>
      <c r="M453" s="24">
        <f>M454</f>
        <v>393.9</v>
      </c>
      <c r="N453" s="24">
        <f>N454</f>
        <v>393</v>
      </c>
    </row>
    <row r="454" spans="1:14" s="7" customFormat="1" ht="54" x14ac:dyDescent="0.35">
      <c r="A454" s="11"/>
      <c r="B454" s="518" t="s">
        <v>55</v>
      </c>
      <c r="C454" s="23" t="s">
        <v>314</v>
      </c>
      <c r="D454" s="10" t="s">
        <v>226</v>
      </c>
      <c r="E454" s="10" t="s">
        <v>37</v>
      </c>
      <c r="F454" s="27" t="s">
        <v>63</v>
      </c>
      <c r="G454" s="98" t="s">
        <v>89</v>
      </c>
      <c r="H454" s="98" t="s">
        <v>63</v>
      </c>
      <c r="I454" s="682" t="s">
        <v>316</v>
      </c>
      <c r="J454" s="10" t="s">
        <v>56</v>
      </c>
      <c r="K454" s="24">
        <f>393+0.9</f>
        <v>393.9</v>
      </c>
      <c r="L454" s="24">
        <f>M454-K454</f>
        <v>0</v>
      </c>
      <c r="M454" s="24">
        <f>393+0.9</f>
        <v>393.9</v>
      </c>
      <c r="N454" s="24">
        <v>393</v>
      </c>
    </row>
    <row r="455" spans="1:14" s="7" customFormat="1" ht="54" x14ac:dyDescent="0.35">
      <c r="A455" s="11"/>
      <c r="B455" s="525" t="s">
        <v>412</v>
      </c>
      <c r="C455" s="23" t="s">
        <v>314</v>
      </c>
      <c r="D455" s="10" t="s">
        <v>226</v>
      </c>
      <c r="E455" s="10" t="s">
        <v>37</v>
      </c>
      <c r="F455" s="680" t="s">
        <v>63</v>
      </c>
      <c r="G455" s="681" t="s">
        <v>89</v>
      </c>
      <c r="H455" s="681" t="s">
        <v>63</v>
      </c>
      <c r="I455" s="682" t="s">
        <v>413</v>
      </c>
      <c r="J455" s="10"/>
      <c r="K455" s="24">
        <f>K456</f>
        <v>42.1</v>
      </c>
      <c r="L455" s="24">
        <f>L456</f>
        <v>0</v>
      </c>
      <c r="M455" s="24">
        <f>M456</f>
        <v>42.1</v>
      </c>
      <c r="N455" s="24">
        <f>N456</f>
        <v>42.1</v>
      </c>
    </row>
    <row r="456" spans="1:14" s="7" customFormat="1" ht="54" x14ac:dyDescent="0.35">
      <c r="A456" s="11"/>
      <c r="B456" s="525" t="s">
        <v>76</v>
      </c>
      <c r="C456" s="23" t="s">
        <v>314</v>
      </c>
      <c r="D456" s="10" t="s">
        <v>226</v>
      </c>
      <c r="E456" s="10" t="s">
        <v>37</v>
      </c>
      <c r="F456" s="680" t="s">
        <v>63</v>
      </c>
      <c r="G456" s="681" t="s">
        <v>89</v>
      </c>
      <c r="H456" s="681" t="s">
        <v>63</v>
      </c>
      <c r="I456" s="682" t="s">
        <v>413</v>
      </c>
      <c r="J456" s="10" t="s">
        <v>77</v>
      </c>
      <c r="K456" s="24">
        <f>40+2.1</f>
        <v>42.1</v>
      </c>
      <c r="L456" s="24">
        <f>M456-K456</f>
        <v>0</v>
      </c>
      <c r="M456" s="24">
        <f>40+2.1</f>
        <v>42.1</v>
      </c>
      <c r="N456" s="24">
        <f>40+2.1</f>
        <v>42.1</v>
      </c>
    </row>
    <row r="457" spans="1:14" s="7" customFormat="1" ht="36" x14ac:dyDescent="0.35">
      <c r="A457" s="11"/>
      <c r="B457" s="518" t="s">
        <v>321</v>
      </c>
      <c r="C457" s="23" t="s">
        <v>314</v>
      </c>
      <c r="D457" s="10" t="s">
        <v>226</v>
      </c>
      <c r="E457" s="10" t="s">
        <v>52</v>
      </c>
      <c r="F457" s="27"/>
      <c r="G457" s="98"/>
      <c r="H457" s="98"/>
      <c r="I457" s="99"/>
      <c r="J457" s="100"/>
      <c r="K457" s="24">
        <f t="shared" ref="K457:N459" si="73">K458</f>
        <v>11442</v>
      </c>
      <c r="L457" s="24">
        <f t="shared" si="73"/>
        <v>0</v>
      </c>
      <c r="M457" s="24">
        <f t="shared" si="73"/>
        <v>11442</v>
      </c>
      <c r="N457" s="24">
        <f t="shared" si="73"/>
        <v>11446.5</v>
      </c>
    </row>
    <row r="458" spans="1:14" s="7" customFormat="1" ht="54" x14ac:dyDescent="0.35">
      <c r="A458" s="11"/>
      <c r="B458" s="568" t="s">
        <v>213</v>
      </c>
      <c r="C458" s="23" t="s">
        <v>314</v>
      </c>
      <c r="D458" s="10" t="s">
        <v>226</v>
      </c>
      <c r="E458" s="10" t="s">
        <v>52</v>
      </c>
      <c r="F458" s="27" t="s">
        <v>63</v>
      </c>
      <c r="G458" s="98" t="s">
        <v>42</v>
      </c>
      <c r="H458" s="98" t="s">
        <v>43</v>
      </c>
      <c r="I458" s="99" t="s">
        <v>44</v>
      </c>
      <c r="J458" s="100"/>
      <c r="K458" s="24">
        <f t="shared" si="73"/>
        <v>11442</v>
      </c>
      <c r="L458" s="24">
        <f t="shared" si="73"/>
        <v>0</v>
      </c>
      <c r="M458" s="24">
        <f t="shared" si="73"/>
        <v>11442</v>
      </c>
      <c r="N458" s="24">
        <f t="shared" si="73"/>
        <v>11446.5</v>
      </c>
    </row>
    <row r="459" spans="1:14" s="7" customFormat="1" ht="54" x14ac:dyDescent="0.35">
      <c r="A459" s="11"/>
      <c r="B459" s="518" t="s">
        <v>216</v>
      </c>
      <c r="C459" s="23" t="s">
        <v>314</v>
      </c>
      <c r="D459" s="10" t="s">
        <v>226</v>
      </c>
      <c r="E459" s="10" t="s">
        <v>52</v>
      </c>
      <c r="F459" s="680" t="s">
        <v>63</v>
      </c>
      <c r="G459" s="681" t="s">
        <v>30</v>
      </c>
      <c r="H459" s="681" t="s">
        <v>43</v>
      </c>
      <c r="I459" s="682" t="s">
        <v>44</v>
      </c>
      <c r="J459" s="10"/>
      <c r="K459" s="24">
        <f t="shared" si="73"/>
        <v>11442</v>
      </c>
      <c r="L459" s="24">
        <f t="shared" si="73"/>
        <v>0</v>
      </c>
      <c r="M459" s="24">
        <f t="shared" si="73"/>
        <v>11442</v>
      </c>
      <c r="N459" s="24">
        <f t="shared" si="73"/>
        <v>11446.5</v>
      </c>
    </row>
    <row r="460" spans="1:14" s="7" customFormat="1" ht="36" x14ac:dyDescent="0.35">
      <c r="A460" s="11"/>
      <c r="B460" s="518" t="s">
        <v>282</v>
      </c>
      <c r="C460" s="23" t="s">
        <v>314</v>
      </c>
      <c r="D460" s="10" t="s">
        <v>226</v>
      </c>
      <c r="E460" s="10" t="s">
        <v>52</v>
      </c>
      <c r="F460" s="680" t="s">
        <v>63</v>
      </c>
      <c r="G460" s="681" t="s">
        <v>30</v>
      </c>
      <c r="H460" s="681" t="s">
        <v>37</v>
      </c>
      <c r="I460" s="682" t="s">
        <v>44</v>
      </c>
      <c r="J460" s="10"/>
      <c r="K460" s="24">
        <f>K461+K465</f>
        <v>11442</v>
      </c>
      <c r="L460" s="24">
        <f>L461+L465</f>
        <v>0</v>
      </c>
      <c r="M460" s="24">
        <f>M461+M465</f>
        <v>11442</v>
      </c>
      <c r="N460" s="24">
        <f>N461+N465</f>
        <v>11446.5</v>
      </c>
    </row>
    <row r="461" spans="1:14" s="7" customFormat="1" ht="36" x14ac:dyDescent="0.35">
      <c r="A461" s="11"/>
      <c r="B461" s="518" t="s">
        <v>47</v>
      </c>
      <c r="C461" s="23" t="s">
        <v>314</v>
      </c>
      <c r="D461" s="10" t="s">
        <v>226</v>
      </c>
      <c r="E461" s="10" t="s">
        <v>52</v>
      </c>
      <c r="F461" s="680" t="s">
        <v>63</v>
      </c>
      <c r="G461" s="681" t="s">
        <v>30</v>
      </c>
      <c r="H461" s="681" t="s">
        <v>37</v>
      </c>
      <c r="I461" s="682" t="s">
        <v>48</v>
      </c>
      <c r="J461" s="100"/>
      <c r="K461" s="24">
        <f>K462+K463+K464</f>
        <v>3511.3</v>
      </c>
      <c r="L461" s="24">
        <f>L462+L463+L464</f>
        <v>0</v>
      </c>
      <c r="M461" s="24">
        <f>M462+M463+M464</f>
        <v>3511.3</v>
      </c>
      <c r="N461" s="24">
        <f>N462+N463+N464</f>
        <v>3512.3</v>
      </c>
    </row>
    <row r="462" spans="1:14" s="7" customFormat="1" ht="108" x14ac:dyDescent="0.35">
      <c r="A462" s="11"/>
      <c r="B462" s="518" t="s">
        <v>49</v>
      </c>
      <c r="C462" s="23" t="s">
        <v>314</v>
      </c>
      <c r="D462" s="10" t="s">
        <v>226</v>
      </c>
      <c r="E462" s="10" t="s">
        <v>52</v>
      </c>
      <c r="F462" s="680" t="s">
        <v>63</v>
      </c>
      <c r="G462" s="681" t="s">
        <v>30</v>
      </c>
      <c r="H462" s="681" t="s">
        <v>37</v>
      </c>
      <c r="I462" s="682" t="s">
        <v>48</v>
      </c>
      <c r="J462" s="100" t="s">
        <v>50</v>
      </c>
      <c r="K462" s="24">
        <v>3251.8</v>
      </c>
      <c r="L462" s="24">
        <f>M462-K462</f>
        <v>0</v>
      </c>
      <c r="M462" s="24">
        <v>3251.8</v>
      </c>
      <c r="N462" s="24">
        <v>3251.8</v>
      </c>
    </row>
    <row r="463" spans="1:14" s="7" customFormat="1" ht="54" x14ac:dyDescent="0.35">
      <c r="A463" s="11"/>
      <c r="B463" s="518" t="s">
        <v>55</v>
      </c>
      <c r="C463" s="23" t="s">
        <v>314</v>
      </c>
      <c r="D463" s="10" t="s">
        <v>226</v>
      </c>
      <c r="E463" s="10" t="s">
        <v>52</v>
      </c>
      <c r="F463" s="680" t="s">
        <v>63</v>
      </c>
      <c r="G463" s="681" t="s">
        <v>30</v>
      </c>
      <c r="H463" s="681" t="s">
        <v>37</v>
      </c>
      <c r="I463" s="682" t="s">
        <v>48</v>
      </c>
      <c r="J463" s="100" t="s">
        <v>56</v>
      </c>
      <c r="K463" s="24">
        <v>251</v>
      </c>
      <c r="L463" s="24">
        <f>M463-K463</f>
        <v>0</v>
      </c>
      <c r="M463" s="24">
        <v>251</v>
      </c>
      <c r="N463" s="24">
        <v>252</v>
      </c>
    </row>
    <row r="464" spans="1:14" s="7" customFormat="1" ht="18" x14ac:dyDescent="0.35">
      <c r="A464" s="11"/>
      <c r="B464" s="518" t="s">
        <v>57</v>
      </c>
      <c r="C464" s="23" t="s">
        <v>314</v>
      </c>
      <c r="D464" s="10" t="s">
        <v>226</v>
      </c>
      <c r="E464" s="10" t="s">
        <v>52</v>
      </c>
      <c r="F464" s="680" t="s">
        <v>63</v>
      </c>
      <c r="G464" s="681" t="s">
        <v>30</v>
      </c>
      <c r="H464" s="681" t="s">
        <v>37</v>
      </c>
      <c r="I464" s="682" t="s">
        <v>48</v>
      </c>
      <c r="J464" s="10" t="s">
        <v>58</v>
      </c>
      <c r="K464" s="24">
        <v>8.5</v>
      </c>
      <c r="L464" s="24">
        <f>M464-K464</f>
        <v>0</v>
      </c>
      <c r="M464" s="24">
        <v>8.5</v>
      </c>
      <c r="N464" s="24">
        <v>8.5</v>
      </c>
    </row>
    <row r="465" spans="1:14" s="7" customFormat="1" ht="36" x14ac:dyDescent="0.35">
      <c r="A465" s="11"/>
      <c r="B465" s="596" t="s">
        <v>466</v>
      </c>
      <c r="C465" s="23" t="s">
        <v>314</v>
      </c>
      <c r="D465" s="10" t="s">
        <v>226</v>
      </c>
      <c r="E465" s="10" t="s">
        <v>52</v>
      </c>
      <c r="F465" s="680" t="s">
        <v>63</v>
      </c>
      <c r="G465" s="681" t="s">
        <v>30</v>
      </c>
      <c r="H465" s="681" t="s">
        <v>37</v>
      </c>
      <c r="I465" s="682" t="s">
        <v>91</v>
      </c>
      <c r="J465" s="10"/>
      <c r="K465" s="24">
        <f>K466+K467+K468</f>
        <v>7930.7</v>
      </c>
      <c r="L465" s="24">
        <f>L466+L467+L468</f>
        <v>0</v>
      </c>
      <c r="M465" s="24">
        <f>M466+M467+M468</f>
        <v>7930.7</v>
      </c>
      <c r="N465" s="24">
        <f>N466+N467+N468</f>
        <v>7934.2</v>
      </c>
    </row>
    <row r="466" spans="1:14" s="7" customFormat="1" ht="108" x14ac:dyDescent="0.35">
      <c r="A466" s="11"/>
      <c r="B466" s="518" t="s">
        <v>49</v>
      </c>
      <c r="C466" s="153" t="s">
        <v>314</v>
      </c>
      <c r="D466" s="100" t="s">
        <v>226</v>
      </c>
      <c r="E466" s="100" t="s">
        <v>52</v>
      </c>
      <c r="F466" s="680" t="s">
        <v>63</v>
      </c>
      <c r="G466" s="681" t="s">
        <v>30</v>
      </c>
      <c r="H466" s="681" t="s">
        <v>37</v>
      </c>
      <c r="I466" s="682" t="s">
        <v>91</v>
      </c>
      <c r="J466" s="100" t="s">
        <v>50</v>
      </c>
      <c r="K466" s="24">
        <v>7499.9</v>
      </c>
      <c r="L466" s="24">
        <f>M466-K466</f>
        <v>0</v>
      </c>
      <c r="M466" s="24">
        <v>7499.9</v>
      </c>
      <c r="N466" s="24">
        <v>7499.9</v>
      </c>
    </row>
    <row r="467" spans="1:14" s="7" customFormat="1" ht="54" x14ac:dyDescent="0.35">
      <c r="A467" s="11"/>
      <c r="B467" s="518" t="s">
        <v>55</v>
      </c>
      <c r="C467" s="153" t="s">
        <v>314</v>
      </c>
      <c r="D467" s="100" t="s">
        <v>226</v>
      </c>
      <c r="E467" s="100" t="s">
        <v>52</v>
      </c>
      <c r="F467" s="680" t="s">
        <v>63</v>
      </c>
      <c r="G467" s="681" t="s">
        <v>30</v>
      </c>
      <c r="H467" s="681" t="s">
        <v>37</v>
      </c>
      <c r="I467" s="682" t="s">
        <v>91</v>
      </c>
      <c r="J467" s="100" t="s">
        <v>56</v>
      </c>
      <c r="K467" s="24">
        <v>429.2</v>
      </c>
      <c r="L467" s="24">
        <f>M467-K467</f>
        <v>0</v>
      </c>
      <c r="M467" s="24">
        <v>429.2</v>
      </c>
      <c r="N467" s="24">
        <v>432.8</v>
      </c>
    </row>
    <row r="468" spans="1:14" s="7" customFormat="1" ht="18" x14ac:dyDescent="0.35">
      <c r="A468" s="11"/>
      <c r="B468" s="518" t="s">
        <v>57</v>
      </c>
      <c r="C468" s="153" t="s">
        <v>314</v>
      </c>
      <c r="D468" s="100" t="s">
        <v>226</v>
      </c>
      <c r="E468" s="100" t="s">
        <v>52</v>
      </c>
      <c r="F468" s="680" t="s">
        <v>63</v>
      </c>
      <c r="G468" s="681" t="s">
        <v>30</v>
      </c>
      <c r="H468" s="681" t="s">
        <v>37</v>
      </c>
      <c r="I468" s="682" t="s">
        <v>91</v>
      </c>
      <c r="J468" s="10" t="s">
        <v>58</v>
      </c>
      <c r="K468" s="24">
        <v>1.6</v>
      </c>
      <c r="L468" s="24">
        <f>M468-K468</f>
        <v>0</v>
      </c>
      <c r="M468" s="24">
        <v>1.6</v>
      </c>
      <c r="N468" s="24">
        <v>1.5</v>
      </c>
    </row>
    <row r="469" spans="1:14" s="126" customFormat="1" ht="18" x14ac:dyDescent="0.35">
      <c r="A469" s="11"/>
      <c r="B469" s="518"/>
      <c r="C469" s="153"/>
      <c r="D469" s="100"/>
      <c r="E469" s="100"/>
      <c r="F469" s="680"/>
      <c r="G469" s="681"/>
      <c r="H469" s="681"/>
      <c r="I469" s="682"/>
      <c r="J469" s="10"/>
      <c r="K469" s="24"/>
      <c r="L469" s="24"/>
      <c r="M469" s="24"/>
      <c r="N469" s="24"/>
    </row>
    <row r="470" spans="1:14" s="121" customFormat="1" ht="52.2" x14ac:dyDescent="0.3">
      <c r="A470" s="120">
        <v>7</v>
      </c>
      <c r="B470" s="565" t="s">
        <v>10</v>
      </c>
      <c r="C470" s="18" t="s">
        <v>290</v>
      </c>
      <c r="D470" s="19"/>
      <c r="E470" s="19"/>
      <c r="F470" s="20"/>
      <c r="G470" s="21"/>
      <c r="H470" s="21"/>
      <c r="I470" s="22"/>
      <c r="J470" s="19"/>
      <c r="K470" s="32" t="e">
        <f>K471+K478</f>
        <v>#REF!</v>
      </c>
      <c r="L470" s="32">
        <f>L471+L478</f>
        <v>0</v>
      </c>
      <c r="M470" s="32">
        <f>M471+M478</f>
        <v>68487.199999999983</v>
      </c>
      <c r="N470" s="32">
        <f>N471+N478</f>
        <v>38662.9</v>
      </c>
    </row>
    <row r="471" spans="1:14" s="121" customFormat="1" ht="18" x14ac:dyDescent="0.35">
      <c r="A471" s="120"/>
      <c r="B471" s="515" t="s">
        <v>36</v>
      </c>
      <c r="C471" s="225" t="s">
        <v>290</v>
      </c>
      <c r="D471" s="28" t="s">
        <v>37</v>
      </c>
      <c r="E471" s="28"/>
      <c r="F471" s="217"/>
      <c r="G471" s="218"/>
      <c r="H471" s="218"/>
      <c r="I471" s="219"/>
      <c r="J471" s="28"/>
      <c r="K471" s="220">
        <f t="shared" ref="K471:M475" si="74">K472</f>
        <v>38.4</v>
      </c>
      <c r="L471" s="220">
        <f>L472</f>
        <v>0</v>
      </c>
      <c r="M471" s="220">
        <f t="shared" si="74"/>
        <v>38.4</v>
      </c>
      <c r="N471" s="220">
        <f t="shared" ref="N471:N476" si="75">N472</f>
        <v>38.4</v>
      </c>
    </row>
    <row r="472" spans="1:14" s="121" customFormat="1" ht="18" x14ac:dyDescent="0.35">
      <c r="A472" s="120"/>
      <c r="B472" s="515" t="s">
        <v>70</v>
      </c>
      <c r="C472" s="225" t="s">
        <v>290</v>
      </c>
      <c r="D472" s="28" t="s">
        <v>37</v>
      </c>
      <c r="E472" s="28" t="s">
        <v>71</v>
      </c>
      <c r="F472" s="217"/>
      <c r="G472" s="218"/>
      <c r="H472" s="218"/>
      <c r="I472" s="219"/>
      <c r="J472" s="28"/>
      <c r="K472" s="220">
        <f t="shared" si="74"/>
        <v>38.4</v>
      </c>
      <c r="L472" s="220">
        <f t="shared" si="74"/>
        <v>0</v>
      </c>
      <c r="M472" s="220">
        <f t="shared" si="74"/>
        <v>38.4</v>
      </c>
      <c r="N472" s="220">
        <f t="shared" si="75"/>
        <v>38.4</v>
      </c>
    </row>
    <row r="473" spans="1:14" s="121" customFormat="1" ht="54" x14ac:dyDescent="0.35">
      <c r="A473" s="120"/>
      <c r="B473" s="515" t="s">
        <v>217</v>
      </c>
      <c r="C473" s="225" t="s">
        <v>290</v>
      </c>
      <c r="D473" s="28" t="s">
        <v>37</v>
      </c>
      <c r="E473" s="28" t="s">
        <v>71</v>
      </c>
      <c r="F473" s="217" t="s">
        <v>52</v>
      </c>
      <c r="G473" s="218" t="s">
        <v>42</v>
      </c>
      <c r="H473" s="218" t="s">
        <v>43</v>
      </c>
      <c r="I473" s="219" t="s">
        <v>44</v>
      </c>
      <c r="J473" s="28"/>
      <c r="K473" s="220">
        <f t="shared" si="74"/>
        <v>38.4</v>
      </c>
      <c r="L473" s="220">
        <f t="shared" si="74"/>
        <v>0</v>
      </c>
      <c r="M473" s="220">
        <f t="shared" si="74"/>
        <v>38.4</v>
      </c>
      <c r="N473" s="220">
        <f t="shared" si="75"/>
        <v>38.4</v>
      </c>
    </row>
    <row r="474" spans="1:14" s="121" customFormat="1" ht="36" x14ac:dyDescent="0.35">
      <c r="A474" s="120"/>
      <c r="B474" s="515" t="s">
        <v>220</v>
      </c>
      <c r="C474" s="225" t="s">
        <v>290</v>
      </c>
      <c r="D474" s="28" t="s">
        <v>37</v>
      </c>
      <c r="E474" s="28" t="s">
        <v>71</v>
      </c>
      <c r="F474" s="217" t="s">
        <v>52</v>
      </c>
      <c r="G474" s="218" t="s">
        <v>89</v>
      </c>
      <c r="H474" s="218" t="s">
        <v>43</v>
      </c>
      <c r="I474" s="219" t="s">
        <v>44</v>
      </c>
      <c r="J474" s="28"/>
      <c r="K474" s="220">
        <f t="shared" si="74"/>
        <v>38.4</v>
      </c>
      <c r="L474" s="220">
        <f t="shared" si="74"/>
        <v>0</v>
      </c>
      <c r="M474" s="220">
        <f t="shared" si="74"/>
        <v>38.4</v>
      </c>
      <c r="N474" s="220">
        <f t="shared" si="75"/>
        <v>38.4</v>
      </c>
    </row>
    <row r="475" spans="1:14" s="121" customFormat="1" ht="36" x14ac:dyDescent="0.35">
      <c r="A475" s="120"/>
      <c r="B475" s="515" t="s">
        <v>351</v>
      </c>
      <c r="C475" s="225" t="s">
        <v>290</v>
      </c>
      <c r="D475" s="28" t="s">
        <v>37</v>
      </c>
      <c r="E475" s="28" t="s">
        <v>71</v>
      </c>
      <c r="F475" s="217" t="s">
        <v>52</v>
      </c>
      <c r="G475" s="218" t="s">
        <v>89</v>
      </c>
      <c r="H475" s="218" t="s">
        <v>63</v>
      </c>
      <c r="I475" s="219" t="s">
        <v>44</v>
      </c>
      <c r="J475" s="28"/>
      <c r="K475" s="220">
        <f t="shared" si="74"/>
        <v>38.4</v>
      </c>
      <c r="L475" s="220">
        <f t="shared" si="74"/>
        <v>0</v>
      </c>
      <c r="M475" s="220">
        <f t="shared" si="74"/>
        <v>38.4</v>
      </c>
      <c r="N475" s="220">
        <f t="shared" si="75"/>
        <v>38.4</v>
      </c>
    </row>
    <row r="476" spans="1:14" s="121" customFormat="1" ht="54" x14ac:dyDescent="0.35">
      <c r="A476" s="120"/>
      <c r="B476" s="515" t="s">
        <v>352</v>
      </c>
      <c r="C476" s="225" t="s">
        <v>290</v>
      </c>
      <c r="D476" s="28" t="s">
        <v>37</v>
      </c>
      <c r="E476" s="28" t="s">
        <v>71</v>
      </c>
      <c r="F476" s="217" t="s">
        <v>52</v>
      </c>
      <c r="G476" s="218" t="s">
        <v>89</v>
      </c>
      <c r="H476" s="218" t="s">
        <v>63</v>
      </c>
      <c r="I476" s="219" t="s">
        <v>105</v>
      </c>
      <c r="J476" s="28"/>
      <c r="K476" s="220">
        <f>K477</f>
        <v>38.4</v>
      </c>
      <c r="L476" s="220">
        <f>L477</f>
        <v>0</v>
      </c>
      <c r="M476" s="220">
        <f>M477</f>
        <v>38.4</v>
      </c>
      <c r="N476" s="220">
        <f t="shared" si="75"/>
        <v>38.4</v>
      </c>
    </row>
    <row r="477" spans="1:14" s="7" customFormat="1" ht="54" x14ac:dyDescent="0.35">
      <c r="A477" s="11"/>
      <c r="B477" s="554" t="s">
        <v>55</v>
      </c>
      <c r="C477" s="225" t="s">
        <v>290</v>
      </c>
      <c r="D477" s="28" t="s">
        <v>37</v>
      </c>
      <c r="E477" s="28" t="s">
        <v>71</v>
      </c>
      <c r="F477" s="217" t="s">
        <v>52</v>
      </c>
      <c r="G477" s="218" t="s">
        <v>89</v>
      </c>
      <c r="H477" s="218" t="s">
        <v>63</v>
      </c>
      <c r="I477" s="219" t="s">
        <v>105</v>
      </c>
      <c r="J477" s="28" t="s">
        <v>56</v>
      </c>
      <c r="K477" s="220">
        <v>38.4</v>
      </c>
      <c r="L477" s="24">
        <f>M477-K477</f>
        <v>0</v>
      </c>
      <c r="M477" s="220">
        <v>38.4</v>
      </c>
      <c r="N477" s="24">
        <v>38.4</v>
      </c>
    </row>
    <row r="478" spans="1:14" s="7" customFormat="1" ht="18" x14ac:dyDescent="0.35">
      <c r="A478" s="11"/>
      <c r="B478" s="554" t="s">
        <v>322</v>
      </c>
      <c r="C478" s="225" t="s">
        <v>290</v>
      </c>
      <c r="D478" s="28" t="s">
        <v>67</v>
      </c>
      <c r="E478" s="28"/>
      <c r="F478" s="217"/>
      <c r="G478" s="218"/>
      <c r="H478" s="218"/>
      <c r="I478" s="219"/>
      <c r="J478" s="28"/>
      <c r="K478" s="220" t="e">
        <f>K479+K489+K517+K499</f>
        <v>#REF!</v>
      </c>
      <c r="L478" s="220">
        <f>L479+L489+L517+L499</f>
        <v>0</v>
      </c>
      <c r="M478" s="220">
        <f>M479+M489+M517+M499</f>
        <v>68448.799999999988</v>
      </c>
      <c r="N478" s="220">
        <f>N479+N489+N517+N499</f>
        <v>38624.5</v>
      </c>
    </row>
    <row r="479" spans="1:14" s="121" customFormat="1" ht="18" x14ac:dyDescent="0.35">
      <c r="A479" s="11"/>
      <c r="B479" s="568" t="s">
        <v>360</v>
      </c>
      <c r="C479" s="23" t="s">
        <v>290</v>
      </c>
      <c r="D479" s="10" t="s">
        <v>67</v>
      </c>
      <c r="E479" s="10" t="s">
        <v>37</v>
      </c>
      <c r="F479" s="680"/>
      <c r="G479" s="681"/>
      <c r="H479" s="681"/>
      <c r="I479" s="682"/>
      <c r="J479" s="10"/>
      <c r="K479" s="24">
        <f>K480</f>
        <v>3606.9000000000005</v>
      </c>
      <c r="L479" s="24">
        <f>L480</f>
        <v>0</v>
      </c>
      <c r="M479" s="24">
        <f>M480</f>
        <v>3606.9000000000005</v>
      </c>
      <c r="N479" s="24">
        <f>N480</f>
        <v>3622.8</v>
      </c>
    </row>
    <row r="480" spans="1:14" s="121" customFormat="1" ht="54" x14ac:dyDescent="0.35">
      <c r="A480" s="11"/>
      <c r="B480" s="518" t="s">
        <v>217</v>
      </c>
      <c r="C480" s="23" t="s">
        <v>290</v>
      </c>
      <c r="D480" s="10" t="s">
        <v>67</v>
      </c>
      <c r="E480" s="10" t="s">
        <v>37</v>
      </c>
      <c r="F480" s="680" t="s">
        <v>52</v>
      </c>
      <c r="G480" s="681" t="s">
        <v>42</v>
      </c>
      <c r="H480" s="681" t="s">
        <v>43</v>
      </c>
      <c r="I480" s="682" t="s">
        <v>44</v>
      </c>
      <c r="J480" s="10"/>
      <c r="K480" s="24">
        <f t="shared" ref="K480:N481" si="76">K481</f>
        <v>3606.9000000000005</v>
      </c>
      <c r="L480" s="24">
        <f t="shared" si="76"/>
        <v>0</v>
      </c>
      <c r="M480" s="24">
        <f t="shared" si="76"/>
        <v>3606.9000000000005</v>
      </c>
      <c r="N480" s="24">
        <f t="shared" si="76"/>
        <v>3622.8</v>
      </c>
    </row>
    <row r="481" spans="1:14" s="7" customFormat="1" ht="36" x14ac:dyDescent="0.35">
      <c r="A481" s="11"/>
      <c r="B481" s="518" t="s">
        <v>220</v>
      </c>
      <c r="C481" s="23" t="s">
        <v>290</v>
      </c>
      <c r="D481" s="10" t="s">
        <v>67</v>
      </c>
      <c r="E481" s="10" t="s">
        <v>37</v>
      </c>
      <c r="F481" s="680" t="s">
        <v>52</v>
      </c>
      <c r="G481" s="681" t="s">
        <v>89</v>
      </c>
      <c r="H481" s="681" t="s">
        <v>43</v>
      </c>
      <c r="I481" s="682" t="s">
        <v>44</v>
      </c>
      <c r="J481" s="10"/>
      <c r="K481" s="24">
        <f t="shared" si="76"/>
        <v>3606.9000000000005</v>
      </c>
      <c r="L481" s="24">
        <f t="shared" si="76"/>
        <v>0</v>
      </c>
      <c r="M481" s="24">
        <f t="shared" si="76"/>
        <v>3606.9000000000005</v>
      </c>
      <c r="N481" s="24">
        <f t="shared" si="76"/>
        <v>3622.8</v>
      </c>
    </row>
    <row r="482" spans="1:14" s="121" customFormat="1" ht="36" x14ac:dyDescent="0.35">
      <c r="A482" s="11"/>
      <c r="B482" s="518" t="s">
        <v>566</v>
      </c>
      <c r="C482" s="23" t="s">
        <v>290</v>
      </c>
      <c r="D482" s="10" t="s">
        <v>67</v>
      </c>
      <c r="E482" s="10" t="s">
        <v>37</v>
      </c>
      <c r="F482" s="680" t="s">
        <v>52</v>
      </c>
      <c r="G482" s="681" t="s">
        <v>89</v>
      </c>
      <c r="H482" s="681" t="s">
        <v>52</v>
      </c>
      <c r="I482" s="682" t="s">
        <v>44</v>
      </c>
      <c r="J482" s="10"/>
      <c r="K482" s="24">
        <f>K483+K487</f>
        <v>3606.9000000000005</v>
      </c>
      <c r="L482" s="24">
        <f>L483+L487</f>
        <v>0</v>
      </c>
      <c r="M482" s="24">
        <f>M483+M487</f>
        <v>3606.9000000000005</v>
      </c>
      <c r="N482" s="24">
        <f>N483+N487</f>
        <v>3622.8</v>
      </c>
    </row>
    <row r="483" spans="1:14" s="121" customFormat="1" ht="36" x14ac:dyDescent="0.35">
      <c r="A483" s="11"/>
      <c r="B483" s="518" t="s">
        <v>466</v>
      </c>
      <c r="C483" s="23" t="s">
        <v>290</v>
      </c>
      <c r="D483" s="10" t="s">
        <v>67</v>
      </c>
      <c r="E483" s="10" t="s">
        <v>37</v>
      </c>
      <c r="F483" s="680" t="s">
        <v>52</v>
      </c>
      <c r="G483" s="681" t="s">
        <v>89</v>
      </c>
      <c r="H483" s="681" t="s">
        <v>52</v>
      </c>
      <c r="I483" s="682" t="s">
        <v>91</v>
      </c>
      <c r="J483" s="10"/>
      <c r="K483" s="24">
        <f>SUM(K484:K486)</f>
        <v>2687.1000000000004</v>
      </c>
      <c r="L483" s="24">
        <f>SUM(L484:L486)</f>
        <v>0</v>
      </c>
      <c r="M483" s="24">
        <f>SUM(M484:M486)</f>
        <v>2687.1000000000004</v>
      </c>
      <c r="N483" s="24">
        <f>SUM(N484:N486)</f>
        <v>2703</v>
      </c>
    </row>
    <row r="484" spans="1:14" s="121" customFormat="1" ht="108" x14ac:dyDescent="0.35">
      <c r="A484" s="11"/>
      <c r="B484" s="518" t="s">
        <v>49</v>
      </c>
      <c r="C484" s="23" t="s">
        <v>290</v>
      </c>
      <c r="D484" s="10" t="s">
        <v>67</v>
      </c>
      <c r="E484" s="10" t="s">
        <v>37</v>
      </c>
      <c r="F484" s="680" t="s">
        <v>52</v>
      </c>
      <c r="G484" s="681" t="s">
        <v>89</v>
      </c>
      <c r="H484" s="681" t="s">
        <v>52</v>
      </c>
      <c r="I484" s="682" t="s">
        <v>91</v>
      </c>
      <c r="J484" s="10" t="s">
        <v>50</v>
      </c>
      <c r="K484" s="24">
        <v>2045</v>
      </c>
      <c r="L484" s="24">
        <f>M484-K484</f>
        <v>0</v>
      </c>
      <c r="M484" s="24">
        <v>2045</v>
      </c>
      <c r="N484" s="264">
        <v>2045</v>
      </c>
    </row>
    <row r="485" spans="1:14" s="121" customFormat="1" ht="54" x14ac:dyDescent="0.35">
      <c r="A485" s="11"/>
      <c r="B485" s="518" t="s">
        <v>55</v>
      </c>
      <c r="C485" s="23" t="s">
        <v>290</v>
      </c>
      <c r="D485" s="10" t="s">
        <v>67</v>
      </c>
      <c r="E485" s="10" t="s">
        <v>37</v>
      </c>
      <c r="F485" s="680" t="s">
        <v>52</v>
      </c>
      <c r="G485" s="681" t="s">
        <v>89</v>
      </c>
      <c r="H485" s="681" t="s">
        <v>52</v>
      </c>
      <c r="I485" s="682" t="s">
        <v>91</v>
      </c>
      <c r="J485" s="10" t="s">
        <v>56</v>
      </c>
      <c r="K485" s="24">
        <v>634.29999999999995</v>
      </c>
      <c r="L485" s="24">
        <f>M485-K485</f>
        <v>0</v>
      </c>
      <c r="M485" s="24">
        <v>634.29999999999995</v>
      </c>
      <c r="N485" s="264">
        <v>651</v>
      </c>
    </row>
    <row r="486" spans="1:14" s="121" customFormat="1" ht="18" x14ac:dyDescent="0.35">
      <c r="A486" s="11"/>
      <c r="B486" s="518" t="s">
        <v>57</v>
      </c>
      <c r="C486" s="23" t="s">
        <v>290</v>
      </c>
      <c r="D486" s="10" t="s">
        <v>67</v>
      </c>
      <c r="E486" s="10" t="s">
        <v>37</v>
      </c>
      <c r="F486" s="680" t="s">
        <v>52</v>
      </c>
      <c r="G486" s="681" t="s">
        <v>89</v>
      </c>
      <c r="H486" s="681" t="s">
        <v>52</v>
      </c>
      <c r="I486" s="682" t="s">
        <v>91</v>
      </c>
      <c r="J486" s="10" t="s">
        <v>58</v>
      </c>
      <c r="K486" s="24">
        <v>7.8</v>
      </c>
      <c r="L486" s="24">
        <f>M486-K486</f>
        <v>0</v>
      </c>
      <c r="M486" s="24">
        <v>7.8</v>
      </c>
      <c r="N486" s="264">
        <v>7</v>
      </c>
    </row>
    <row r="487" spans="1:14" s="121" customFormat="1" ht="54" x14ac:dyDescent="0.35">
      <c r="A487" s="11"/>
      <c r="B487" s="518" t="s">
        <v>219</v>
      </c>
      <c r="C487" s="23" t="s">
        <v>290</v>
      </c>
      <c r="D487" s="10" t="s">
        <v>67</v>
      </c>
      <c r="E487" s="10" t="s">
        <v>37</v>
      </c>
      <c r="F487" s="680" t="s">
        <v>52</v>
      </c>
      <c r="G487" s="681" t="s">
        <v>89</v>
      </c>
      <c r="H487" s="681" t="s">
        <v>52</v>
      </c>
      <c r="I487" s="682" t="s">
        <v>292</v>
      </c>
      <c r="J487" s="10"/>
      <c r="K487" s="24">
        <f>K488</f>
        <v>919.8</v>
      </c>
      <c r="L487" s="24">
        <f>L488</f>
        <v>0</v>
      </c>
      <c r="M487" s="24">
        <f>M488</f>
        <v>919.8</v>
      </c>
      <c r="N487" s="264">
        <f>N488</f>
        <v>919.8</v>
      </c>
    </row>
    <row r="488" spans="1:14" s="121" customFormat="1" ht="54" x14ac:dyDescent="0.35">
      <c r="A488" s="11"/>
      <c r="B488" s="518" t="s">
        <v>55</v>
      </c>
      <c r="C488" s="23" t="s">
        <v>290</v>
      </c>
      <c r="D488" s="10" t="s">
        <v>67</v>
      </c>
      <c r="E488" s="10" t="s">
        <v>37</v>
      </c>
      <c r="F488" s="680" t="s">
        <v>52</v>
      </c>
      <c r="G488" s="681" t="s">
        <v>89</v>
      </c>
      <c r="H488" s="681" t="s">
        <v>52</v>
      </c>
      <c r="I488" s="682" t="s">
        <v>292</v>
      </c>
      <c r="J488" s="10" t="s">
        <v>56</v>
      </c>
      <c r="K488" s="24">
        <v>919.8</v>
      </c>
      <c r="L488" s="24">
        <f>M488-K488</f>
        <v>0</v>
      </c>
      <c r="M488" s="24">
        <v>919.8</v>
      </c>
      <c r="N488" s="264">
        <v>919.8</v>
      </c>
    </row>
    <row r="489" spans="1:14" s="121" customFormat="1" ht="18" x14ac:dyDescent="0.35">
      <c r="A489" s="11"/>
      <c r="B489" s="518" t="s">
        <v>197</v>
      </c>
      <c r="C489" s="23" t="s">
        <v>290</v>
      </c>
      <c r="D489" s="10" t="s">
        <v>67</v>
      </c>
      <c r="E489" s="10" t="s">
        <v>39</v>
      </c>
      <c r="F489" s="680"/>
      <c r="G489" s="681"/>
      <c r="H489" s="681"/>
      <c r="I489" s="682"/>
      <c r="J489" s="10"/>
      <c r="K489" s="24">
        <f>K490</f>
        <v>30481.200000000001</v>
      </c>
      <c r="L489" s="24">
        <f>L490</f>
        <v>0</v>
      </c>
      <c r="M489" s="24">
        <f>M490</f>
        <v>30481.200000000001</v>
      </c>
      <c r="N489" s="264">
        <f>N490</f>
        <v>629.70000000000005</v>
      </c>
    </row>
    <row r="490" spans="1:14" s="121" customFormat="1" ht="54" x14ac:dyDescent="0.35">
      <c r="A490" s="11"/>
      <c r="B490" s="518" t="s">
        <v>217</v>
      </c>
      <c r="C490" s="23" t="s">
        <v>290</v>
      </c>
      <c r="D490" s="10" t="s">
        <v>67</v>
      </c>
      <c r="E490" s="10" t="s">
        <v>39</v>
      </c>
      <c r="F490" s="680" t="s">
        <v>52</v>
      </c>
      <c r="G490" s="681" t="s">
        <v>42</v>
      </c>
      <c r="H490" s="681" t="s">
        <v>43</v>
      </c>
      <c r="I490" s="682" t="s">
        <v>44</v>
      </c>
      <c r="J490" s="10"/>
      <c r="K490" s="24">
        <f>K491+K495</f>
        <v>30481.200000000001</v>
      </c>
      <c r="L490" s="24">
        <f>L491+L495</f>
        <v>0</v>
      </c>
      <c r="M490" s="24">
        <f>M491+M495</f>
        <v>30481.200000000001</v>
      </c>
      <c r="N490" s="24">
        <f t="shared" ref="N490" si="77">N491+N495</f>
        <v>629.70000000000005</v>
      </c>
    </row>
    <row r="491" spans="1:14" s="121" customFormat="1" ht="36" x14ac:dyDescent="0.35">
      <c r="A491" s="11"/>
      <c r="B491" s="568" t="s">
        <v>218</v>
      </c>
      <c r="C491" s="23" t="s">
        <v>290</v>
      </c>
      <c r="D491" s="10" t="s">
        <v>67</v>
      </c>
      <c r="E491" s="10" t="s">
        <v>39</v>
      </c>
      <c r="F491" s="680" t="s">
        <v>52</v>
      </c>
      <c r="G491" s="681" t="s">
        <v>45</v>
      </c>
      <c r="H491" s="681" t="s">
        <v>43</v>
      </c>
      <c r="I491" s="682" t="s">
        <v>44</v>
      </c>
      <c r="J491" s="10"/>
      <c r="K491" s="24">
        <f t="shared" ref="K491:N493" si="78">K492</f>
        <v>629.70000000000005</v>
      </c>
      <c r="L491" s="24">
        <f t="shared" si="78"/>
        <v>0</v>
      </c>
      <c r="M491" s="24">
        <f t="shared" si="78"/>
        <v>629.70000000000005</v>
      </c>
      <c r="N491" s="24">
        <f t="shared" si="78"/>
        <v>629.70000000000005</v>
      </c>
    </row>
    <row r="492" spans="1:14" s="121" customFormat="1" ht="54" x14ac:dyDescent="0.35">
      <c r="A492" s="11"/>
      <c r="B492" s="518" t="s">
        <v>291</v>
      </c>
      <c r="C492" s="23" t="s">
        <v>290</v>
      </c>
      <c r="D492" s="10" t="s">
        <v>67</v>
      </c>
      <c r="E492" s="10" t="s">
        <v>39</v>
      </c>
      <c r="F492" s="680" t="s">
        <v>52</v>
      </c>
      <c r="G492" s="681" t="s">
        <v>45</v>
      </c>
      <c r="H492" s="681" t="s">
        <v>39</v>
      </c>
      <c r="I492" s="682" t="s">
        <v>44</v>
      </c>
      <c r="J492" s="10"/>
      <c r="K492" s="24">
        <f t="shared" si="78"/>
        <v>629.70000000000005</v>
      </c>
      <c r="L492" s="24">
        <f t="shared" si="78"/>
        <v>0</v>
      </c>
      <c r="M492" s="24">
        <f t="shared" si="78"/>
        <v>629.70000000000005</v>
      </c>
      <c r="N492" s="24">
        <f t="shared" si="78"/>
        <v>629.70000000000005</v>
      </c>
    </row>
    <row r="493" spans="1:14" s="121" customFormat="1" ht="54" x14ac:dyDescent="0.35">
      <c r="A493" s="11"/>
      <c r="B493" s="518" t="s">
        <v>219</v>
      </c>
      <c r="C493" s="23" t="s">
        <v>290</v>
      </c>
      <c r="D493" s="10" t="s">
        <v>67</v>
      </c>
      <c r="E493" s="10" t="s">
        <v>39</v>
      </c>
      <c r="F493" s="680" t="s">
        <v>52</v>
      </c>
      <c r="G493" s="681" t="s">
        <v>45</v>
      </c>
      <c r="H493" s="681" t="s">
        <v>39</v>
      </c>
      <c r="I493" s="682" t="s">
        <v>292</v>
      </c>
      <c r="J493" s="10"/>
      <c r="K493" s="24">
        <f t="shared" si="78"/>
        <v>629.70000000000005</v>
      </c>
      <c r="L493" s="24">
        <f t="shared" si="78"/>
        <v>0</v>
      </c>
      <c r="M493" s="24">
        <f t="shared" si="78"/>
        <v>629.70000000000005</v>
      </c>
      <c r="N493" s="24">
        <f t="shared" si="78"/>
        <v>629.70000000000005</v>
      </c>
    </row>
    <row r="494" spans="1:14" s="121" customFormat="1" ht="54" x14ac:dyDescent="0.35">
      <c r="A494" s="11"/>
      <c r="B494" s="518" t="s">
        <v>55</v>
      </c>
      <c r="C494" s="23" t="s">
        <v>290</v>
      </c>
      <c r="D494" s="10" t="s">
        <v>67</v>
      </c>
      <c r="E494" s="10" t="s">
        <v>39</v>
      </c>
      <c r="F494" s="680" t="s">
        <v>52</v>
      </c>
      <c r="G494" s="681" t="s">
        <v>45</v>
      </c>
      <c r="H494" s="681" t="s">
        <v>39</v>
      </c>
      <c r="I494" s="682" t="s">
        <v>292</v>
      </c>
      <c r="J494" s="10" t="s">
        <v>56</v>
      </c>
      <c r="K494" s="24">
        <v>629.70000000000005</v>
      </c>
      <c r="L494" s="24">
        <f>M494-K494</f>
        <v>0</v>
      </c>
      <c r="M494" s="24">
        <v>629.70000000000005</v>
      </c>
      <c r="N494" s="507">
        <v>629.70000000000005</v>
      </c>
    </row>
    <row r="495" spans="1:14" s="121" customFormat="1" ht="36" x14ac:dyDescent="0.35">
      <c r="A495" s="11"/>
      <c r="B495" s="518" t="s">
        <v>220</v>
      </c>
      <c r="C495" s="23" t="s">
        <v>290</v>
      </c>
      <c r="D495" s="10" t="s">
        <v>67</v>
      </c>
      <c r="E495" s="10" t="s">
        <v>39</v>
      </c>
      <c r="F495" s="680" t="s">
        <v>52</v>
      </c>
      <c r="G495" s="681" t="s">
        <v>89</v>
      </c>
      <c r="H495" s="681" t="s">
        <v>43</v>
      </c>
      <c r="I495" s="682" t="s">
        <v>44</v>
      </c>
      <c r="J495" s="10"/>
      <c r="K495" s="24">
        <f t="shared" ref="K495:N497" si="79">K496</f>
        <v>29851.5</v>
      </c>
      <c r="L495" s="24">
        <f t="shared" si="79"/>
        <v>0</v>
      </c>
      <c r="M495" s="24">
        <f t="shared" si="79"/>
        <v>29851.5</v>
      </c>
      <c r="N495" s="507">
        <f t="shared" si="79"/>
        <v>0</v>
      </c>
    </row>
    <row r="496" spans="1:14" s="121" customFormat="1" ht="18" x14ac:dyDescent="0.35">
      <c r="A496" s="11"/>
      <c r="B496" s="518" t="s">
        <v>361</v>
      </c>
      <c r="C496" s="23" t="s">
        <v>290</v>
      </c>
      <c r="D496" s="10" t="s">
        <v>67</v>
      </c>
      <c r="E496" s="10" t="s">
        <v>39</v>
      </c>
      <c r="F496" s="680" t="s">
        <v>52</v>
      </c>
      <c r="G496" s="681" t="s">
        <v>89</v>
      </c>
      <c r="H496" s="681" t="s">
        <v>39</v>
      </c>
      <c r="I496" s="682" t="s">
        <v>44</v>
      </c>
      <c r="J496" s="10"/>
      <c r="K496" s="24">
        <f t="shared" si="79"/>
        <v>29851.5</v>
      </c>
      <c r="L496" s="24">
        <f t="shared" si="79"/>
        <v>0</v>
      </c>
      <c r="M496" s="24">
        <f t="shared" si="79"/>
        <v>29851.5</v>
      </c>
      <c r="N496" s="507">
        <f t="shared" si="79"/>
        <v>0</v>
      </c>
    </row>
    <row r="497" spans="1:14" s="121" customFormat="1" ht="90" x14ac:dyDescent="0.35">
      <c r="A497" s="11"/>
      <c r="B497" s="518" t="s">
        <v>740</v>
      </c>
      <c r="C497" s="23" t="s">
        <v>290</v>
      </c>
      <c r="D497" s="10" t="s">
        <v>67</v>
      </c>
      <c r="E497" s="10" t="s">
        <v>39</v>
      </c>
      <c r="F497" s="680" t="s">
        <v>52</v>
      </c>
      <c r="G497" s="681" t="s">
        <v>89</v>
      </c>
      <c r="H497" s="681" t="s">
        <v>39</v>
      </c>
      <c r="I497" s="682" t="s">
        <v>739</v>
      </c>
      <c r="J497" s="10"/>
      <c r="K497" s="24">
        <f t="shared" si="79"/>
        <v>29851.5</v>
      </c>
      <c r="L497" s="24">
        <f t="shared" si="79"/>
        <v>0</v>
      </c>
      <c r="M497" s="24">
        <f t="shared" si="79"/>
        <v>29851.5</v>
      </c>
      <c r="N497" s="507">
        <f t="shared" si="79"/>
        <v>0</v>
      </c>
    </row>
    <row r="498" spans="1:14" s="121" customFormat="1" ht="54" x14ac:dyDescent="0.35">
      <c r="A498" s="11"/>
      <c r="B498" s="518" t="s">
        <v>55</v>
      </c>
      <c r="C498" s="23" t="s">
        <v>290</v>
      </c>
      <c r="D498" s="10" t="s">
        <v>67</v>
      </c>
      <c r="E498" s="10" t="s">
        <v>39</v>
      </c>
      <c r="F498" s="680" t="s">
        <v>52</v>
      </c>
      <c r="G498" s="681" t="s">
        <v>89</v>
      </c>
      <c r="H498" s="681" t="s">
        <v>39</v>
      </c>
      <c r="I498" s="682" t="s">
        <v>739</v>
      </c>
      <c r="J498" s="10" t="s">
        <v>56</v>
      </c>
      <c r="K498" s="24">
        <v>29851.5</v>
      </c>
      <c r="L498" s="24">
        <f>M498-K498</f>
        <v>0</v>
      </c>
      <c r="M498" s="24">
        <v>29851.5</v>
      </c>
      <c r="N498" s="507">
        <v>0</v>
      </c>
    </row>
    <row r="499" spans="1:14" s="121" customFormat="1" ht="18" x14ac:dyDescent="0.35">
      <c r="A499" s="11"/>
      <c r="B499" s="518" t="s">
        <v>708</v>
      </c>
      <c r="C499" s="23" t="s">
        <v>290</v>
      </c>
      <c r="D499" s="10" t="s">
        <v>67</v>
      </c>
      <c r="E499" s="10" t="s">
        <v>63</v>
      </c>
      <c r="F499" s="680"/>
      <c r="G499" s="681"/>
      <c r="H499" s="681"/>
      <c r="I499" s="682"/>
      <c r="J499" s="10"/>
      <c r="K499" s="24" t="e">
        <f>K500</f>
        <v>#REF!</v>
      </c>
      <c r="L499" s="24">
        <f>L500</f>
        <v>0</v>
      </c>
      <c r="M499" s="24">
        <f>M500</f>
        <v>31302</v>
      </c>
      <c r="N499" s="24">
        <f>N500</f>
        <v>31312.2</v>
      </c>
    </row>
    <row r="500" spans="1:14" s="121" customFormat="1" ht="54" x14ac:dyDescent="0.35">
      <c r="A500" s="11"/>
      <c r="B500" s="518" t="s">
        <v>217</v>
      </c>
      <c r="C500" s="23" t="s">
        <v>290</v>
      </c>
      <c r="D500" s="10" t="s">
        <v>67</v>
      </c>
      <c r="E500" s="10" t="s">
        <v>63</v>
      </c>
      <c r="F500" s="680" t="s">
        <v>52</v>
      </c>
      <c r="G500" s="681" t="s">
        <v>42</v>
      </c>
      <c r="H500" s="681" t="s">
        <v>43</v>
      </c>
      <c r="I500" s="682" t="s">
        <v>44</v>
      </c>
      <c r="J500" s="10"/>
      <c r="K500" s="24" t="e">
        <f>K501+K505</f>
        <v>#REF!</v>
      </c>
      <c r="L500" s="24">
        <f>L501+L505</f>
        <v>0</v>
      </c>
      <c r="M500" s="24">
        <f>M501+M505</f>
        <v>31302</v>
      </c>
      <c r="N500" s="24">
        <f>N501+N505</f>
        <v>31312.2</v>
      </c>
    </row>
    <row r="501" spans="1:14" s="121" customFormat="1" ht="36" x14ac:dyDescent="0.35">
      <c r="A501" s="11"/>
      <c r="B501" s="568" t="s">
        <v>218</v>
      </c>
      <c r="C501" s="23" t="s">
        <v>290</v>
      </c>
      <c r="D501" s="10" t="s">
        <v>67</v>
      </c>
      <c r="E501" s="10" t="s">
        <v>63</v>
      </c>
      <c r="F501" s="680" t="s">
        <v>52</v>
      </c>
      <c r="G501" s="681" t="s">
        <v>45</v>
      </c>
      <c r="H501" s="681" t="s">
        <v>43</v>
      </c>
      <c r="I501" s="682" t="s">
        <v>44</v>
      </c>
      <c r="J501" s="10"/>
      <c r="K501" s="24">
        <f>K502</f>
        <v>450</v>
      </c>
      <c r="L501" s="24">
        <f>L502</f>
        <v>0</v>
      </c>
      <c r="M501" s="24">
        <f>M502</f>
        <v>450</v>
      </c>
      <c r="N501" s="24">
        <f>N502</f>
        <v>450</v>
      </c>
    </row>
    <row r="502" spans="1:14" s="121" customFormat="1" ht="18" x14ac:dyDescent="0.35">
      <c r="A502" s="11"/>
      <c r="B502" s="518" t="s">
        <v>277</v>
      </c>
      <c r="C502" s="23" t="s">
        <v>290</v>
      </c>
      <c r="D502" s="10" t="s">
        <v>67</v>
      </c>
      <c r="E502" s="10" t="s">
        <v>63</v>
      </c>
      <c r="F502" s="680" t="s">
        <v>52</v>
      </c>
      <c r="G502" s="681" t="s">
        <v>45</v>
      </c>
      <c r="H502" s="681" t="s">
        <v>37</v>
      </c>
      <c r="I502" s="682" t="s">
        <v>44</v>
      </c>
      <c r="J502" s="10"/>
      <c r="K502" s="24">
        <f t="shared" ref="K502:N503" si="80">K503</f>
        <v>450</v>
      </c>
      <c r="L502" s="24">
        <f t="shared" si="80"/>
        <v>0</v>
      </c>
      <c r="M502" s="24">
        <f t="shared" si="80"/>
        <v>450</v>
      </c>
      <c r="N502" s="24">
        <f t="shared" si="80"/>
        <v>450</v>
      </c>
    </row>
    <row r="503" spans="1:14" s="121" customFormat="1" ht="36" x14ac:dyDescent="0.35">
      <c r="A503" s="11"/>
      <c r="B503" s="518" t="s">
        <v>278</v>
      </c>
      <c r="C503" s="23" t="s">
        <v>290</v>
      </c>
      <c r="D503" s="10" t="s">
        <v>67</v>
      </c>
      <c r="E503" s="10" t="s">
        <v>63</v>
      </c>
      <c r="F503" s="680" t="s">
        <v>52</v>
      </c>
      <c r="G503" s="681" t="s">
        <v>45</v>
      </c>
      <c r="H503" s="681" t="s">
        <v>37</v>
      </c>
      <c r="I503" s="682" t="s">
        <v>279</v>
      </c>
      <c r="J503" s="10"/>
      <c r="K503" s="24">
        <f t="shared" si="80"/>
        <v>450</v>
      </c>
      <c r="L503" s="24">
        <f t="shared" si="80"/>
        <v>0</v>
      </c>
      <c r="M503" s="24">
        <f t="shared" si="80"/>
        <v>450</v>
      </c>
      <c r="N503" s="24">
        <f t="shared" si="80"/>
        <v>450</v>
      </c>
    </row>
    <row r="504" spans="1:14" s="121" customFormat="1" ht="36" x14ac:dyDescent="0.35">
      <c r="A504" s="11"/>
      <c r="B504" s="518" t="s">
        <v>120</v>
      </c>
      <c r="C504" s="23" t="s">
        <v>290</v>
      </c>
      <c r="D504" s="10" t="s">
        <v>67</v>
      </c>
      <c r="E504" s="10" t="s">
        <v>63</v>
      </c>
      <c r="F504" s="680" t="s">
        <v>52</v>
      </c>
      <c r="G504" s="681" t="s">
        <v>45</v>
      </c>
      <c r="H504" s="681" t="s">
        <v>37</v>
      </c>
      <c r="I504" s="682" t="s">
        <v>279</v>
      </c>
      <c r="J504" s="10" t="s">
        <v>121</v>
      </c>
      <c r="K504" s="24">
        <f>450</f>
        <v>450</v>
      </c>
      <c r="L504" s="24">
        <f>M504-K504</f>
        <v>0</v>
      </c>
      <c r="M504" s="24">
        <f>450</f>
        <v>450</v>
      </c>
      <c r="N504" s="24">
        <v>450</v>
      </c>
    </row>
    <row r="505" spans="1:14" s="121" customFormat="1" ht="36" x14ac:dyDescent="0.35">
      <c r="A505" s="11"/>
      <c r="B505" s="518" t="s">
        <v>220</v>
      </c>
      <c r="C505" s="23" t="s">
        <v>290</v>
      </c>
      <c r="D505" s="10" t="s">
        <v>67</v>
      </c>
      <c r="E505" s="10" t="s">
        <v>63</v>
      </c>
      <c r="F505" s="680" t="s">
        <v>52</v>
      </c>
      <c r="G505" s="681" t="s">
        <v>89</v>
      </c>
      <c r="H505" s="681" t="s">
        <v>43</v>
      </c>
      <c r="I505" s="682" t="s">
        <v>44</v>
      </c>
      <c r="J505" s="10"/>
      <c r="K505" s="24" t="e">
        <f t="shared" ref="K505:N505" si="81">K506</f>
        <v>#REF!</v>
      </c>
      <c r="L505" s="24">
        <f>L506</f>
        <v>0</v>
      </c>
      <c r="M505" s="24">
        <f t="shared" si="81"/>
        <v>30852</v>
      </c>
      <c r="N505" s="24">
        <f t="shared" si="81"/>
        <v>30862.2</v>
      </c>
    </row>
    <row r="506" spans="1:14" s="121" customFormat="1" ht="18" x14ac:dyDescent="0.35">
      <c r="A506" s="11"/>
      <c r="B506" s="518" t="s">
        <v>361</v>
      </c>
      <c r="C506" s="23" t="s">
        <v>290</v>
      </c>
      <c r="D506" s="10" t="s">
        <v>67</v>
      </c>
      <c r="E506" s="10" t="s">
        <v>63</v>
      </c>
      <c r="F506" s="680" t="s">
        <v>52</v>
      </c>
      <c r="G506" s="681" t="s">
        <v>89</v>
      </c>
      <c r="H506" s="681" t="s">
        <v>39</v>
      </c>
      <c r="I506" s="682" t="s">
        <v>44</v>
      </c>
      <c r="J506" s="10"/>
      <c r="K506" s="24" t="e">
        <f>K507+K513+#REF!+K511+K515</f>
        <v>#REF!</v>
      </c>
      <c r="L506" s="24">
        <f>L507+L513+L511+L515</f>
        <v>0</v>
      </c>
      <c r="M506" s="24">
        <f>M507+M513+M511+M515</f>
        <v>30852</v>
      </c>
      <c r="N506" s="24">
        <f>N507+N513+N511+N515</f>
        <v>30862.2</v>
      </c>
    </row>
    <row r="507" spans="1:14" s="121" customFormat="1" ht="36" x14ac:dyDescent="0.35">
      <c r="A507" s="11"/>
      <c r="B507" s="596" t="s">
        <v>466</v>
      </c>
      <c r="C507" s="23" t="s">
        <v>290</v>
      </c>
      <c r="D507" s="10" t="s">
        <v>67</v>
      </c>
      <c r="E507" s="10" t="s">
        <v>63</v>
      </c>
      <c r="F507" s="680" t="s">
        <v>52</v>
      </c>
      <c r="G507" s="681" t="s">
        <v>89</v>
      </c>
      <c r="H507" s="681" t="s">
        <v>39</v>
      </c>
      <c r="I507" s="682" t="s">
        <v>91</v>
      </c>
      <c r="J507" s="10"/>
      <c r="K507" s="24">
        <f>K508+K509+K510</f>
        <v>24324.5</v>
      </c>
      <c r="L507" s="24">
        <f>L508+L509+L510</f>
        <v>0</v>
      </c>
      <c r="M507" s="24">
        <f>M508+M509+M510</f>
        <v>24324.5</v>
      </c>
      <c r="N507" s="24">
        <f>N508+N509+N510</f>
        <v>24334.7</v>
      </c>
    </row>
    <row r="508" spans="1:14" s="121" customFormat="1" ht="108" x14ac:dyDescent="0.35">
      <c r="A508" s="11"/>
      <c r="B508" s="518" t="s">
        <v>49</v>
      </c>
      <c r="C508" s="23" t="s">
        <v>290</v>
      </c>
      <c r="D508" s="10" t="s">
        <v>67</v>
      </c>
      <c r="E508" s="10" t="s">
        <v>63</v>
      </c>
      <c r="F508" s="680" t="s">
        <v>52</v>
      </c>
      <c r="G508" s="681" t="s">
        <v>89</v>
      </c>
      <c r="H508" s="681" t="s">
        <v>39</v>
      </c>
      <c r="I508" s="682" t="s">
        <v>91</v>
      </c>
      <c r="J508" s="10" t="s">
        <v>50</v>
      </c>
      <c r="K508" s="24">
        <v>20027.900000000001</v>
      </c>
      <c r="L508" s="24">
        <f>M508-K508</f>
        <v>0</v>
      </c>
      <c r="M508" s="24">
        <v>20027.900000000001</v>
      </c>
      <c r="N508" s="24">
        <v>20027.900000000001</v>
      </c>
    </row>
    <row r="509" spans="1:14" s="121" customFormat="1" ht="54" x14ac:dyDescent="0.35">
      <c r="A509" s="11"/>
      <c r="B509" s="518" t="s">
        <v>55</v>
      </c>
      <c r="C509" s="23" t="s">
        <v>290</v>
      </c>
      <c r="D509" s="10" t="s">
        <v>67</v>
      </c>
      <c r="E509" s="10" t="s">
        <v>63</v>
      </c>
      <c r="F509" s="680" t="s">
        <v>52</v>
      </c>
      <c r="G509" s="681" t="s">
        <v>89</v>
      </c>
      <c r="H509" s="681" t="s">
        <v>39</v>
      </c>
      <c r="I509" s="682" t="s">
        <v>91</v>
      </c>
      <c r="J509" s="10" t="s">
        <v>56</v>
      </c>
      <c r="K509" s="24">
        <f>4250.6-12.5-0.1</f>
        <v>4238</v>
      </c>
      <c r="L509" s="24">
        <f>M509-K509</f>
        <v>0</v>
      </c>
      <c r="M509" s="24">
        <f>4250.6-12.5-0.1</f>
        <v>4238</v>
      </c>
      <c r="N509" s="24">
        <f>4262.7-12.5</f>
        <v>4250.2</v>
      </c>
    </row>
    <row r="510" spans="1:14" s="121" customFormat="1" ht="18" x14ac:dyDescent="0.35">
      <c r="A510" s="11"/>
      <c r="B510" s="518" t="s">
        <v>57</v>
      </c>
      <c r="C510" s="23" t="s">
        <v>290</v>
      </c>
      <c r="D510" s="10" t="s">
        <v>67</v>
      </c>
      <c r="E510" s="10" t="s">
        <v>63</v>
      </c>
      <c r="F510" s="680" t="s">
        <v>52</v>
      </c>
      <c r="G510" s="681" t="s">
        <v>89</v>
      </c>
      <c r="H510" s="681" t="s">
        <v>39</v>
      </c>
      <c r="I510" s="682" t="s">
        <v>91</v>
      </c>
      <c r="J510" s="10" t="s">
        <v>58</v>
      </c>
      <c r="K510" s="24">
        <v>58.6</v>
      </c>
      <c r="L510" s="24">
        <f>M510-K510</f>
        <v>0</v>
      </c>
      <c r="M510" s="24">
        <v>58.6</v>
      </c>
      <c r="N510" s="24">
        <v>56.6</v>
      </c>
    </row>
    <row r="511" spans="1:14" s="121" customFormat="1" ht="54" x14ac:dyDescent="0.35">
      <c r="A511" s="11"/>
      <c r="B511" s="518" t="s">
        <v>219</v>
      </c>
      <c r="C511" s="23" t="s">
        <v>290</v>
      </c>
      <c r="D511" s="10" t="s">
        <v>67</v>
      </c>
      <c r="E511" s="10" t="s">
        <v>63</v>
      </c>
      <c r="F511" s="680" t="s">
        <v>52</v>
      </c>
      <c r="G511" s="681" t="s">
        <v>89</v>
      </c>
      <c r="H511" s="681" t="s">
        <v>39</v>
      </c>
      <c r="I511" s="682" t="s">
        <v>292</v>
      </c>
      <c r="J511" s="10"/>
      <c r="K511" s="24">
        <f>K512</f>
        <v>4225.2</v>
      </c>
      <c r="L511" s="24">
        <f>L512</f>
        <v>0</v>
      </c>
      <c r="M511" s="24">
        <f>M512</f>
        <v>4225.2</v>
      </c>
      <c r="N511" s="24">
        <f>N512</f>
        <v>4225.2</v>
      </c>
    </row>
    <row r="512" spans="1:14" s="121" customFormat="1" ht="54" x14ac:dyDescent="0.35">
      <c r="A512" s="11"/>
      <c r="B512" s="518" t="s">
        <v>55</v>
      </c>
      <c r="C512" s="23" t="s">
        <v>290</v>
      </c>
      <c r="D512" s="10" t="s">
        <v>67</v>
      </c>
      <c r="E512" s="10" t="s">
        <v>63</v>
      </c>
      <c r="F512" s="680" t="s">
        <v>52</v>
      </c>
      <c r="G512" s="681" t="s">
        <v>89</v>
      </c>
      <c r="H512" s="681" t="s">
        <v>39</v>
      </c>
      <c r="I512" s="682" t="s">
        <v>292</v>
      </c>
      <c r="J512" s="10" t="s">
        <v>56</v>
      </c>
      <c r="K512" s="24">
        <v>4225.2</v>
      </c>
      <c r="L512" s="24">
        <f>M512-K512</f>
        <v>0</v>
      </c>
      <c r="M512" s="24">
        <v>4225.2</v>
      </c>
      <c r="N512" s="24">
        <v>4225.2</v>
      </c>
    </row>
    <row r="513" spans="1:14" s="121" customFormat="1" ht="180" x14ac:dyDescent="0.35">
      <c r="A513" s="11"/>
      <c r="B513" s="518" t="s">
        <v>437</v>
      </c>
      <c r="C513" s="23" t="s">
        <v>290</v>
      </c>
      <c r="D513" s="10" t="s">
        <v>67</v>
      </c>
      <c r="E513" s="10" t="s">
        <v>63</v>
      </c>
      <c r="F513" s="680" t="s">
        <v>52</v>
      </c>
      <c r="G513" s="681" t="s">
        <v>89</v>
      </c>
      <c r="H513" s="681" t="s">
        <v>39</v>
      </c>
      <c r="I513" s="682" t="s">
        <v>390</v>
      </c>
      <c r="J513" s="10"/>
      <c r="K513" s="24">
        <f>K514</f>
        <v>187.5</v>
      </c>
      <c r="L513" s="24">
        <f>L514</f>
        <v>0</v>
      </c>
      <c r="M513" s="24">
        <f>M514</f>
        <v>187.5</v>
      </c>
      <c r="N513" s="24">
        <f>N514</f>
        <v>187.5</v>
      </c>
    </row>
    <row r="514" spans="1:14" s="121" customFormat="1" ht="108" x14ac:dyDescent="0.35">
      <c r="A514" s="11"/>
      <c r="B514" s="518" t="s">
        <v>49</v>
      </c>
      <c r="C514" s="23" t="s">
        <v>290</v>
      </c>
      <c r="D514" s="10" t="s">
        <v>67</v>
      </c>
      <c r="E514" s="10" t="s">
        <v>63</v>
      </c>
      <c r="F514" s="680" t="s">
        <v>52</v>
      </c>
      <c r="G514" s="681" t="s">
        <v>89</v>
      </c>
      <c r="H514" s="681" t="s">
        <v>39</v>
      </c>
      <c r="I514" s="682" t="s">
        <v>390</v>
      </c>
      <c r="J514" s="10" t="s">
        <v>50</v>
      </c>
      <c r="K514" s="24">
        <v>187.5</v>
      </c>
      <c r="L514" s="24">
        <f>M514-K514</f>
        <v>0</v>
      </c>
      <c r="M514" s="24">
        <v>187.5</v>
      </c>
      <c r="N514" s="264">
        <v>187.5</v>
      </c>
    </row>
    <row r="515" spans="1:14" s="121" customFormat="1" ht="54" x14ac:dyDescent="0.35">
      <c r="A515" s="11"/>
      <c r="B515" s="518" t="s">
        <v>439</v>
      </c>
      <c r="C515" s="23" t="s">
        <v>290</v>
      </c>
      <c r="D515" s="10" t="s">
        <v>67</v>
      </c>
      <c r="E515" s="10" t="s">
        <v>63</v>
      </c>
      <c r="F515" s="680" t="s">
        <v>52</v>
      </c>
      <c r="G515" s="681" t="s">
        <v>89</v>
      </c>
      <c r="H515" s="681" t="s">
        <v>39</v>
      </c>
      <c r="I515" s="682" t="s">
        <v>410</v>
      </c>
      <c r="J515" s="10"/>
      <c r="K515" s="24">
        <f>K516</f>
        <v>2114.8000000000002</v>
      </c>
      <c r="L515" s="24">
        <f>L516</f>
        <v>0</v>
      </c>
      <c r="M515" s="24">
        <f>M516</f>
        <v>2114.8000000000002</v>
      </c>
      <c r="N515" s="24">
        <f>N516</f>
        <v>2114.8000000000002</v>
      </c>
    </row>
    <row r="516" spans="1:14" s="121" customFormat="1" ht="108" x14ac:dyDescent="0.35">
      <c r="A516" s="11"/>
      <c r="B516" s="518" t="s">
        <v>49</v>
      </c>
      <c r="C516" s="23" t="s">
        <v>290</v>
      </c>
      <c r="D516" s="10" t="s">
        <v>67</v>
      </c>
      <c r="E516" s="10" t="s">
        <v>63</v>
      </c>
      <c r="F516" s="680" t="s">
        <v>52</v>
      </c>
      <c r="G516" s="681" t="s">
        <v>89</v>
      </c>
      <c r="H516" s="681" t="s">
        <v>39</v>
      </c>
      <c r="I516" s="682" t="s">
        <v>410</v>
      </c>
      <c r="J516" s="10" t="s">
        <v>50</v>
      </c>
      <c r="K516" s="24">
        <f>1790.4+199+125.4</f>
        <v>2114.8000000000002</v>
      </c>
      <c r="L516" s="24">
        <f>M516-K516</f>
        <v>0</v>
      </c>
      <c r="M516" s="24">
        <f>1790.4+199+125.4</f>
        <v>2114.8000000000002</v>
      </c>
      <c r="N516" s="264">
        <f>1790.4+199+125.4</f>
        <v>2114.8000000000002</v>
      </c>
    </row>
    <row r="517" spans="1:14" s="7" customFormat="1" ht="36" x14ac:dyDescent="0.35">
      <c r="A517" s="11"/>
      <c r="B517" s="568" t="s">
        <v>199</v>
      </c>
      <c r="C517" s="23" t="s">
        <v>290</v>
      </c>
      <c r="D517" s="10" t="s">
        <v>67</v>
      </c>
      <c r="E517" s="10" t="s">
        <v>65</v>
      </c>
      <c r="F517" s="680"/>
      <c r="G517" s="681"/>
      <c r="H517" s="681"/>
      <c r="I517" s="682"/>
      <c r="J517" s="10"/>
      <c r="K517" s="24">
        <f t="shared" ref="K517:N520" si="82">K518</f>
        <v>3058.7000000000003</v>
      </c>
      <c r="L517" s="24">
        <f t="shared" si="82"/>
        <v>0</v>
      </c>
      <c r="M517" s="24">
        <f t="shared" si="82"/>
        <v>3058.7000000000003</v>
      </c>
      <c r="N517" s="24">
        <f t="shared" si="82"/>
        <v>3059.7999999999997</v>
      </c>
    </row>
    <row r="518" spans="1:14" s="7" customFormat="1" ht="54" x14ac:dyDescent="0.35">
      <c r="A518" s="11"/>
      <c r="B518" s="518" t="s">
        <v>217</v>
      </c>
      <c r="C518" s="23" t="s">
        <v>290</v>
      </c>
      <c r="D518" s="10" t="s">
        <v>67</v>
      </c>
      <c r="E518" s="10" t="s">
        <v>65</v>
      </c>
      <c r="F518" s="680" t="s">
        <v>52</v>
      </c>
      <c r="G518" s="681" t="s">
        <v>42</v>
      </c>
      <c r="H518" s="681" t="s">
        <v>43</v>
      </c>
      <c r="I518" s="682" t="s">
        <v>44</v>
      </c>
      <c r="J518" s="10"/>
      <c r="K518" s="24">
        <f t="shared" si="82"/>
        <v>3058.7000000000003</v>
      </c>
      <c r="L518" s="24">
        <f t="shared" si="82"/>
        <v>0</v>
      </c>
      <c r="M518" s="24">
        <f t="shared" si="82"/>
        <v>3058.7000000000003</v>
      </c>
      <c r="N518" s="24">
        <f t="shared" si="82"/>
        <v>3059.7999999999997</v>
      </c>
    </row>
    <row r="519" spans="1:14" s="7" customFormat="1" ht="36" x14ac:dyDescent="0.35">
      <c r="A519" s="11"/>
      <c r="B519" s="525" t="s">
        <v>220</v>
      </c>
      <c r="C519" s="23" t="s">
        <v>290</v>
      </c>
      <c r="D519" s="10" t="s">
        <v>67</v>
      </c>
      <c r="E519" s="10" t="s">
        <v>65</v>
      </c>
      <c r="F519" s="680" t="s">
        <v>52</v>
      </c>
      <c r="G519" s="681" t="s">
        <v>89</v>
      </c>
      <c r="H519" s="681" t="s">
        <v>43</v>
      </c>
      <c r="I519" s="682" t="s">
        <v>44</v>
      </c>
      <c r="J519" s="10"/>
      <c r="K519" s="24">
        <f t="shared" si="82"/>
        <v>3058.7000000000003</v>
      </c>
      <c r="L519" s="24">
        <f t="shared" si="82"/>
        <v>0</v>
      </c>
      <c r="M519" s="24">
        <f t="shared" si="82"/>
        <v>3058.7000000000003</v>
      </c>
      <c r="N519" s="24">
        <f t="shared" si="82"/>
        <v>3059.7999999999997</v>
      </c>
    </row>
    <row r="520" spans="1:14" s="7" customFormat="1" ht="36" x14ac:dyDescent="0.35">
      <c r="A520" s="11"/>
      <c r="B520" s="518" t="s">
        <v>282</v>
      </c>
      <c r="C520" s="23" t="s">
        <v>290</v>
      </c>
      <c r="D520" s="10" t="s">
        <v>67</v>
      </c>
      <c r="E520" s="10" t="s">
        <v>65</v>
      </c>
      <c r="F520" s="680" t="s">
        <v>52</v>
      </c>
      <c r="G520" s="681" t="s">
        <v>89</v>
      </c>
      <c r="H520" s="681" t="s">
        <v>37</v>
      </c>
      <c r="I520" s="682" t="s">
        <v>44</v>
      </c>
      <c r="J520" s="10"/>
      <c r="K520" s="24">
        <f t="shared" si="82"/>
        <v>3058.7000000000003</v>
      </c>
      <c r="L520" s="24">
        <f t="shared" si="82"/>
        <v>0</v>
      </c>
      <c r="M520" s="24">
        <f t="shared" si="82"/>
        <v>3058.7000000000003</v>
      </c>
      <c r="N520" s="24">
        <f t="shared" si="82"/>
        <v>3059.7999999999997</v>
      </c>
    </row>
    <row r="521" spans="1:14" s="7" customFormat="1" ht="36" x14ac:dyDescent="0.35">
      <c r="A521" s="11"/>
      <c r="B521" s="518" t="s">
        <v>47</v>
      </c>
      <c r="C521" s="23" t="s">
        <v>290</v>
      </c>
      <c r="D521" s="10" t="s">
        <v>67</v>
      </c>
      <c r="E521" s="10" t="s">
        <v>65</v>
      </c>
      <c r="F521" s="680" t="s">
        <v>52</v>
      </c>
      <c r="G521" s="681" t="s">
        <v>89</v>
      </c>
      <c r="H521" s="681" t="s">
        <v>37</v>
      </c>
      <c r="I521" s="682" t="s">
        <v>48</v>
      </c>
      <c r="J521" s="10"/>
      <c r="K521" s="24">
        <f>K522+K523+K524</f>
        <v>3058.7000000000003</v>
      </c>
      <c r="L521" s="24">
        <f>L522+L523+L524</f>
        <v>0</v>
      </c>
      <c r="M521" s="24">
        <f>M522+M523+M524</f>
        <v>3058.7000000000003</v>
      </c>
      <c r="N521" s="24">
        <f>N522+N523+N524</f>
        <v>3059.7999999999997</v>
      </c>
    </row>
    <row r="522" spans="1:14" s="7" customFormat="1" ht="108" x14ac:dyDescent="0.35">
      <c r="A522" s="11"/>
      <c r="B522" s="518" t="s">
        <v>49</v>
      </c>
      <c r="C522" s="23" t="s">
        <v>290</v>
      </c>
      <c r="D522" s="10" t="s">
        <v>67</v>
      </c>
      <c r="E522" s="10" t="s">
        <v>65</v>
      </c>
      <c r="F522" s="680" t="s">
        <v>52</v>
      </c>
      <c r="G522" s="681" t="s">
        <v>89</v>
      </c>
      <c r="H522" s="681" t="s">
        <v>37</v>
      </c>
      <c r="I522" s="682" t="s">
        <v>48</v>
      </c>
      <c r="J522" s="10" t="s">
        <v>50</v>
      </c>
      <c r="K522" s="24">
        <v>2997.5</v>
      </c>
      <c r="L522" s="24">
        <f>M522-K522</f>
        <v>0</v>
      </c>
      <c r="M522" s="24">
        <v>2997.5</v>
      </c>
      <c r="N522" s="24">
        <v>2997.5</v>
      </c>
    </row>
    <row r="523" spans="1:14" s="7" customFormat="1" ht="54" x14ac:dyDescent="0.35">
      <c r="A523" s="11"/>
      <c r="B523" s="518" t="s">
        <v>55</v>
      </c>
      <c r="C523" s="23" t="s">
        <v>290</v>
      </c>
      <c r="D523" s="10" t="s">
        <v>67</v>
      </c>
      <c r="E523" s="10" t="s">
        <v>65</v>
      </c>
      <c r="F523" s="680" t="s">
        <v>52</v>
      </c>
      <c r="G523" s="681" t="s">
        <v>89</v>
      </c>
      <c r="H523" s="681" t="s">
        <v>37</v>
      </c>
      <c r="I523" s="682" t="s">
        <v>48</v>
      </c>
      <c r="J523" s="10" t="s">
        <v>56</v>
      </c>
      <c r="K523" s="24">
        <v>59.4</v>
      </c>
      <c r="L523" s="24">
        <f>M523-K523</f>
        <v>0</v>
      </c>
      <c r="M523" s="24">
        <v>59.4</v>
      </c>
      <c r="N523" s="24">
        <v>60.6</v>
      </c>
    </row>
    <row r="524" spans="1:14" s="7" customFormat="1" ht="18" x14ac:dyDescent="0.35">
      <c r="A524" s="11"/>
      <c r="B524" s="518" t="s">
        <v>57</v>
      </c>
      <c r="C524" s="23" t="s">
        <v>290</v>
      </c>
      <c r="D524" s="10" t="s">
        <v>67</v>
      </c>
      <c r="E524" s="10" t="s">
        <v>65</v>
      </c>
      <c r="F524" s="680" t="s">
        <v>52</v>
      </c>
      <c r="G524" s="681" t="s">
        <v>89</v>
      </c>
      <c r="H524" s="681" t="s">
        <v>37</v>
      </c>
      <c r="I524" s="682" t="s">
        <v>48</v>
      </c>
      <c r="J524" s="10" t="s">
        <v>58</v>
      </c>
      <c r="K524" s="24">
        <v>1.8</v>
      </c>
      <c r="L524" s="24">
        <f>M524-K524</f>
        <v>0</v>
      </c>
      <c r="M524" s="24">
        <v>1.8</v>
      </c>
      <c r="N524" s="24">
        <v>1.7</v>
      </c>
    </row>
    <row r="525" spans="1:14" s="7" customFormat="1" ht="18" x14ac:dyDescent="0.35">
      <c r="A525" s="11"/>
      <c r="B525" s="518"/>
      <c r="C525" s="23"/>
      <c r="D525" s="10"/>
      <c r="E525" s="10"/>
      <c r="F525" s="680"/>
      <c r="G525" s="681"/>
      <c r="H525" s="681"/>
      <c r="I525" s="682"/>
      <c r="J525" s="10"/>
      <c r="K525" s="24"/>
      <c r="L525" s="24"/>
      <c r="M525" s="24"/>
      <c r="N525" s="24"/>
    </row>
    <row r="526" spans="1:14" s="121" customFormat="1" ht="52.2" x14ac:dyDescent="0.3">
      <c r="A526" s="120">
        <v>8</v>
      </c>
      <c r="B526" s="565" t="s">
        <v>11</v>
      </c>
      <c r="C526" s="18" t="s">
        <v>286</v>
      </c>
      <c r="D526" s="19"/>
      <c r="E526" s="19"/>
      <c r="F526" s="20"/>
      <c r="G526" s="21"/>
      <c r="H526" s="21"/>
      <c r="I526" s="22"/>
      <c r="J526" s="19"/>
      <c r="K526" s="32">
        <f>K540+K527</f>
        <v>7587.0999999999995</v>
      </c>
      <c r="L526" s="32">
        <f>L540+L527</f>
        <v>0</v>
      </c>
      <c r="M526" s="32">
        <f>M540+M527</f>
        <v>7587.0999999999995</v>
      </c>
      <c r="N526" s="32">
        <f>N540+N527</f>
        <v>7592.7999999999993</v>
      </c>
    </row>
    <row r="527" spans="1:14" s="121" customFormat="1" ht="18" x14ac:dyDescent="0.35">
      <c r="A527" s="120"/>
      <c r="B527" s="518" t="s">
        <v>36</v>
      </c>
      <c r="C527" s="23" t="s">
        <v>286</v>
      </c>
      <c r="D527" s="10" t="s">
        <v>37</v>
      </c>
      <c r="E527" s="10"/>
      <c r="F527" s="680"/>
      <c r="G527" s="681"/>
      <c r="H527" s="681"/>
      <c r="I527" s="682"/>
      <c r="J527" s="10"/>
      <c r="K527" s="220">
        <f t="shared" ref="K527:N529" si="83">K528</f>
        <v>126.9</v>
      </c>
      <c r="L527" s="220">
        <f t="shared" si="83"/>
        <v>0</v>
      </c>
      <c r="M527" s="220">
        <f t="shared" si="83"/>
        <v>126.9</v>
      </c>
      <c r="N527" s="220">
        <f t="shared" si="83"/>
        <v>126.9</v>
      </c>
    </row>
    <row r="528" spans="1:14" s="121" customFormat="1" ht="18" x14ac:dyDescent="0.35">
      <c r="A528" s="120"/>
      <c r="B528" s="518" t="s">
        <v>70</v>
      </c>
      <c r="C528" s="23" t="s">
        <v>286</v>
      </c>
      <c r="D528" s="10" t="s">
        <v>37</v>
      </c>
      <c r="E528" s="10" t="s">
        <v>71</v>
      </c>
      <c r="F528" s="680"/>
      <c r="G528" s="681"/>
      <c r="H528" s="681"/>
      <c r="I528" s="682"/>
      <c r="J528" s="10"/>
      <c r="K528" s="220">
        <f t="shared" si="83"/>
        <v>126.9</v>
      </c>
      <c r="L528" s="220">
        <f t="shared" si="83"/>
        <v>0</v>
      </c>
      <c r="M528" s="220">
        <f t="shared" si="83"/>
        <v>126.9</v>
      </c>
      <c r="N528" s="220">
        <f t="shared" si="83"/>
        <v>126.9</v>
      </c>
    </row>
    <row r="529" spans="1:14" s="121" customFormat="1" ht="54" x14ac:dyDescent="0.35">
      <c r="A529" s="120"/>
      <c r="B529" s="518" t="s">
        <v>221</v>
      </c>
      <c r="C529" s="23" t="s">
        <v>286</v>
      </c>
      <c r="D529" s="10" t="s">
        <v>37</v>
      </c>
      <c r="E529" s="10" t="s">
        <v>71</v>
      </c>
      <c r="F529" s="680" t="s">
        <v>65</v>
      </c>
      <c r="G529" s="681" t="s">
        <v>42</v>
      </c>
      <c r="H529" s="681" t="s">
        <v>43</v>
      </c>
      <c r="I529" s="682" t="s">
        <v>44</v>
      </c>
      <c r="J529" s="10"/>
      <c r="K529" s="220">
        <f t="shared" si="83"/>
        <v>126.9</v>
      </c>
      <c r="L529" s="220">
        <f t="shared" si="83"/>
        <v>0</v>
      </c>
      <c r="M529" s="220">
        <f t="shared" si="83"/>
        <v>126.9</v>
      </c>
      <c r="N529" s="220">
        <f t="shared" si="83"/>
        <v>126.9</v>
      </c>
    </row>
    <row r="530" spans="1:14" s="121" customFormat="1" ht="36" x14ac:dyDescent="0.35">
      <c r="A530" s="120"/>
      <c r="B530" s="518" t="s">
        <v>220</v>
      </c>
      <c r="C530" s="23" t="s">
        <v>286</v>
      </c>
      <c r="D530" s="10" t="s">
        <v>37</v>
      </c>
      <c r="E530" s="10" t="s">
        <v>71</v>
      </c>
      <c r="F530" s="680" t="s">
        <v>65</v>
      </c>
      <c r="G530" s="681" t="s">
        <v>89</v>
      </c>
      <c r="H530" s="681" t="s">
        <v>43</v>
      </c>
      <c r="I530" s="682" t="s">
        <v>44</v>
      </c>
      <c r="J530" s="10"/>
      <c r="K530" s="220">
        <f>K531+K534+K537</f>
        <v>126.9</v>
      </c>
      <c r="L530" s="220">
        <f>L531+L534+L537</f>
        <v>0</v>
      </c>
      <c r="M530" s="220">
        <f>M531+M534+M537</f>
        <v>126.9</v>
      </c>
      <c r="N530" s="220">
        <f>N531+N534+N537</f>
        <v>126.9</v>
      </c>
    </row>
    <row r="531" spans="1:14" s="121" customFormat="1" ht="36" x14ac:dyDescent="0.35">
      <c r="A531" s="120"/>
      <c r="B531" s="591" t="s">
        <v>351</v>
      </c>
      <c r="C531" s="23" t="s">
        <v>286</v>
      </c>
      <c r="D531" s="10" t="s">
        <v>37</v>
      </c>
      <c r="E531" s="10" t="s">
        <v>71</v>
      </c>
      <c r="F531" s="680" t="s">
        <v>65</v>
      </c>
      <c r="G531" s="681" t="s">
        <v>89</v>
      </c>
      <c r="H531" s="681" t="s">
        <v>39</v>
      </c>
      <c r="I531" s="682" t="s">
        <v>44</v>
      </c>
      <c r="J531" s="10"/>
      <c r="K531" s="220">
        <f t="shared" ref="K531:N532" si="84">K532</f>
        <v>67.900000000000006</v>
      </c>
      <c r="L531" s="220">
        <f t="shared" si="84"/>
        <v>0</v>
      </c>
      <c r="M531" s="220">
        <f t="shared" si="84"/>
        <v>67.900000000000006</v>
      </c>
      <c r="N531" s="220">
        <f t="shared" si="84"/>
        <v>67.900000000000006</v>
      </c>
    </row>
    <row r="532" spans="1:14" s="121" customFormat="1" ht="54" x14ac:dyDescent="0.35">
      <c r="A532" s="120"/>
      <c r="B532" s="591" t="s">
        <v>352</v>
      </c>
      <c r="C532" s="23" t="s">
        <v>286</v>
      </c>
      <c r="D532" s="10" t="s">
        <v>37</v>
      </c>
      <c r="E532" s="10" t="s">
        <v>71</v>
      </c>
      <c r="F532" s="680" t="s">
        <v>65</v>
      </c>
      <c r="G532" s="681" t="s">
        <v>89</v>
      </c>
      <c r="H532" s="681" t="s">
        <v>39</v>
      </c>
      <c r="I532" s="682" t="s">
        <v>105</v>
      </c>
      <c r="J532" s="10"/>
      <c r="K532" s="220">
        <f t="shared" si="84"/>
        <v>67.900000000000006</v>
      </c>
      <c r="L532" s="220">
        <f t="shared" si="84"/>
        <v>0</v>
      </c>
      <c r="M532" s="220">
        <f t="shared" si="84"/>
        <v>67.900000000000006</v>
      </c>
      <c r="N532" s="220">
        <f t="shared" si="84"/>
        <v>67.900000000000006</v>
      </c>
    </row>
    <row r="533" spans="1:14" s="121" customFormat="1" ht="54" x14ac:dyDescent="0.35">
      <c r="A533" s="120"/>
      <c r="B533" s="591" t="s">
        <v>55</v>
      </c>
      <c r="C533" s="23" t="s">
        <v>286</v>
      </c>
      <c r="D533" s="10" t="s">
        <v>37</v>
      </c>
      <c r="E533" s="10" t="s">
        <v>71</v>
      </c>
      <c r="F533" s="680" t="s">
        <v>65</v>
      </c>
      <c r="G533" s="681" t="s">
        <v>89</v>
      </c>
      <c r="H533" s="681" t="s">
        <v>39</v>
      </c>
      <c r="I533" s="682" t="s">
        <v>105</v>
      </c>
      <c r="J533" s="10" t="s">
        <v>56</v>
      </c>
      <c r="K533" s="220">
        <v>67.900000000000006</v>
      </c>
      <c r="L533" s="24">
        <f>M533-K533</f>
        <v>0</v>
      </c>
      <c r="M533" s="220">
        <v>67.900000000000006</v>
      </c>
      <c r="N533" s="220">
        <v>67.900000000000006</v>
      </c>
    </row>
    <row r="534" spans="1:14" s="121" customFormat="1" ht="36" x14ac:dyDescent="0.35">
      <c r="A534" s="120"/>
      <c r="B534" s="518" t="s">
        <v>470</v>
      </c>
      <c r="C534" s="23" t="s">
        <v>286</v>
      </c>
      <c r="D534" s="10" t="s">
        <v>37</v>
      </c>
      <c r="E534" s="10" t="s">
        <v>71</v>
      </c>
      <c r="F534" s="680" t="s">
        <v>65</v>
      </c>
      <c r="G534" s="681" t="s">
        <v>89</v>
      </c>
      <c r="H534" s="681" t="s">
        <v>63</v>
      </c>
      <c r="I534" s="682" t="s">
        <v>44</v>
      </c>
      <c r="J534" s="10"/>
      <c r="K534" s="220">
        <f t="shared" ref="K534:N535" si="85">K535</f>
        <v>14.8</v>
      </c>
      <c r="L534" s="220">
        <f t="shared" si="85"/>
        <v>0</v>
      </c>
      <c r="M534" s="220">
        <f t="shared" si="85"/>
        <v>14.8</v>
      </c>
      <c r="N534" s="220">
        <f t="shared" si="85"/>
        <v>14.8</v>
      </c>
    </row>
    <row r="535" spans="1:14" s="121" customFormat="1" ht="18" x14ac:dyDescent="0.35">
      <c r="A535" s="120"/>
      <c r="B535" s="518" t="s">
        <v>468</v>
      </c>
      <c r="C535" s="23" t="s">
        <v>286</v>
      </c>
      <c r="D535" s="10" t="s">
        <v>37</v>
      </c>
      <c r="E535" s="10" t="s">
        <v>71</v>
      </c>
      <c r="F535" s="680" t="s">
        <v>65</v>
      </c>
      <c r="G535" s="681" t="s">
        <v>89</v>
      </c>
      <c r="H535" s="681" t="s">
        <v>63</v>
      </c>
      <c r="I535" s="682" t="s">
        <v>469</v>
      </c>
      <c r="J535" s="10"/>
      <c r="K535" s="220">
        <f t="shared" si="85"/>
        <v>14.8</v>
      </c>
      <c r="L535" s="220">
        <f t="shared" si="85"/>
        <v>0</v>
      </c>
      <c r="M535" s="220">
        <f t="shared" si="85"/>
        <v>14.8</v>
      </c>
      <c r="N535" s="220">
        <f t="shared" si="85"/>
        <v>14.8</v>
      </c>
    </row>
    <row r="536" spans="1:14" s="121" customFormat="1" ht="54" x14ac:dyDescent="0.35">
      <c r="A536" s="120"/>
      <c r="B536" s="591" t="s">
        <v>55</v>
      </c>
      <c r="C536" s="23" t="s">
        <v>286</v>
      </c>
      <c r="D536" s="10" t="s">
        <v>37</v>
      </c>
      <c r="E536" s="10" t="s">
        <v>71</v>
      </c>
      <c r="F536" s="680" t="s">
        <v>65</v>
      </c>
      <c r="G536" s="681" t="s">
        <v>89</v>
      </c>
      <c r="H536" s="681" t="s">
        <v>63</v>
      </c>
      <c r="I536" s="682" t="s">
        <v>469</v>
      </c>
      <c r="J536" s="28" t="s">
        <v>56</v>
      </c>
      <c r="K536" s="220">
        <v>14.8</v>
      </c>
      <c r="L536" s="24">
        <f>M536-K536</f>
        <v>0</v>
      </c>
      <c r="M536" s="220">
        <v>14.8</v>
      </c>
      <c r="N536" s="220">
        <v>14.8</v>
      </c>
    </row>
    <row r="537" spans="1:14" s="121" customFormat="1" ht="36" x14ac:dyDescent="0.35">
      <c r="A537" s="120"/>
      <c r="B537" s="591" t="s">
        <v>473</v>
      </c>
      <c r="C537" s="23" t="s">
        <v>286</v>
      </c>
      <c r="D537" s="10" t="s">
        <v>37</v>
      </c>
      <c r="E537" s="10" t="s">
        <v>71</v>
      </c>
      <c r="F537" s="680" t="s">
        <v>65</v>
      </c>
      <c r="G537" s="681" t="s">
        <v>89</v>
      </c>
      <c r="H537" s="681" t="s">
        <v>52</v>
      </c>
      <c r="I537" s="682" t="s">
        <v>44</v>
      </c>
      <c r="J537" s="19"/>
      <c r="K537" s="220">
        <f t="shared" ref="K537:N538" si="86">K538</f>
        <v>44.2</v>
      </c>
      <c r="L537" s="220">
        <f t="shared" si="86"/>
        <v>0</v>
      </c>
      <c r="M537" s="220">
        <f t="shared" si="86"/>
        <v>44.2</v>
      </c>
      <c r="N537" s="220">
        <f t="shared" si="86"/>
        <v>44.2</v>
      </c>
    </row>
    <row r="538" spans="1:14" s="121" customFormat="1" ht="36" x14ac:dyDescent="0.35">
      <c r="A538" s="120"/>
      <c r="B538" s="592" t="s">
        <v>127</v>
      </c>
      <c r="C538" s="23" t="s">
        <v>286</v>
      </c>
      <c r="D538" s="10" t="s">
        <v>37</v>
      </c>
      <c r="E538" s="10" t="s">
        <v>71</v>
      </c>
      <c r="F538" s="680" t="s">
        <v>65</v>
      </c>
      <c r="G538" s="681" t="s">
        <v>89</v>
      </c>
      <c r="H538" s="681" t="s">
        <v>52</v>
      </c>
      <c r="I538" s="682" t="s">
        <v>90</v>
      </c>
      <c r="J538" s="19"/>
      <c r="K538" s="220">
        <f t="shared" si="86"/>
        <v>44.2</v>
      </c>
      <c r="L538" s="220">
        <f t="shared" si="86"/>
        <v>0</v>
      </c>
      <c r="M538" s="220">
        <f t="shared" si="86"/>
        <v>44.2</v>
      </c>
      <c r="N538" s="220">
        <f t="shared" si="86"/>
        <v>44.2</v>
      </c>
    </row>
    <row r="539" spans="1:14" s="121" customFormat="1" ht="54" x14ac:dyDescent="0.35">
      <c r="A539" s="120"/>
      <c r="B539" s="591" t="s">
        <v>55</v>
      </c>
      <c r="C539" s="23" t="s">
        <v>286</v>
      </c>
      <c r="D539" s="10" t="s">
        <v>37</v>
      </c>
      <c r="E539" s="10" t="s">
        <v>71</v>
      </c>
      <c r="F539" s="680" t="s">
        <v>65</v>
      </c>
      <c r="G539" s="681" t="s">
        <v>89</v>
      </c>
      <c r="H539" s="681" t="s">
        <v>52</v>
      </c>
      <c r="I539" s="682" t="s">
        <v>90</v>
      </c>
      <c r="J539" s="28" t="s">
        <v>56</v>
      </c>
      <c r="K539" s="220">
        <v>44.2</v>
      </c>
      <c r="L539" s="24">
        <f>M539-K539</f>
        <v>0</v>
      </c>
      <c r="M539" s="220">
        <v>44.2</v>
      </c>
      <c r="N539" s="220">
        <v>44.2</v>
      </c>
    </row>
    <row r="540" spans="1:14" s="7" customFormat="1" ht="18" x14ac:dyDescent="0.35">
      <c r="A540" s="120"/>
      <c r="B540" s="518" t="s">
        <v>179</v>
      </c>
      <c r="C540" s="23" t="s">
        <v>286</v>
      </c>
      <c r="D540" s="10" t="s">
        <v>224</v>
      </c>
      <c r="E540" s="10"/>
      <c r="F540" s="680"/>
      <c r="G540" s="681"/>
      <c r="H540" s="681"/>
      <c r="I540" s="682"/>
      <c r="J540" s="10"/>
      <c r="K540" s="24">
        <f>K541+K549</f>
        <v>7460.2</v>
      </c>
      <c r="L540" s="24">
        <f>L541+L549</f>
        <v>0</v>
      </c>
      <c r="M540" s="24">
        <f>M541+M549</f>
        <v>7460.2</v>
      </c>
      <c r="N540" s="24">
        <f>N541+N549</f>
        <v>7465.9</v>
      </c>
    </row>
    <row r="541" spans="1:14" s="121" customFormat="1" ht="18" x14ac:dyDescent="0.35">
      <c r="A541" s="120"/>
      <c r="B541" s="518" t="s">
        <v>350</v>
      </c>
      <c r="C541" s="23" t="s">
        <v>286</v>
      </c>
      <c r="D541" s="10" t="s">
        <v>224</v>
      </c>
      <c r="E541" s="10" t="s">
        <v>224</v>
      </c>
      <c r="F541" s="680"/>
      <c r="G541" s="681"/>
      <c r="H541" s="681"/>
      <c r="I541" s="682"/>
      <c r="J541" s="10"/>
      <c r="K541" s="24">
        <f>K542</f>
        <v>3836.5</v>
      </c>
      <c r="L541" s="24">
        <f>L542</f>
        <v>0</v>
      </c>
      <c r="M541" s="24">
        <f>M542</f>
        <v>3836.5</v>
      </c>
      <c r="N541" s="24">
        <f>N542</f>
        <v>3836.5</v>
      </c>
    </row>
    <row r="542" spans="1:14" s="121" customFormat="1" ht="54" x14ac:dyDescent="0.35">
      <c r="A542" s="120"/>
      <c r="B542" s="518" t="s">
        <v>221</v>
      </c>
      <c r="C542" s="23" t="s">
        <v>286</v>
      </c>
      <c r="D542" s="10" t="s">
        <v>224</v>
      </c>
      <c r="E542" s="10" t="s">
        <v>224</v>
      </c>
      <c r="F542" s="680" t="s">
        <v>65</v>
      </c>
      <c r="G542" s="681" t="s">
        <v>42</v>
      </c>
      <c r="H542" s="681" t="s">
        <v>43</v>
      </c>
      <c r="I542" s="682" t="s">
        <v>44</v>
      </c>
      <c r="J542" s="10"/>
      <c r="K542" s="24">
        <f t="shared" ref="K542:N544" si="87">K543</f>
        <v>3836.5</v>
      </c>
      <c r="L542" s="24">
        <f t="shared" si="87"/>
        <v>0</v>
      </c>
      <c r="M542" s="24">
        <f t="shared" si="87"/>
        <v>3836.5</v>
      </c>
      <c r="N542" s="24">
        <f t="shared" si="87"/>
        <v>3836.5</v>
      </c>
    </row>
    <row r="543" spans="1:14" s="121" customFormat="1" ht="18" x14ac:dyDescent="0.35">
      <c r="A543" s="120"/>
      <c r="B543" s="518" t="s">
        <v>222</v>
      </c>
      <c r="C543" s="23" t="s">
        <v>286</v>
      </c>
      <c r="D543" s="10" t="s">
        <v>224</v>
      </c>
      <c r="E543" s="10" t="s">
        <v>224</v>
      </c>
      <c r="F543" s="680" t="s">
        <v>65</v>
      </c>
      <c r="G543" s="681" t="s">
        <v>45</v>
      </c>
      <c r="H543" s="681" t="s">
        <v>43</v>
      </c>
      <c r="I543" s="682" t="s">
        <v>44</v>
      </c>
      <c r="J543" s="10"/>
      <c r="K543" s="24">
        <f t="shared" si="87"/>
        <v>3836.5</v>
      </c>
      <c r="L543" s="24">
        <f t="shared" si="87"/>
        <v>0</v>
      </c>
      <c r="M543" s="24">
        <f t="shared" si="87"/>
        <v>3836.5</v>
      </c>
      <c r="N543" s="24">
        <f t="shared" si="87"/>
        <v>3836.5</v>
      </c>
    </row>
    <row r="544" spans="1:14" s="121" customFormat="1" ht="72" x14ac:dyDescent="0.35">
      <c r="A544" s="120"/>
      <c r="B544" s="518" t="s">
        <v>287</v>
      </c>
      <c r="C544" s="23" t="s">
        <v>286</v>
      </c>
      <c r="D544" s="10" t="s">
        <v>224</v>
      </c>
      <c r="E544" s="10" t="s">
        <v>224</v>
      </c>
      <c r="F544" s="680" t="s">
        <v>65</v>
      </c>
      <c r="G544" s="681" t="s">
        <v>45</v>
      </c>
      <c r="H544" s="681" t="s">
        <v>37</v>
      </c>
      <c r="I544" s="682" t="s">
        <v>44</v>
      </c>
      <c r="J544" s="10"/>
      <c r="K544" s="24">
        <f t="shared" si="87"/>
        <v>3836.5</v>
      </c>
      <c r="L544" s="24">
        <f t="shared" si="87"/>
        <v>0</v>
      </c>
      <c r="M544" s="24">
        <f t="shared" si="87"/>
        <v>3836.5</v>
      </c>
      <c r="N544" s="24">
        <f t="shared" si="87"/>
        <v>3836.5</v>
      </c>
    </row>
    <row r="545" spans="1:14" s="121" customFormat="1" ht="36" x14ac:dyDescent="0.35">
      <c r="A545" s="120"/>
      <c r="B545" s="596" t="s">
        <v>466</v>
      </c>
      <c r="C545" s="23" t="s">
        <v>286</v>
      </c>
      <c r="D545" s="10" t="s">
        <v>224</v>
      </c>
      <c r="E545" s="10" t="s">
        <v>224</v>
      </c>
      <c r="F545" s="680" t="s">
        <v>65</v>
      </c>
      <c r="G545" s="681" t="s">
        <v>45</v>
      </c>
      <c r="H545" s="681" t="s">
        <v>37</v>
      </c>
      <c r="I545" s="682" t="s">
        <v>91</v>
      </c>
      <c r="J545" s="10"/>
      <c r="K545" s="24">
        <f>K546+K547+K548</f>
        <v>3836.5</v>
      </c>
      <c r="L545" s="24">
        <f>L546+L547+L548</f>
        <v>0</v>
      </c>
      <c r="M545" s="24">
        <f>M546+M547+M548</f>
        <v>3836.5</v>
      </c>
      <c r="N545" s="24">
        <f>N546+N547+N548</f>
        <v>3836.5</v>
      </c>
    </row>
    <row r="546" spans="1:14" s="121" customFormat="1" ht="108" x14ac:dyDescent="0.35">
      <c r="A546" s="11"/>
      <c r="B546" s="518" t="s">
        <v>49</v>
      </c>
      <c r="C546" s="23" t="s">
        <v>286</v>
      </c>
      <c r="D546" s="10" t="s">
        <v>224</v>
      </c>
      <c r="E546" s="10" t="s">
        <v>224</v>
      </c>
      <c r="F546" s="680" t="s">
        <v>65</v>
      </c>
      <c r="G546" s="681" t="s">
        <v>45</v>
      </c>
      <c r="H546" s="681" t="s">
        <v>37</v>
      </c>
      <c r="I546" s="682" t="s">
        <v>91</v>
      </c>
      <c r="J546" s="10" t="s">
        <v>50</v>
      </c>
      <c r="K546" s="24">
        <v>3509.5</v>
      </c>
      <c r="L546" s="24">
        <f>M546-K546</f>
        <v>0</v>
      </c>
      <c r="M546" s="24">
        <v>3509.5</v>
      </c>
      <c r="N546" s="24">
        <v>3509.5</v>
      </c>
    </row>
    <row r="547" spans="1:14" s="7" customFormat="1" ht="54" x14ac:dyDescent="0.35">
      <c r="A547" s="11"/>
      <c r="B547" s="518" t="s">
        <v>55</v>
      </c>
      <c r="C547" s="23" t="s">
        <v>286</v>
      </c>
      <c r="D547" s="10" t="s">
        <v>224</v>
      </c>
      <c r="E547" s="10" t="s">
        <v>224</v>
      </c>
      <c r="F547" s="680" t="s">
        <v>65</v>
      </c>
      <c r="G547" s="681" t="s">
        <v>45</v>
      </c>
      <c r="H547" s="681" t="s">
        <v>37</v>
      </c>
      <c r="I547" s="682" t="s">
        <v>91</v>
      </c>
      <c r="J547" s="10" t="s">
        <v>56</v>
      </c>
      <c r="K547" s="24">
        <v>324.3</v>
      </c>
      <c r="L547" s="24">
        <f>M547-K547</f>
        <v>0</v>
      </c>
      <c r="M547" s="24">
        <v>324.3</v>
      </c>
      <c r="N547" s="24">
        <v>324.3</v>
      </c>
    </row>
    <row r="548" spans="1:14" s="7" customFormat="1" ht="18" x14ac:dyDescent="0.35">
      <c r="A548" s="11"/>
      <c r="B548" s="518" t="s">
        <v>57</v>
      </c>
      <c r="C548" s="23" t="s">
        <v>286</v>
      </c>
      <c r="D548" s="10" t="s">
        <v>224</v>
      </c>
      <c r="E548" s="10" t="s">
        <v>224</v>
      </c>
      <c r="F548" s="680" t="s">
        <v>65</v>
      </c>
      <c r="G548" s="681" t="s">
        <v>45</v>
      </c>
      <c r="H548" s="681" t="s">
        <v>37</v>
      </c>
      <c r="I548" s="682" t="s">
        <v>91</v>
      </c>
      <c r="J548" s="10" t="s">
        <v>58</v>
      </c>
      <c r="K548" s="24">
        <v>2.7</v>
      </c>
      <c r="L548" s="24">
        <f>M548-K548</f>
        <v>0</v>
      </c>
      <c r="M548" s="24">
        <v>2.7</v>
      </c>
      <c r="N548" s="24">
        <v>2.7</v>
      </c>
    </row>
    <row r="549" spans="1:14" s="7" customFormat="1" ht="18" x14ac:dyDescent="0.35">
      <c r="A549" s="11"/>
      <c r="B549" s="518" t="s">
        <v>186</v>
      </c>
      <c r="C549" s="153" t="s">
        <v>286</v>
      </c>
      <c r="D549" s="10" t="s">
        <v>224</v>
      </c>
      <c r="E549" s="10" t="s">
        <v>79</v>
      </c>
      <c r="F549" s="680"/>
      <c r="G549" s="681"/>
      <c r="H549" s="681"/>
      <c r="I549" s="682"/>
      <c r="J549" s="10"/>
      <c r="K549" s="24">
        <f t="shared" ref="K549:N552" si="88">K550</f>
        <v>3623.7</v>
      </c>
      <c r="L549" s="24">
        <f t="shared" si="88"/>
        <v>0</v>
      </c>
      <c r="M549" s="24">
        <f t="shared" si="88"/>
        <v>3623.7</v>
      </c>
      <c r="N549" s="24">
        <f t="shared" si="88"/>
        <v>3629.3999999999996</v>
      </c>
    </row>
    <row r="550" spans="1:14" s="7" customFormat="1" ht="54" x14ac:dyDescent="0.35">
      <c r="A550" s="11"/>
      <c r="B550" s="518" t="s">
        <v>221</v>
      </c>
      <c r="C550" s="153" t="s">
        <v>286</v>
      </c>
      <c r="D550" s="10" t="s">
        <v>224</v>
      </c>
      <c r="E550" s="10" t="s">
        <v>79</v>
      </c>
      <c r="F550" s="680" t="s">
        <v>65</v>
      </c>
      <c r="G550" s="681" t="s">
        <v>42</v>
      </c>
      <c r="H550" s="681" t="s">
        <v>43</v>
      </c>
      <c r="I550" s="682" t="s">
        <v>44</v>
      </c>
      <c r="J550" s="10"/>
      <c r="K550" s="24">
        <f t="shared" si="88"/>
        <v>3623.7</v>
      </c>
      <c r="L550" s="24">
        <f t="shared" si="88"/>
        <v>0</v>
      </c>
      <c r="M550" s="24">
        <f t="shared" si="88"/>
        <v>3623.7</v>
      </c>
      <c r="N550" s="24">
        <f t="shared" si="88"/>
        <v>3629.3999999999996</v>
      </c>
    </row>
    <row r="551" spans="1:14" s="7" customFormat="1" ht="36" x14ac:dyDescent="0.35">
      <c r="A551" s="11"/>
      <c r="B551" s="518" t="s">
        <v>220</v>
      </c>
      <c r="C551" s="23" t="s">
        <v>286</v>
      </c>
      <c r="D551" s="10" t="s">
        <v>224</v>
      </c>
      <c r="E551" s="10" t="s">
        <v>79</v>
      </c>
      <c r="F551" s="680" t="s">
        <v>65</v>
      </c>
      <c r="G551" s="681" t="s">
        <v>89</v>
      </c>
      <c r="H551" s="681" t="s">
        <v>43</v>
      </c>
      <c r="I551" s="682" t="s">
        <v>44</v>
      </c>
      <c r="J551" s="10"/>
      <c r="K551" s="24">
        <f t="shared" si="88"/>
        <v>3623.7</v>
      </c>
      <c r="L551" s="24">
        <f t="shared" si="88"/>
        <v>0</v>
      </c>
      <c r="M551" s="24">
        <f t="shared" si="88"/>
        <v>3623.7</v>
      </c>
      <c r="N551" s="24">
        <f t="shared" si="88"/>
        <v>3629.3999999999996</v>
      </c>
    </row>
    <row r="552" spans="1:14" s="121" customFormat="1" ht="36" x14ac:dyDescent="0.35">
      <c r="A552" s="11"/>
      <c r="B552" s="518" t="s">
        <v>282</v>
      </c>
      <c r="C552" s="23" t="s">
        <v>286</v>
      </c>
      <c r="D552" s="10" t="s">
        <v>224</v>
      </c>
      <c r="E552" s="10" t="s">
        <v>79</v>
      </c>
      <c r="F552" s="680" t="s">
        <v>65</v>
      </c>
      <c r="G552" s="681" t="s">
        <v>89</v>
      </c>
      <c r="H552" s="681" t="s">
        <v>37</v>
      </c>
      <c r="I552" s="682" t="s">
        <v>44</v>
      </c>
      <c r="J552" s="10"/>
      <c r="K552" s="24">
        <f t="shared" si="88"/>
        <v>3623.7</v>
      </c>
      <c r="L552" s="24">
        <f t="shared" si="88"/>
        <v>0</v>
      </c>
      <c r="M552" s="24">
        <f t="shared" si="88"/>
        <v>3623.7</v>
      </c>
      <c r="N552" s="24">
        <f t="shared" si="88"/>
        <v>3629.3999999999996</v>
      </c>
    </row>
    <row r="553" spans="1:14" s="7" customFormat="1" ht="36" x14ac:dyDescent="0.35">
      <c r="A553" s="11"/>
      <c r="B553" s="518" t="s">
        <v>47</v>
      </c>
      <c r="C553" s="23" t="s">
        <v>286</v>
      </c>
      <c r="D553" s="10" t="s">
        <v>224</v>
      </c>
      <c r="E553" s="10" t="s">
        <v>79</v>
      </c>
      <c r="F553" s="680" t="s">
        <v>65</v>
      </c>
      <c r="G553" s="681" t="s">
        <v>89</v>
      </c>
      <c r="H553" s="681" t="s">
        <v>37</v>
      </c>
      <c r="I553" s="682" t="s">
        <v>48</v>
      </c>
      <c r="J553" s="10"/>
      <c r="K553" s="24">
        <f>K554+K555+K556</f>
        <v>3623.7</v>
      </c>
      <c r="L553" s="24">
        <f>L554+L555+L556</f>
        <v>0</v>
      </c>
      <c r="M553" s="24">
        <f>M554+M555+M556</f>
        <v>3623.7</v>
      </c>
      <c r="N553" s="24">
        <f>N554+N555+N556</f>
        <v>3629.3999999999996</v>
      </c>
    </row>
    <row r="554" spans="1:14" s="7" customFormat="1" ht="108" x14ac:dyDescent="0.35">
      <c r="A554" s="11"/>
      <c r="B554" s="518" t="s">
        <v>49</v>
      </c>
      <c r="C554" s="23" t="s">
        <v>286</v>
      </c>
      <c r="D554" s="10" t="s">
        <v>224</v>
      </c>
      <c r="E554" s="10" t="s">
        <v>79</v>
      </c>
      <c r="F554" s="680" t="s">
        <v>65</v>
      </c>
      <c r="G554" s="681" t="s">
        <v>89</v>
      </c>
      <c r="H554" s="681" t="s">
        <v>37</v>
      </c>
      <c r="I554" s="682" t="s">
        <v>48</v>
      </c>
      <c r="J554" s="10" t="s">
        <v>50</v>
      </c>
      <c r="K554" s="24">
        <v>3261.7</v>
      </c>
      <c r="L554" s="24">
        <f>M554-K554</f>
        <v>0</v>
      </c>
      <c r="M554" s="24">
        <v>3261.7</v>
      </c>
      <c r="N554" s="24">
        <v>3261.7</v>
      </c>
    </row>
    <row r="555" spans="1:14" s="7" customFormat="1" ht="54" x14ac:dyDescent="0.35">
      <c r="A555" s="11"/>
      <c r="B555" s="518" t="s">
        <v>55</v>
      </c>
      <c r="C555" s="153" t="s">
        <v>286</v>
      </c>
      <c r="D555" s="100" t="s">
        <v>224</v>
      </c>
      <c r="E555" s="100" t="s">
        <v>79</v>
      </c>
      <c r="F555" s="680" t="s">
        <v>65</v>
      </c>
      <c r="G555" s="681" t="s">
        <v>89</v>
      </c>
      <c r="H555" s="681" t="s">
        <v>37</v>
      </c>
      <c r="I555" s="682" t="s">
        <v>48</v>
      </c>
      <c r="J555" s="10" t="s">
        <v>56</v>
      </c>
      <c r="K555" s="24">
        <v>360.8</v>
      </c>
      <c r="L555" s="24">
        <f>M555-K555</f>
        <v>0</v>
      </c>
      <c r="M555" s="24">
        <v>360.8</v>
      </c>
      <c r="N555" s="24">
        <v>366.5</v>
      </c>
    </row>
    <row r="556" spans="1:14" s="7" customFormat="1" ht="18" x14ac:dyDescent="0.35">
      <c r="A556" s="11"/>
      <c r="B556" s="518" t="s">
        <v>57</v>
      </c>
      <c r="C556" s="153" t="s">
        <v>286</v>
      </c>
      <c r="D556" s="100" t="s">
        <v>224</v>
      </c>
      <c r="E556" s="100" t="s">
        <v>79</v>
      </c>
      <c r="F556" s="680" t="s">
        <v>65</v>
      </c>
      <c r="G556" s="681" t="s">
        <v>89</v>
      </c>
      <c r="H556" s="681" t="s">
        <v>37</v>
      </c>
      <c r="I556" s="682" t="s">
        <v>48</v>
      </c>
      <c r="J556" s="10" t="s">
        <v>58</v>
      </c>
      <c r="K556" s="24">
        <v>1.2</v>
      </c>
      <c r="L556" s="24">
        <f>M556-K556</f>
        <v>0</v>
      </c>
      <c r="M556" s="24">
        <v>1.2</v>
      </c>
      <c r="N556" s="24">
        <v>1.2</v>
      </c>
    </row>
    <row r="557" spans="1:14" s="7" customFormat="1" ht="18" x14ac:dyDescent="0.35">
      <c r="A557" s="11"/>
      <c r="B557" s="518"/>
      <c r="C557" s="153"/>
      <c r="D557" s="100"/>
      <c r="E557" s="100"/>
      <c r="F557" s="680"/>
      <c r="G557" s="681"/>
      <c r="H557" s="681"/>
      <c r="I557" s="682"/>
      <c r="J557" s="10"/>
      <c r="K557" s="24"/>
      <c r="L557" s="24"/>
      <c r="M557" s="24"/>
      <c r="N557" s="24"/>
    </row>
    <row r="558" spans="1:14" s="121" customFormat="1" ht="52.2" x14ac:dyDescent="0.3">
      <c r="A558" s="120">
        <v>9</v>
      </c>
      <c r="B558" s="565" t="s">
        <v>12</v>
      </c>
      <c r="C558" s="18" t="s">
        <v>294</v>
      </c>
      <c r="D558" s="19"/>
      <c r="E558" s="19"/>
      <c r="F558" s="20"/>
      <c r="G558" s="21"/>
      <c r="H558" s="21"/>
      <c r="I558" s="22"/>
      <c r="J558" s="19"/>
      <c r="K558" s="32">
        <f>K559</f>
        <v>73608.299999999988</v>
      </c>
      <c r="L558" s="32">
        <f>L559</f>
        <v>0</v>
      </c>
      <c r="M558" s="32">
        <f>M559</f>
        <v>73608.299999999988</v>
      </c>
      <c r="N558" s="32">
        <f>N559</f>
        <v>75110.100000000006</v>
      </c>
    </row>
    <row r="559" spans="1:14" s="7" customFormat="1" ht="18" x14ac:dyDescent="0.35">
      <c r="A559" s="11"/>
      <c r="B559" s="568" t="s">
        <v>119</v>
      </c>
      <c r="C559" s="23" t="s">
        <v>294</v>
      </c>
      <c r="D559" s="10" t="s">
        <v>104</v>
      </c>
      <c r="E559" s="10"/>
      <c r="F559" s="680"/>
      <c r="G559" s="681"/>
      <c r="H559" s="681"/>
      <c r="I559" s="682"/>
      <c r="J559" s="10"/>
      <c r="K559" s="24">
        <f>K560+K579</f>
        <v>73608.299999999988</v>
      </c>
      <c r="L559" s="24">
        <f>L560+L579</f>
        <v>0</v>
      </c>
      <c r="M559" s="24">
        <f>M560+M579</f>
        <v>73608.299999999988</v>
      </c>
      <c r="N559" s="24">
        <f>N560+N579</f>
        <v>75110.100000000006</v>
      </c>
    </row>
    <row r="560" spans="1:14" s="7" customFormat="1" ht="18" x14ac:dyDescent="0.35">
      <c r="A560" s="11"/>
      <c r="B560" s="518" t="s">
        <v>193</v>
      </c>
      <c r="C560" s="23" t="s">
        <v>294</v>
      </c>
      <c r="D560" s="10" t="s">
        <v>104</v>
      </c>
      <c r="E560" s="10" t="s">
        <v>52</v>
      </c>
      <c r="F560" s="680"/>
      <c r="G560" s="681"/>
      <c r="H560" s="681"/>
      <c r="I560" s="682"/>
      <c r="J560" s="10"/>
      <c r="K560" s="24">
        <f t="shared" ref="K560:N561" si="89">K561</f>
        <v>64675.099999999991</v>
      </c>
      <c r="L560" s="24">
        <f t="shared" si="89"/>
        <v>0</v>
      </c>
      <c r="M560" s="24">
        <f t="shared" si="89"/>
        <v>64675.099999999991</v>
      </c>
      <c r="N560" s="24">
        <f t="shared" si="89"/>
        <v>66176.900000000009</v>
      </c>
    </row>
    <row r="561" spans="1:14" s="7" customFormat="1" ht="54" x14ac:dyDescent="0.35">
      <c r="A561" s="11"/>
      <c r="B561" s="525" t="s">
        <v>230</v>
      </c>
      <c r="C561" s="23" t="s">
        <v>294</v>
      </c>
      <c r="D561" s="10" t="s">
        <v>104</v>
      </c>
      <c r="E561" s="10" t="s">
        <v>52</v>
      </c>
      <c r="F561" s="680" t="s">
        <v>79</v>
      </c>
      <c r="G561" s="681" t="s">
        <v>42</v>
      </c>
      <c r="H561" s="681" t="s">
        <v>43</v>
      </c>
      <c r="I561" s="682" t="s">
        <v>44</v>
      </c>
      <c r="J561" s="10"/>
      <c r="K561" s="24">
        <f t="shared" si="89"/>
        <v>64675.099999999991</v>
      </c>
      <c r="L561" s="24">
        <f t="shared" si="89"/>
        <v>0</v>
      </c>
      <c r="M561" s="24">
        <f t="shared" si="89"/>
        <v>64675.099999999991</v>
      </c>
      <c r="N561" s="24">
        <f t="shared" si="89"/>
        <v>66176.900000000009</v>
      </c>
    </row>
    <row r="562" spans="1:14" s="7" customFormat="1" ht="36" x14ac:dyDescent="0.35">
      <c r="A562" s="11"/>
      <c r="B562" s="518" t="s">
        <v>339</v>
      </c>
      <c r="C562" s="23" t="s">
        <v>294</v>
      </c>
      <c r="D562" s="10" t="s">
        <v>104</v>
      </c>
      <c r="E562" s="10" t="s">
        <v>52</v>
      </c>
      <c r="F562" s="680" t="s">
        <v>79</v>
      </c>
      <c r="G562" s="681" t="s">
        <v>45</v>
      </c>
      <c r="H562" s="681" t="s">
        <v>43</v>
      </c>
      <c r="I562" s="682" t="s">
        <v>44</v>
      </c>
      <c r="J562" s="10"/>
      <c r="K562" s="24">
        <f>K563+K576</f>
        <v>64675.099999999991</v>
      </c>
      <c r="L562" s="24">
        <f>L563+L576</f>
        <v>0</v>
      </c>
      <c r="M562" s="24">
        <f>M563+M576</f>
        <v>64675.099999999991</v>
      </c>
      <c r="N562" s="24">
        <f>N563+N576</f>
        <v>66176.900000000009</v>
      </c>
    </row>
    <row r="563" spans="1:14" s="121" customFormat="1" ht="36" x14ac:dyDescent="0.35">
      <c r="A563" s="11"/>
      <c r="B563" s="518" t="s">
        <v>285</v>
      </c>
      <c r="C563" s="23" t="s">
        <v>294</v>
      </c>
      <c r="D563" s="10" t="s">
        <v>104</v>
      </c>
      <c r="E563" s="10" t="s">
        <v>52</v>
      </c>
      <c r="F563" s="680" t="s">
        <v>79</v>
      </c>
      <c r="G563" s="681" t="s">
        <v>45</v>
      </c>
      <c r="H563" s="681" t="s">
        <v>37</v>
      </c>
      <c r="I563" s="682" t="s">
        <v>44</v>
      </c>
      <c r="J563" s="10"/>
      <c r="K563" s="24">
        <f>K564+K567+K570+K573</f>
        <v>64669.899999999994</v>
      </c>
      <c r="L563" s="24">
        <f>L564+L567+L570+L573</f>
        <v>0</v>
      </c>
      <c r="M563" s="24">
        <f>M564+M567+M570+M573</f>
        <v>64669.899999999994</v>
      </c>
      <c r="N563" s="24">
        <f>N564+N567+N570+N573</f>
        <v>66171.700000000012</v>
      </c>
    </row>
    <row r="564" spans="1:14" s="121" customFormat="1" ht="144" x14ac:dyDescent="0.35">
      <c r="A564" s="11"/>
      <c r="B564" s="593" t="s">
        <v>357</v>
      </c>
      <c r="C564" s="23" t="s">
        <v>294</v>
      </c>
      <c r="D564" s="10" t="s">
        <v>104</v>
      </c>
      <c r="E564" s="10" t="s">
        <v>52</v>
      </c>
      <c r="F564" s="680" t="s">
        <v>79</v>
      </c>
      <c r="G564" s="681" t="s">
        <v>45</v>
      </c>
      <c r="H564" s="681" t="s">
        <v>37</v>
      </c>
      <c r="I564" s="682" t="s">
        <v>544</v>
      </c>
      <c r="J564" s="10"/>
      <c r="K564" s="24">
        <f>SUM(K565:K566)</f>
        <v>37153.799999999996</v>
      </c>
      <c r="L564" s="24">
        <f>SUM(L565:L566)</f>
        <v>0</v>
      </c>
      <c r="M564" s="24">
        <f>SUM(M565:M566)</f>
        <v>37153.799999999996</v>
      </c>
      <c r="N564" s="24">
        <f>SUM(N565:N566)</f>
        <v>38640.6</v>
      </c>
    </row>
    <row r="565" spans="1:14" s="121" customFormat="1" ht="54" x14ac:dyDescent="0.35">
      <c r="A565" s="11"/>
      <c r="B565" s="518" t="s">
        <v>55</v>
      </c>
      <c r="C565" s="23" t="s">
        <v>294</v>
      </c>
      <c r="D565" s="10" t="s">
        <v>104</v>
      </c>
      <c r="E565" s="10" t="s">
        <v>52</v>
      </c>
      <c r="F565" s="680" t="s">
        <v>79</v>
      </c>
      <c r="G565" s="681" t="s">
        <v>45</v>
      </c>
      <c r="H565" s="681" t="s">
        <v>37</v>
      </c>
      <c r="I565" s="682" t="s">
        <v>544</v>
      </c>
      <c r="J565" s="10" t="s">
        <v>56</v>
      </c>
      <c r="K565" s="24">
        <v>185.7</v>
      </c>
      <c r="L565" s="24">
        <f>M565-K565</f>
        <v>0</v>
      </c>
      <c r="M565" s="24">
        <v>185.7</v>
      </c>
      <c r="N565" s="24">
        <v>193.2</v>
      </c>
    </row>
    <row r="566" spans="1:14" s="121" customFormat="1" ht="36" x14ac:dyDescent="0.35">
      <c r="A566" s="11"/>
      <c r="B566" s="518" t="s">
        <v>120</v>
      </c>
      <c r="C566" s="23" t="s">
        <v>294</v>
      </c>
      <c r="D566" s="10" t="s">
        <v>104</v>
      </c>
      <c r="E566" s="10" t="s">
        <v>52</v>
      </c>
      <c r="F566" s="680" t="s">
        <v>79</v>
      </c>
      <c r="G566" s="681" t="s">
        <v>45</v>
      </c>
      <c r="H566" s="681" t="s">
        <v>37</v>
      </c>
      <c r="I566" s="682" t="s">
        <v>544</v>
      </c>
      <c r="J566" s="10" t="s">
        <v>121</v>
      </c>
      <c r="K566" s="24">
        <v>36968.1</v>
      </c>
      <c r="L566" s="24">
        <f>M566-K566</f>
        <v>0</v>
      </c>
      <c r="M566" s="24">
        <v>36968.1</v>
      </c>
      <c r="N566" s="24">
        <v>38447.4</v>
      </c>
    </row>
    <row r="567" spans="1:14" s="121" customFormat="1" ht="90" x14ac:dyDescent="0.35">
      <c r="A567" s="11"/>
      <c r="B567" s="518" t="s">
        <v>359</v>
      </c>
      <c r="C567" s="23" t="s">
        <v>294</v>
      </c>
      <c r="D567" s="10" t="s">
        <v>104</v>
      </c>
      <c r="E567" s="10" t="s">
        <v>52</v>
      </c>
      <c r="F567" s="680" t="s">
        <v>79</v>
      </c>
      <c r="G567" s="681" t="s">
        <v>45</v>
      </c>
      <c r="H567" s="681" t="s">
        <v>37</v>
      </c>
      <c r="I567" s="682" t="s">
        <v>546</v>
      </c>
      <c r="J567" s="10"/>
      <c r="K567" s="24">
        <f>SUM(K568:K569)</f>
        <v>375.7</v>
      </c>
      <c r="L567" s="24">
        <f>SUM(L568:L569)</f>
        <v>0</v>
      </c>
      <c r="M567" s="24">
        <f>SUM(M568:M569)</f>
        <v>375.7</v>
      </c>
      <c r="N567" s="24">
        <f>SUM(N568:N569)</f>
        <v>390.7</v>
      </c>
    </row>
    <row r="568" spans="1:14" s="121" customFormat="1" ht="54" x14ac:dyDescent="0.35">
      <c r="A568" s="11"/>
      <c r="B568" s="518" t="s">
        <v>55</v>
      </c>
      <c r="C568" s="23" t="s">
        <v>294</v>
      </c>
      <c r="D568" s="10" t="s">
        <v>104</v>
      </c>
      <c r="E568" s="10" t="s">
        <v>52</v>
      </c>
      <c r="F568" s="680" t="s">
        <v>79</v>
      </c>
      <c r="G568" s="681" t="s">
        <v>45</v>
      </c>
      <c r="H568" s="681" t="s">
        <v>37</v>
      </c>
      <c r="I568" s="682" t="s">
        <v>546</v>
      </c>
      <c r="J568" s="10" t="s">
        <v>56</v>
      </c>
      <c r="K568" s="24">
        <v>1.9</v>
      </c>
      <c r="L568" s="24">
        <f>M568-K568</f>
        <v>0</v>
      </c>
      <c r="M568" s="24">
        <v>1.9</v>
      </c>
      <c r="N568" s="24">
        <v>1.9</v>
      </c>
    </row>
    <row r="569" spans="1:14" s="121" customFormat="1" ht="36" x14ac:dyDescent="0.35">
      <c r="A569" s="11"/>
      <c r="B569" s="518" t="s">
        <v>120</v>
      </c>
      <c r="C569" s="23" t="s">
        <v>294</v>
      </c>
      <c r="D569" s="10" t="s">
        <v>104</v>
      </c>
      <c r="E569" s="10" t="s">
        <v>52</v>
      </c>
      <c r="F569" s="680" t="s">
        <v>79</v>
      </c>
      <c r="G569" s="681" t="s">
        <v>45</v>
      </c>
      <c r="H569" s="681" t="s">
        <v>37</v>
      </c>
      <c r="I569" s="682" t="s">
        <v>546</v>
      </c>
      <c r="J569" s="10" t="s">
        <v>121</v>
      </c>
      <c r="K569" s="24">
        <v>373.8</v>
      </c>
      <c r="L569" s="24">
        <f>M569-K569</f>
        <v>0</v>
      </c>
      <c r="M569" s="24">
        <v>373.8</v>
      </c>
      <c r="N569" s="24">
        <v>388.8</v>
      </c>
    </row>
    <row r="570" spans="1:14" s="121" customFormat="1" ht="90" x14ac:dyDescent="0.35">
      <c r="A570" s="11"/>
      <c r="B570" s="518" t="s">
        <v>358</v>
      </c>
      <c r="C570" s="23" t="s">
        <v>294</v>
      </c>
      <c r="D570" s="10" t="s">
        <v>104</v>
      </c>
      <c r="E570" s="10" t="s">
        <v>52</v>
      </c>
      <c r="F570" s="680" t="s">
        <v>79</v>
      </c>
      <c r="G570" s="681" t="s">
        <v>45</v>
      </c>
      <c r="H570" s="681" t="s">
        <v>37</v>
      </c>
      <c r="I570" s="682" t="s">
        <v>545</v>
      </c>
      <c r="J570" s="10"/>
      <c r="K570" s="24">
        <f>SUM(K571:K572)</f>
        <v>26783.300000000003</v>
      </c>
      <c r="L570" s="24">
        <f>SUM(L571:L572)</f>
        <v>0</v>
      </c>
      <c r="M570" s="24">
        <f>SUM(M571:M572)</f>
        <v>26783.300000000003</v>
      </c>
      <c r="N570" s="24">
        <f>SUM(N571:N572)</f>
        <v>26783.300000000003</v>
      </c>
    </row>
    <row r="571" spans="1:14" s="121" customFormat="1" ht="54" x14ac:dyDescent="0.35">
      <c r="A571" s="11"/>
      <c r="B571" s="518" t="s">
        <v>55</v>
      </c>
      <c r="C571" s="23" t="s">
        <v>294</v>
      </c>
      <c r="D571" s="10" t="s">
        <v>104</v>
      </c>
      <c r="E571" s="10" t="s">
        <v>52</v>
      </c>
      <c r="F571" s="680" t="s">
        <v>79</v>
      </c>
      <c r="G571" s="681" t="s">
        <v>45</v>
      </c>
      <c r="H571" s="681" t="s">
        <v>37</v>
      </c>
      <c r="I571" s="682" t="s">
        <v>545</v>
      </c>
      <c r="J571" s="10" t="s">
        <v>56</v>
      </c>
      <c r="K571" s="24">
        <v>133.9</v>
      </c>
      <c r="L571" s="24">
        <f>M571-K571</f>
        <v>0</v>
      </c>
      <c r="M571" s="24">
        <v>133.9</v>
      </c>
      <c r="N571" s="24">
        <v>133.9</v>
      </c>
    </row>
    <row r="572" spans="1:14" s="121" customFormat="1" ht="36" x14ac:dyDescent="0.35">
      <c r="A572" s="11"/>
      <c r="B572" s="518" t="s">
        <v>120</v>
      </c>
      <c r="C572" s="23" t="s">
        <v>294</v>
      </c>
      <c r="D572" s="10" t="s">
        <v>104</v>
      </c>
      <c r="E572" s="10" t="s">
        <v>52</v>
      </c>
      <c r="F572" s="680" t="s">
        <v>79</v>
      </c>
      <c r="G572" s="681" t="s">
        <v>45</v>
      </c>
      <c r="H572" s="681" t="s">
        <v>37</v>
      </c>
      <c r="I572" s="682" t="s">
        <v>545</v>
      </c>
      <c r="J572" s="10" t="s">
        <v>121</v>
      </c>
      <c r="K572" s="24">
        <v>26649.4</v>
      </c>
      <c r="L572" s="24">
        <f>M572-K572</f>
        <v>0</v>
      </c>
      <c r="M572" s="24">
        <v>26649.4</v>
      </c>
      <c r="N572" s="24">
        <v>26649.4</v>
      </c>
    </row>
    <row r="573" spans="1:14" s="121" customFormat="1" ht="108" x14ac:dyDescent="0.35">
      <c r="A573" s="11"/>
      <c r="B573" s="518" t="s">
        <v>365</v>
      </c>
      <c r="C573" s="23" t="s">
        <v>294</v>
      </c>
      <c r="D573" s="10" t="s">
        <v>104</v>
      </c>
      <c r="E573" s="10" t="s">
        <v>52</v>
      </c>
      <c r="F573" s="680" t="s">
        <v>79</v>
      </c>
      <c r="G573" s="681" t="s">
        <v>45</v>
      </c>
      <c r="H573" s="681" t="s">
        <v>37</v>
      </c>
      <c r="I573" s="682" t="s">
        <v>547</v>
      </c>
      <c r="J573" s="10"/>
      <c r="K573" s="24">
        <f>SUM(K574:K575)</f>
        <v>357.1</v>
      </c>
      <c r="L573" s="24">
        <f>SUM(L574:L575)</f>
        <v>0</v>
      </c>
      <c r="M573" s="24">
        <f>SUM(M574:M575)</f>
        <v>357.1</v>
      </c>
      <c r="N573" s="24">
        <f>SUM(N574:N575)</f>
        <v>357.1</v>
      </c>
    </row>
    <row r="574" spans="1:14" s="121" customFormat="1" ht="54" x14ac:dyDescent="0.35">
      <c r="A574" s="11"/>
      <c r="B574" s="518" t="s">
        <v>55</v>
      </c>
      <c r="C574" s="23" t="s">
        <v>294</v>
      </c>
      <c r="D574" s="10" t="s">
        <v>104</v>
      </c>
      <c r="E574" s="10" t="s">
        <v>52</v>
      </c>
      <c r="F574" s="680" t="s">
        <v>79</v>
      </c>
      <c r="G574" s="681" t="s">
        <v>45</v>
      </c>
      <c r="H574" s="681" t="s">
        <v>37</v>
      </c>
      <c r="I574" s="682" t="s">
        <v>547</v>
      </c>
      <c r="J574" s="10" t="s">
        <v>56</v>
      </c>
      <c r="K574" s="24">
        <v>1.8</v>
      </c>
      <c r="L574" s="24">
        <f>M574-K574</f>
        <v>0</v>
      </c>
      <c r="M574" s="24">
        <v>1.8</v>
      </c>
      <c r="N574" s="24">
        <v>1.8</v>
      </c>
    </row>
    <row r="575" spans="1:14" s="121" customFormat="1" ht="36" x14ac:dyDescent="0.35">
      <c r="A575" s="11"/>
      <c r="B575" s="518" t="s">
        <v>120</v>
      </c>
      <c r="C575" s="23" t="s">
        <v>294</v>
      </c>
      <c r="D575" s="10" t="s">
        <v>104</v>
      </c>
      <c r="E575" s="10" t="s">
        <v>52</v>
      </c>
      <c r="F575" s="680" t="s">
        <v>79</v>
      </c>
      <c r="G575" s="681" t="s">
        <v>45</v>
      </c>
      <c r="H575" s="681" t="s">
        <v>37</v>
      </c>
      <c r="I575" s="682" t="s">
        <v>547</v>
      </c>
      <c r="J575" s="10" t="s">
        <v>121</v>
      </c>
      <c r="K575" s="24">
        <v>355.3</v>
      </c>
      <c r="L575" s="24">
        <f>M575-K575</f>
        <v>0</v>
      </c>
      <c r="M575" s="24">
        <v>355.3</v>
      </c>
      <c r="N575" s="24">
        <v>355.3</v>
      </c>
    </row>
    <row r="576" spans="1:14" s="121" customFormat="1" ht="90" x14ac:dyDescent="0.35">
      <c r="A576" s="11"/>
      <c r="B576" s="518" t="s">
        <v>300</v>
      </c>
      <c r="C576" s="23" t="s">
        <v>294</v>
      </c>
      <c r="D576" s="10" t="s">
        <v>104</v>
      </c>
      <c r="E576" s="10" t="s">
        <v>52</v>
      </c>
      <c r="F576" s="680" t="s">
        <v>79</v>
      </c>
      <c r="G576" s="681" t="s">
        <v>45</v>
      </c>
      <c r="H576" s="681" t="s">
        <v>39</v>
      </c>
      <c r="I576" s="682" t="s">
        <v>44</v>
      </c>
      <c r="J576" s="10"/>
      <c r="K576" s="24">
        <f t="shared" ref="K576:N577" si="90">K577</f>
        <v>5.2</v>
      </c>
      <c r="L576" s="24">
        <f t="shared" si="90"/>
        <v>0</v>
      </c>
      <c r="M576" s="24">
        <f t="shared" si="90"/>
        <v>5.2</v>
      </c>
      <c r="N576" s="24">
        <f t="shared" si="90"/>
        <v>5.2</v>
      </c>
    </row>
    <row r="577" spans="1:14" s="121" customFormat="1" ht="198" x14ac:dyDescent="0.35">
      <c r="A577" s="11"/>
      <c r="B577" s="518" t="s">
        <v>731</v>
      </c>
      <c r="C577" s="23" t="s">
        <v>294</v>
      </c>
      <c r="D577" s="10" t="s">
        <v>104</v>
      </c>
      <c r="E577" s="10" t="s">
        <v>52</v>
      </c>
      <c r="F577" s="680" t="s">
        <v>79</v>
      </c>
      <c r="G577" s="681" t="s">
        <v>45</v>
      </c>
      <c r="H577" s="681" t="s">
        <v>39</v>
      </c>
      <c r="I577" s="682" t="s">
        <v>602</v>
      </c>
      <c r="J577" s="10"/>
      <c r="K577" s="24">
        <f t="shared" si="90"/>
        <v>5.2</v>
      </c>
      <c r="L577" s="24">
        <f t="shared" si="90"/>
        <v>0</v>
      </c>
      <c r="M577" s="24">
        <f t="shared" si="90"/>
        <v>5.2</v>
      </c>
      <c r="N577" s="24">
        <f t="shared" si="90"/>
        <v>5.2</v>
      </c>
    </row>
    <row r="578" spans="1:14" s="121" customFormat="1" ht="36" x14ac:dyDescent="0.35">
      <c r="A578" s="11"/>
      <c r="B578" s="518" t="s">
        <v>120</v>
      </c>
      <c r="C578" s="23" t="s">
        <v>294</v>
      </c>
      <c r="D578" s="10" t="s">
        <v>104</v>
      </c>
      <c r="E578" s="10" t="s">
        <v>52</v>
      </c>
      <c r="F578" s="680" t="s">
        <v>79</v>
      </c>
      <c r="G578" s="681" t="s">
        <v>45</v>
      </c>
      <c r="H578" s="681" t="s">
        <v>39</v>
      </c>
      <c r="I578" s="682" t="s">
        <v>602</v>
      </c>
      <c r="J578" s="10" t="s">
        <v>121</v>
      </c>
      <c r="K578" s="24">
        <v>5.2</v>
      </c>
      <c r="L578" s="24">
        <f>M578-K578</f>
        <v>0</v>
      </c>
      <c r="M578" s="24">
        <v>5.2</v>
      </c>
      <c r="N578" s="24">
        <v>5.2</v>
      </c>
    </row>
    <row r="579" spans="1:14" s="7" customFormat="1" ht="36" x14ac:dyDescent="0.35">
      <c r="A579" s="11"/>
      <c r="B579" s="518" t="s">
        <v>296</v>
      </c>
      <c r="C579" s="23" t="s">
        <v>294</v>
      </c>
      <c r="D579" s="10" t="s">
        <v>104</v>
      </c>
      <c r="E579" s="10" t="s">
        <v>81</v>
      </c>
      <c r="F579" s="680"/>
      <c r="G579" s="681"/>
      <c r="H579" s="681"/>
      <c r="I579" s="682"/>
      <c r="J579" s="10"/>
      <c r="K579" s="24">
        <f t="shared" ref="K579:N581" si="91">K580</f>
        <v>8933.2000000000007</v>
      </c>
      <c r="L579" s="24">
        <f t="shared" si="91"/>
        <v>0</v>
      </c>
      <c r="M579" s="24">
        <f t="shared" si="91"/>
        <v>8933.2000000000007</v>
      </c>
      <c r="N579" s="24">
        <f t="shared" si="91"/>
        <v>8933.2000000000007</v>
      </c>
    </row>
    <row r="580" spans="1:14" s="7" customFormat="1" ht="54" x14ac:dyDescent="0.35">
      <c r="A580" s="11"/>
      <c r="B580" s="525" t="s">
        <v>230</v>
      </c>
      <c r="C580" s="23" t="s">
        <v>294</v>
      </c>
      <c r="D580" s="10" t="s">
        <v>104</v>
      </c>
      <c r="E580" s="10" t="s">
        <v>81</v>
      </c>
      <c r="F580" s="680" t="s">
        <v>79</v>
      </c>
      <c r="G580" s="681" t="s">
        <v>42</v>
      </c>
      <c r="H580" s="681" t="s">
        <v>43</v>
      </c>
      <c r="I580" s="682" t="s">
        <v>44</v>
      </c>
      <c r="J580" s="10"/>
      <c r="K580" s="24">
        <f t="shared" si="91"/>
        <v>8933.2000000000007</v>
      </c>
      <c r="L580" s="24">
        <f t="shared" si="91"/>
        <v>0</v>
      </c>
      <c r="M580" s="24">
        <f t="shared" si="91"/>
        <v>8933.2000000000007</v>
      </c>
      <c r="N580" s="24">
        <f t="shared" si="91"/>
        <v>8933.2000000000007</v>
      </c>
    </row>
    <row r="581" spans="1:14" s="7" customFormat="1" ht="36" x14ac:dyDescent="0.35">
      <c r="A581" s="11"/>
      <c r="B581" s="518" t="s">
        <v>339</v>
      </c>
      <c r="C581" s="23" t="s">
        <v>294</v>
      </c>
      <c r="D581" s="10" t="s">
        <v>104</v>
      </c>
      <c r="E581" s="10" t="s">
        <v>81</v>
      </c>
      <c r="F581" s="680" t="s">
        <v>79</v>
      </c>
      <c r="G581" s="681" t="s">
        <v>45</v>
      </c>
      <c r="H581" s="681" t="s">
        <v>43</v>
      </c>
      <c r="I581" s="682" t="s">
        <v>44</v>
      </c>
      <c r="J581" s="10"/>
      <c r="K581" s="24">
        <f t="shared" si="91"/>
        <v>8933.2000000000007</v>
      </c>
      <c r="L581" s="24">
        <f t="shared" si="91"/>
        <v>0</v>
      </c>
      <c r="M581" s="24">
        <f t="shared" si="91"/>
        <v>8933.2000000000007</v>
      </c>
      <c r="N581" s="24">
        <f t="shared" si="91"/>
        <v>8933.2000000000007</v>
      </c>
    </row>
    <row r="582" spans="1:14" s="121" customFormat="1" ht="36" x14ac:dyDescent="0.35">
      <c r="A582" s="11"/>
      <c r="B582" s="518" t="s">
        <v>229</v>
      </c>
      <c r="C582" s="23" t="s">
        <v>294</v>
      </c>
      <c r="D582" s="10" t="s">
        <v>104</v>
      </c>
      <c r="E582" s="10" t="s">
        <v>81</v>
      </c>
      <c r="F582" s="680" t="s">
        <v>79</v>
      </c>
      <c r="G582" s="681" t="s">
        <v>45</v>
      </c>
      <c r="H582" s="681" t="s">
        <v>63</v>
      </c>
      <c r="I582" s="682" t="s">
        <v>44</v>
      </c>
      <c r="J582" s="10"/>
      <c r="K582" s="24">
        <f>K583+K586+K589</f>
        <v>8933.2000000000007</v>
      </c>
      <c r="L582" s="24">
        <f>L583+L586+L589</f>
        <v>0</v>
      </c>
      <c r="M582" s="24">
        <f>M583+M586+M589</f>
        <v>8933.2000000000007</v>
      </c>
      <c r="N582" s="24">
        <f>N583+N586+N589</f>
        <v>8933.2000000000007</v>
      </c>
    </row>
    <row r="583" spans="1:14" s="121" customFormat="1" ht="252" x14ac:dyDescent="0.35">
      <c r="A583" s="11"/>
      <c r="B583" s="587" t="s">
        <v>232</v>
      </c>
      <c r="C583" s="23" t="s">
        <v>294</v>
      </c>
      <c r="D583" s="10" t="s">
        <v>104</v>
      </c>
      <c r="E583" s="10" t="s">
        <v>81</v>
      </c>
      <c r="F583" s="680" t="s">
        <v>79</v>
      </c>
      <c r="G583" s="681" t="s">
        <v>45</v>
      </c>
      <c r="H583" s="681" t="s">
        <v>63</v>
      </c>
      <c r="I583" s="682" t="s">
        <v>548</v>
      </c>
      <c r="J583" s="10"/>
      <c r="K583" s="24">
        <f>K584+K585</f>
        <v>1017.2</v>
      </c>
      <c r="L583" s="24">
        <f>L584+L585</f>
        <v>0</v>
      </c>
      <c r="M583" s="24">
        <f>M584+M585</f>
        <v>1017.2</v>
      </c>
      <c r="N583" s="24">
        <f>N584+N585</f>
        <v>1017.2</v>
      </c>
    </row>
    <row r="584" spans="1:14" s="121" customFormat="1" ht="108" x14ac:dyDescent="0.35">
      <c r="A584" s="11"/>
      <c r="B584" s="518" t="s">
        <v>49</v>
      </c>
      <c r="C584" s="23" t="s">
        <v>294</v>
      </c>
      <c r="D584" s="10" t="s">
        <v>104</v>
      </c>
      <c r="E584" s="10" t="s">
        <v>81</v>
      </c>
      <c r="F584" s="680" t="s">
        <v>79</v>
      </c>
      <c r="G584" s="681" t="s">
        <v>45</v>
      </c>
      <c r="H584" s="681" t="s">
        <v>63</v>
      </c>
      <c r="I584" s="682" t="s">
        <v>548</v>
      </c>
      <c r="J584" s="10" t="s">
        <v>50</v>
      </c>
      <c r="K584" s="24">
        <v>855.2</v>
      </c>
      <c r="L584" s="24">
        <f>M584-K584</f>
        <v>0</v>
      </c>
      <c r="M584" s="24">
        <v>855.2</v>
      </c>
      <c r="N584" s="24">
        <v>855.2</v>
      </c>
    </row>
    <row r="585" spans="1:14" s="121" customFormat="1" ht="54" x14ac:dyDescent="0.35">
      <c r="A585" s="11"/>
      <c r="B585" s="518" t="s">
        <v>55</v>
      </c>
      <c r="C585" s="23" t="s">
        <v>294</v>
      </c>
      <c r="D585" s="10" t="s">
        <v>104</v>
      </c>
      <c r="E585" s="10" t="s">
        <v>81</v>
      </c>
      <c r="F585" s="680" t="s">
        <v>79</v>
      </c>
      <c r="G585" s="681" t="s">
        <v>45</v>
      </c>
      <c r="H585" s="681" t="s">
        <v>63</v>
      </c>
      <c r="I585" s="682" t="s">
        <v>548</v>
      </c>
      <c r="J585" s="10" t="s">
        <v>56</v>
      </c>
      <c r="K585" s="24">
        <v>162</v>
      </c>
      <c r="L585" s="24">
        <f>M585-K585</f>
        <v>0</v>
      </c>
      <c r="M585" s="24">
        <v>162</v>
      </c>
      <c r="N585" s="24">
        <v>162</v>
      </c>
    </row>
    <row r="586" spans="1:14" s="121" customFormat="1" ht="108" x14ac:dyDescent="0.35">
      <c r="A586" s="11"/>
      <c r="B586" s="518" t="s">
        <v>461</v>
      </c>
      <c r="C586" s="23" t="s">
        <v>294</v>
      </c>
      <c r="D586" s="10" t="s">
        <v>104</v>
      </c>
      <c r="E586" s="10" t="s">
        <v>81</v>
      </c>
      <c r="F586" s="680" t="s">
        <v>79</v>
      </c>
      <c r="G586" s="681" t="s">
        <v>45</v>
      </c>
      <c r="H586" s="681" t="s">
        <v>63</v>
      </c>
      <c r="I586" s="682" t="s">
        <v>542</v>
      </c>
      <c r="J586" s="10"/>
      <c r="K586" s="24">
        <f>K587+K588</f>
        <v>749.3</v>
      </c>
      <c r="L586" s="24">
        <f>L587+L588</f>
        <v>0</v>
      </c>
      <c r="M586" s="24">
        <f>M587+M588</f>
        <v>749.3</v>
      </c>
      <c r="N586" s="24">
        <f>N587+N588</f>
        <v>749.3</v>
      </c>
    </row>
    <row r="587" spans="1:14" s="121" customFormat="1" ht="108" x14ac:dyDescent="0.35">
      <c r="A587" s="11"/>
      <c r="B587" s="518" t="s">
        <v>49</v>
      </c>
      <c r="C587" s="23" t="s">
        <v>294</v>
      </c>
      <c r="D587" s="10" t="s">
        <v>104</v>
      </c>
      <c r="E587" s="10" t="s">
        <v>81</v>
      </c>
      <c r="F587" s="680" t="s">
        <v>79</v>
      </c>
      <c r="G587" s="681" t="s">
        <v>45</v>
      </c>
      <c r="H587" s="681" t="s">
        <v>63</v>
      </c>
      <c r="I587" s="682" t="s">
        <v>542</v>
      </c>
      <c r="J587" s="10" t="s">
        <v>50</v>
      </c>
      <c r="K587" s="24">
        <v>668.3</v>
      </c>
      <c r="L587" s="24">
        <f>M587-K587</f>
        <v>0</v>
      </c>
      <c r="M587" s="24">
        <v>668.3</v>
      </c>
      <c r="N587" s="24">
        <v>668.3</v>
      </c>
    </row>
    <row r="588" spans="1:14" s="121" customFormat="1" ht="54" x14ac:dyDescent="0.35">
      <c r="A588" s="11"/>
      <c r="B588" s="518" t="s">
        <v>55</v>
      </c>
      <c r="C588" s="23" t="s">
        <v>294</v>
      </c>
      <c r="D588" s="10" t="s">
        <v>104</v>
      </c>
      <c r="E588" s="10" t="s">
        <v>81</v>
      </c>
      <c r="F588" s="680" t="s">
        <v>79</v>
      </c>
      <c r="G588" s="681" t="s">
        <v>45</v>
      </c>
      <c r="H588" s="681" t="s">
        <v>63</v>
      </c>
      <c r="I588" s="682" t="s">
        <v>542</v>
      </c>
      <c r="J588" s="10" t="s">
        <v>56</v>
      </c>
      <c r="K588" s="24">
        <v>81</v>
      </c>
      <c r="L588" s="24">
        <f>M588-K588</f>
        <v>0</v>
      </c>
      <c r="M588" s="24">
        <v>81</v>
      </c>
      <c r="N588" s="24">
        <v>81</v>
      </c>
    </row>
    <row r="589" spans="1:14" s="121" customFormat="1" ht="72" x14ac:dyDescent="0.35">
      <c r="A589" s="11"/>
      <c r="B589" s="518" t="s">
        <v>231</v>
      </c>
      <c r="C589" s="23" t="s">
        <v>294</v>
      </c>
      <c r="D589" s="10" t="s">
        <v>104</v>
      </c>
      <c r="E589" s="10" t="s">
        <v>81</v>
      </c>
      <c r="F589" s="680" t="s">
        <v>79</v>
      </c>
      <c r="G589" s="681" t="s">
        <v>45</v>
      </c>
      <c r="H589" s="681" t="s">
        <v>63</v>
      </c>
      <c r="I589" s="682" t="s">
        <v>543</v>
      </c>
      <c r="J589" s="10"/>
      <c r="K589" s="24">
        <f>K590+K591</f>
        <v>7166.7</v>
      </c>
      <c r="L589" s="24">
        <f>L590+L591</f>
        <v>0</v>
      </c>
      <c r="M589" s="24">
        <f>M590+M591</f>
        <v>7166.7</v>
      </c>
      <c r="N589" s="24">
        <f>N590+N591</f>
        <v>7166.7</v>
      </c>
    </row>
    <row r="590" spans="1:14" s="121" customFormat="1" ht="108" x14ac:dyDescent="0.35">
      <c r="A590" s="11"/>
      <c r="B590" s="518" t="s">
        <v>49</v>
      </c>
      <c r="C590" s="23" t="s">
        <v>294</v>
      </c>
      <c r="D590" s="10" t="s">
        <v>104</v>
      </c>
      <c r="E590" s="10" t="s">
        <v>81</v>
      </c>
      <c r="F590" s="680" t="s">
        <v>79</v>
      </c>
      <c r="G590" s="681" t="s">
        <v>45</v>
      </c>
      <c r="H590" s="681" t="s">
        <v>63</v>
      </c>
      <c r="I590" s="682" t="s">
        <v>543</v>
      </c>
      <c r="J590" s="10" t="s">
        <v>50</v>
      </c>
      <c r="K590" s="24">
        <v>6437.7</v>
      </c>
      <c r="L590" s="24">
        <f>M590-K590</f>
        <v>0</v>
      </c>
      <c r="M590" s="24">
        <v>6437.7</v>
      </c>
      <c r="N590" s="24">
        <v>6437.7</v>
      </c>
    </row>
    <row r="591" spans="1:14" s="121" customFormat="1" ht="54" x14ac:dyDescent="0.35">
      <c r="A591" s="11"/>
      <c r="B591" s="518" t="s">
        <v>55</v>
      </c>
      <c r="C591" s="23" t="s">
        <v>294</v>
      </c>
      <c r="D591" s="10" t="s">
        <v>104</v>
      </c>
      <c r="E591" s="10" t="s">
        <v>81</v>
      </c>
      <c r="F591" s="443" t="s">
        <v>79</v>
      </c>
      <c r="G591" s="444" t="s">
        <v>45</v>
      </c>
      <c r="H591" s="444" t="s">
        <v>63</v>
      </c>
      <c r="I591" s="445" t="s">
        <v>543</v>
      </c>
      <c r="J591" s="10" t="s">
        <v>56</v>
      </c>
      <c r="K591" s="24">
        <v>729</v>
      </c>
      <c r="L591" s="24">
        <f>M591-K591</f>
        <v>0</v>
      </c>
      <c r="M591" s="24">
        <v>729</v>
      </c>
      <c r="N591" s="24">
        <v>729</v>
      </c>
    </row>
    <row r="592" spans="1:14" s="121" customFormat="1" ht="18" x14ac:dyDescent="0.35">
      <c r="A592" s="120">
        <v>10</v>
      </c>
      <c r="B592" s="598" t="s">
        <v>362</v>
      </c>
      <c r="C592" s="23"/>
      <c r="D592" s="10"/>
      <c r="E592" s="10"/>
      <c r="F592" s="681"/>
      <c r="G592" s="681"/>
      <c r="H592" s="681"/>
      <c r="I592" s="682"/>
      <c r="J592" s="10"/>
      <c r="K592" s="32">
        <f>K593</f>
        <v>34788</v>
      </c>
      <c r="L592" s="32">
        <f>L593</f>
        <v>0</v>
      </c>
      <c r="M592" s="32">
        <f>M593</f>
        <v>34788</v>
      </c>
      <c r="N592" s="32">
        <f>N593</f>
        <v>45416</v>
      </c>
    </row>
    <row r="593" spans="1:14" s="121" customFormat="1" ht="18" x14ac:dyDescent="0.35">
      <c r="A593" s="11"/>
      <c r="B593" s="599" t="s">
        <v>362</v>
      </c>
      <c r="C593" s="23"/>
      <c r="D593" s="10"/>
      <c r="E593" s="10"/>
      <c r="F593" s="681"/>
      <c r="G593" s="681"/>
      <c r="H593" s="681"/>
      <c r="I593" s="682"/>
      <c r="J593" s="10"/>
      <c r="K593" s="24">
        <f>42393.9-7432.8-98.1-75</f>
        <v>34788</v>
      </c>
      <c r="L593" s="24">
        <f>M593-K593</f>
        <v>0</v>
      </c>
      <c r="M593" s="24">
        <f>42393.9-7432.8-98.1-75</f>
        <v>34788</v>
      </c>
      <c r="N593" s="24">
        <f>54870.9-7447.6-1882.9-75-49.4</f>
        <v>45416</v>
      </c>
    </row>
    <row r="596" spans="1:14" s="85" customFormat="1" ht="18" x14ac:dyDescent="0.35">
      <c r="A596" s="674" t="s">
        <v>375</v>
      </c>
      <c r="B596" s="86"/>
      <c r="C596" s="87"/>
      <c r="D596" s="87"/>
      <c r="E596" s="87"/>
      <c r="F596" s="43"/>
      <c r="G596" s="115"/>
      <c r="H596" s="154"/>
    </row>
    <row r="597" spans="1:14" s="85" customFormat="1" ht="18" x14ac:dyDescent="0.35">
      <c r="A597" s="674" t="s">
        <v>376</v>
      </c>
      <c r="B597" s="86"/>
      <c r="C597" s="87"/>
      <c r="D597" s="87"/>
      <c r="E597" s="87"/>
      <c r="F597" s="43"/>
      <c r="G597" s="115"/>
      <c r="H597" s="154"/>
    </row>
    <row r="598" spans="1:14" s="85" customFormat="1" ht="18" x14ac:dyDescent="0.35">
      <c r="A598" s="675" t="s">
        <v>377</v>
      </c>
      <c r="B598" s="86"/>
      <c r="D598" s="87"/>
      <c r="E598" s="87"/>
      <c r="F598" s="43"/>
      <c r="N598" s="116" t="s">
        <v>388</v>
      </c>
    </row>
    <row r="599" spans="1:14" x14ac:dyDescent="0.3">
      <c r="M599" s="122"/>
      <c r="N599" s="122"/>
    </row>
    <row r="600" spans="1:14" s="155" customFormat="1" ht="15.6" x14ac:dyDescent="0.3">
      <c r="M600" s="156"/>
      <c r="N600" s="156"/>
    </row>
    <row r="601" spans="1:14" ht="15.6" hidden="1" x14ac:dyDescent="0.3">
      <c r="B601" s="155" t="s">
        <v>363</v>
      </c>
      <c r="M601" s="683">
        <f>(M16-('прил. 1 (поступл.23-25)'!D39+'прил. 1 (поступл.23-25)'!D40))*2.5%</f>
        <v>21196.907499999998</v>
      </c>
      <c r="N601" s="683">
        <f>(N16-('прил. 1 (поступл.23-25)'!E39+'прил. 1 (поступл.23-25)'!E40))*5%</f>
        <v>44867.470000000016</v>
      </c>
    </row>
    <row r="602" spans="1:14" ht="18" hidden="1" x14ac:dyDescent="0.35">
      <c r="D602" s="28" t="s">
        <v>37</v>
      </c>
      <c r="E602" s="28" t="s">
        <v>39</v>
      </c>
      <c r="F602" s="29"/>
      <c r="G602" s="29"/>
      <c r="H602" s="29"/>
      <c r="I602" s="29"/>
      <c r="J602" s="29"/>
      <c r="K602" s="29"/>
      <c r="L602" s="29"/>
      <c r="M602" s="157">
        <f>M19</f>
        <v>2612.1999999999998</v>
      </c>
      <c r="N602" s="157">
        <f>N19</f>
        <v>2612.1999999999998</v>
      </c>
    </row>
    <row r="603" spans="1:14" ht="18" hidden="1" x14ac:dyDescent="0.35">
      <c r="D603" s="28" t="s">
        <v>37</v>
      </c>
      <c r="E603" s="28" t="s">
        <v>52</v>
      </c>
      <c r="F603" s="29"/>
      <c r="G603" s="29"/>
      <c r="H603" s="29"/>
      <c r="I603" s="29"/>
      <c r="J603" s="29"/>
      <c r="K603" s="29"/>
      <c r="L603" s="29"/>
      <c r="M603" s="157">
        <f>M25</f>
        <v>83362.000000000015</v>
      </c>
      <c r="N603" s="157">
        <f>N25</f>
        <v>83398.000000000015</v>
      </c>
    </row>
    <row r="604" spans="1:14" ht="18" hidden="1" x14ac:dyDescent="0.35">
      <c r="D604" s="28" t="s">
        <v>37</v>
      </c>
      <c r="E604" s="28" t="s">
        <v>65</v>
      </c>
      <c r="F604" s="29"/>
      <c r="G604" s="29"/>
      <c r="H604" s="29"/>
      <c r="I604" s="29"/>
      <c r="J604" s="29"/>
      <c r="K604" s="29"/>
      <c r="L604" s="29"/>
      <c r="M604" s="157">
        <f>M46</f>
        <v>20.3</v>
      </c>
      <c r="N604" s="157">
        <f>N46</f>
        <v>17.7</v>
      </c>
    </row>
    <row r="605" spans="1:14" ht="18" hidden="1" x14ac:dyDescent="0.35">
      <c r="D605" s="28" t="s">
        <v>37</v>
      </c>
      <c r="E605" s="28" t="s">
        <v>81</v>
      </c>
      <c r="F605" s="29"/>
      <c r="G605" s="29"/>
      <c r="H605" s="29"/>
      <c r="I605" s="29"/>
      <c r="J605" s="29"/>
      <c r="K605" s="29"/>
      <c r="L605" s="29"/>
      <c r="M605" s="157">
        <f>M172+M206</f>
        <v>37649.699999999997</v>
      </c>
      <c r="N605" s="157">
        <f>N172+N206</f>
        <v>37650.5</v>
      </c>
    </row>
    <row r="606" spans="1:14" ht="18" hidden="1" x14ac:dyDescent="0.35">
      <c r="D606" s="28" t="s">
        <v>37</v>
      </c>
      <c r="E606" s="28" t="s">
        <v>67</v>
      </c>
      <c r="F606" s="29"/>
      <c r="G606" s="29"/>
      <c r="H606" s="29"/>
      <c r="I606" s="29"/>
      <c r="J606" s="29"/>
      <c r="K606" s="29"/>
      <c r="L606" s="29"/>
      <c r="M606" s="157">
        <f>M52</f>
        <v>29961.8</v>
      </c>
      <c r="N606" s="157">
        <f>N52</f>
        <v>35000</v>
      </c>
    </row>
    <row r="607" spans="1:14" ht="18" hidden="1" x14ac:dyDescent="0.35">
      <c r="D607" s="28" t="s">
        <v>37</v>
      </c>
      <c r="E607" s="28" t="s">
        <v>71</v>
      </c>
      <c r="F607" s="29"/>
      <c r="G607" s="29"/>
      <c r="H607" s="29"/>
      <c r="I607" s="29"/>
      <c r="J607" s="29"/>
      <c r="K607" s="29"/>
      <c r="L607" s="29"/>
      <c r="M607" s="157">
        <f>M216+M180+M528+M57+M415+M472+M284</f>
        <v>71783.685200000007</v>
      </c>
      <c r="N607" s="157">
        <f>N216+N180+N528+N57+N415+N472+N284</f>
        <v>74979.385200000004</v>
      </c>
    </row>
    <row r="608" spans="1:14" ht="18" hidden="1" x14ac:dyDescent="0.35">
      <c r="D608" s="158" t="s">
        <v>37</v>
      </c>
      <c r="E608" s="158" t="s">
        <v>43</v>
      </c>
      <c r="F608" s="29"/>
      <c r="G608" s="29"/>
      <c r="H608" s="29"/>
      <c r="I608" s="29"/>
      <c r="J608" s="29"/>
      <c r="K608" s="29"/>
      <c r="L608" s="29"/>
      <c r="M608" s="159">
        <f>SUBTOTAL(9,M602:M607)</f>
        <v>225389.68520000001</v>
      </c>
      <c r="N608" s="159">
        <f>SUBTOTAL(9,N602:N607)</f>
        <v>233657.78520000004</v>
      </c>
    </row>
    <row r="609" spans="4:14" ht="18" hidden="1" x14ac:dyDescent="0.35">
      <c r="D609" s="28"/>
      <c r="E609" s="28"/>
      <c r="F609" s="29"/>
      <c r="G609" s="29"/>
      <c r="H609" s="29"/>
      <c r="I609" s="29"/>
      <c r="J609" s="29"/>
      <c r="K609" s="29"/>
      <c r="L609" s="29"/>
      <c r="M609" s="157"/>
      <c r="N609" s="157"/>
    </row>
    <row r="610" spans="4:14" ht="18" hidden="1" x14ac:dyDescent="0.35">
      <c r="D610" s="28" t="s">
        <v>63</v>
      </c>
      <c r="E610" s="28" t="s">
        <v>104</v>
      </c>
      <c r="F610" s="29"/>
      <c r="G610" s="29"/>
      <c r="H610" s="29"/>
      <c r="I610" s="29"/>
      <c r="J610" s="29"/>
      <c r="K610" s="29"/>
      <c r="L610" s="29"/>
      <c r="M610" s="157">
        <f>M79</f>
        <v>362.29999999999995</v>
      </c>
      <c r="N610" s="157">
        <f>N79</f>
        <v>362.29999999999995</v>
      </c>
    </row>
    <row r="611" spans="4:14" ht="18" hidden="1" x14ac:dyDescent="0.35">
      <c r="D611" s="28" t="s">
        <v>63</v>
      </c>
      <c r="E611" s="28" t="s">
        <v>88</v>
      </c>
      <c r="F611" s="29"/>
      <c r="G611" s="29"/>
      <c r="H611" s="29"/>
      <c r="I611" s="29"/>
      <c r="J611" s="29"/>
      <c r="K611" s="29"/>
      <c r="L611" s="29"/>
      <c r="M611" s="157">
        <f>M87</f>
        <v>12357.199999999997</v>
      </c>
      <c r="N611" s="157">
        <f>N87</f>
        <v>12358.199999999997</v>
      </c>
    </row>
    <row r="612" spans="4:14" ht="18" hidden="1" x14ac:dyDescent="0.35">
      <c r="D612" s="158" t="s">
        <v>63</v>
      </c>
      <c r="E612" s="158" t="s">
        <v>43</v>
      </c>
      <c r="F612" s="29"/>
      <c r="G612" s="29"/>
      <c r="H612" s="29"/>
      <c r="I612" s="29"/>
      <c r="J612" s="29"/>
      <c r="K612" s="29"/>
      <c r="L612" s="29"/>
      <c r="M612" s="159">
        <f>SUBTOTAL(9,M610:M611)</f>
        <v>12719.499999999996</v>
      </c>
      <c r="N612" s="159">
        <f>SUBTOTAL(9,N610:N611)</f>
        <v>12720.499999999996</v>
      </c>
    </row>
    <row r="613" spans="4:14" ht="18" hidden="1" x14ac:dyDescent="0.35">
      <c r="D613" s="28"/>
      <c r="E613" s="28"/>
      <c r="F613" s="29"/>
      <c r="G613" s="29"/>
      <c r="H613" s="29"/>
      <c r="I613" s="29"/>
      <c r="J613" s="29"/>
      <c r="K613" s="29"/>
      <c r="L613" s="29"/>
      <c r="M613" s="157"/>
      <c r="N613" s="157"/>
    </row>
    <row r="614" spans="4:14" ht="18" hidden="1" x14ac:dyDescent="0.35">
      <c r="D614" s="28" t="s">
        <v>52</v>
      </c>
      <c r="E614" s="28" t="s">
        <v>65</v>
      </c>
      <c r="F614" s="29"/>
      <c r="G614" s="29"/>
      <c r="H614" s="29"/>
      <c r="I614" s="29"/>
      <c r="J614" s="29"/>
      <c r="K614" s="29"/>
      <c r="L614" s="29"/>
      <c r="M614" s="157">
        <f>M107</f>
        <v>19075.7</v>
      </c>
      <c r="N614" s="157">
        <f>N107</f>
        <v>19075.7</v>
      </c>
    </row>
    <row r="615" spans="4:14" ht="18" hidden="1" x14ac:dyDescent="0.35">
      <c r="D615" s="28" t="s">
        <v>52</v>
      </c>
      <c r="E615" s="28" t="s">
        <v>79</v>
      </c>
      <c r="F615" s="29"/>
      <c r="G615" s="29"/>
      <c r="H615" s="29"/>
      <c r="I615" s="29"/>
      <c r="J615" s="29"/>
      <c r="K615" s="29"/>
      <c r="L615" s="29"/>
      <c r="M615" s="157">
        <f>M116</f>
        <v>6181.8</v>
      </c>
      <c r="N615" s="157">
        <f>N116</f>
        <v>6648.8</v>
      </c>
    </row>
    <row r="616" spans="4:14" ht="18" hidden="1" x14ac:dyDescent="0.35">
      <c r="D616" s="28" t="s">
        <v>52</v>
      </c>
      <c r="E616" s="28" t="s">
        <v>100</v>
      </c>
      <c r="F616" s="29"/>
      <c r="G616" s="29"/>
      <c r="H616" s="29"/>
      <c r="I616" s="29"/>
      <c r="J616" s="29"/>
      <c r="K616" s="29"/>
      <c r="L616" s="29"/>
      <c r="M616" s="157">
        <f>M122</f>
        <v>2316.1</v>
      </c>
      <c r="N616" s="157">
        <f>N122</f>
        <v>1116.0999999999999</v>
      </c>
    </row>
    <row r="617" spans="4:14" ht="18" hidden="1" x14ac:dyDescent="0.35">
      <c r="D617" s="158" t="s">
        <v>52</v>
      </c>
      <c r="E617" s="158" t="s">
        <v>43</v>
      </c>
      <c r="F617" s="29"/>
      <c r="G617" s="29"/>
      <c r="H617" s="29"/>
      <c r="I617" s="29"/>
      <c r="J617" s="29"/>
      <c r="K617" s="29"/>
      <c r="L617" s="29"/>
      <c r="M617" s="159">
        <f>SUBTOTAL(9,M614:M616)</f>
        <v>27573.599999999999</v>
      </c>
      <c r="N617" s="159">
        <f>SUBTOTAL(9,N614:N616)</f>
        <v>26840.6</v>
      </c>
    </row>
    <row r="618" spans="4:14" ht="18" hidden="1" x14ac:dyDescent="0.35">
      <c r="D618" s="28"/>
      <c r="E618" s="28"/>
      <c r="F618" s="29"/>
      <c r="G618" s="29"/>
      <c r="H618" s="29"/>
      <c r="I618" s="29"/>
      <c r="J618" s="29"/>
      <c r="K618" s="29"/>
      <c r="L618" s="29"/>
      <c r="M618" s="157"/>
      <c r="N618" s="157"/>
    </row>
    <row r="619" spans="4:14" ht="18" hidden="1" x14ac:dyDescent="0.35">
      <c r="D619" s="28" t="s">
        <v>65</v>
      </c>
      <c r="E619" s="28" t="s">
        <v>37</v>
      </c>
      <c r="F619" s="29"/>
      <c r="G619" s="29"/>
      <c r="H619" s="29"/>
      <c r="I619" s="29"/>
      <c r="J619" s="29"/>
      <c r="K619" s="29"/>
      <c r="L619" s="29"/>
      <c r="M619" s="157"/>
      <c r="N619" s="157"/>
    </row>
    <row r="620" spans="4:14" ht="18" hidden="1" x14ac:dyDescent="0.35">
      <c r="D620" s="28" t="s">
        <v>65</v>
      </c>
      <c r="E620" s="28" t="s">
        <v>39</v>
      </c>
      <c r="F620" s="29"/>
      <c r="G620" s="29"/>
      <c r="H620" s="29"/>
      <c r="I620" s="29"/>
      <c r="J620" s="29"/>
      <c r="K620" s="29"/>
      <c r="L620" s="29"/>
      <c r="M620" s="157">
        <f>M251</f>
        <v>63486.700000000004</v>
      </c>
      <c r="N620" s="157">
        <f>N251</f>
        <v>0</v>
      </c>
    </row>
    <row r="621" spans="4:14" ht="18" hidden="1" x14ac:dyDescent="0.35">
      <c r="D621" s="28" t="s">
        <v>65</v>
      </c>
      <c r="E621" s="28" t="s">
        <v>63</v>
      </c>
      <c r="F621" s="29"/>
      <c r="G621" s="29"/>
      <c r="H621" s="29"/>
      <c r="I621" s="29"/>
      <c r="J621" s="29"/>
      <c r="K621" s="29"/>
      <c r="L621" s="29"/>
      <c r="M621" s="157">
        <f>M143</f>
        <v>5758.6</v>
      </c>
      <c r="N621" s="157">
        <f>N143</f>
        <v>5773.4</v>
      </c>
    </row>
    <row r="622" spans="4:14" ht="18" hidden="1" x14ac:dyDescent="0.35">
      <c r="D622" s="158" t="s">
        <v>65</v>
      </c>
      <c r="E622" s="158" t="s">
        <v>43</v>
      </c>
      <c r="F622" s="29"/>
      <c r="G622" s="29"/>
      <c r="H622" s="29"/>
      <c r="I622" s="29"/>
      <c r="J622" s="29"/>
      <c r="K622" s="29"/>
      <c r="L622" s="29"/>
      <c r="M622" s="159">
        <f>SUBTOTAL(9,M619:M621)</f>
        <v>69245.3</v>
      </c>
      <c r="N622" s="159">
        <f>SUBTOTAL(9,N619:N621)</f>
        <v>5773.4</v>
      </c>
    </row>
    <row r="623" spans="4:14" ht="18" hidden="1" x14ac:dyDescent="0.35">
      <c r="D623" s="28"/>
      <c r="E623" s="28"/>
      <c r="F623" s="29"/>
      <c r="G623" s="29"/>
      <c r="H623" s="29"/>
      <c r="I623" s="29"/>
      <c r="J623" s="29"/>
      <c r="K623" s="29"/>
      <c r="L623" s="29"/>
      <c r="M623" s="157"/>
      <c r="N623" s="157"/>
    </row>
    <row r="624" spans="4:14" ht="18" hidden="1" x14ac:dyDescent="0.35">
      <c r="D624" s="28" t="s">
        <v>224</v>
      </c>
      <c r="E624" s="28" t="s">
        <v>37</v>
      </c>
      <c r="F624" s="29"/>
      <c r="G624" s="29"/>
      <c r="H624" s="29"/>
      <c r="I624" s="29"/>
      <c r="J624" s="29"/>
      <c r="K624" s="29"/>
      <c r="L624" s="29"/>
      <c r="M624" s="157">
        <f>M297+M258</f>
        <v>386488.20000000007</v>
      </c>
      <c r="N624" s="157">
        <f>N297+N258</f>
        <v>399716.60000000003</v>
      </c>
    </row>
    <row r="625" spans="4:14" ht="18" hidden="1" x14ac:dyDescent="0.35">
      <c r="D625" s="28" t="s">
        <v>224</v>
      </c>
      <c r="E625" s="28" t="s">
        <v>39</v>
      </c>
      <c r="F625" s="29"/>
      <c r="G625" s="29"/>
      <c r="H625" s="29"/>
      <c r="I625" s="29"/>
      <c r="J625" s="29"/>
      <c r="K625" s="29"/>
      <c r="L625" s="29"/>
      <c r="M625" s="157">
        <f>M314+M264</f>
        <v>722307.79999999981</v>
      </c>
      <c r="N625" s="157">
        <f>N314+N264</f>
        <v>712311.5</v>
      </c>
    </row>
    <row r="626" spans="4:14" ht="18" hidden="1" x14ac:dyDescent="0.35">
      <c r="D626" s="28" t="s">
        <v>224</v>
      </c>
      <c r="E626" s="28" t="s">
        <v>63</v>
      </c>
      <c r="F626" s="29"/>
      <c r="G626" s="29"/>
      <c r="H626" s="29"/>
      <c r="I626" s="29"/>
      <c r="J626" s="29"/>
      <c r="K626" s="29"/>
      <c r="L626" s="29"/>
      <c r="M626" s="157">
        <f>M365+M422</f>
        <v>130206.39999999999</v>
      </c>
      <c r="N626" s="157">
        <f>N365+N422</f>
        <v>140861.70000000001</v>
      </c>
    </row>
    <row r="627" spans="4:14" ht="18" hidden="1" x14ac:dyDescent="0.35">
      <c r="D627" s="28" t="s">
        <v>224</v>
      </c>
      <c r="E627" s="28" t="s">
        <v>65</v>
      </c>
      <c r="F627" s="29"/>
      <c r="G627" s="29"/>
      <c r="H627" s="29"/>
      <c r="I627" s="29"/>
      <c r="J627" s="29"/>
      <c r="K627" s="29"/>
      <c r="L627" s="29"/>
      <c r="M627" s="157">
        <f>M150+M190</f>
        <v>190.7</v>
      </c>
      <c r="N627" s="157">
        <f>N150+N190</f>
        <v>190.7</v>
      </c>
    </row>
    <row r="628" spans="4:14" ht="18" hidden="1" x14ac:dyDescent="0.35">
      <c r="D628" s="28" t="s">
        <v>224</v>
      </c>
      <c r="E628" s="28" t="s">
        <v>224</v>
      </c>
      <c r="F628" s="29"/>
      <c r="G628" s="29"/>
      <c r="H628" s="29"/>
      <c r="I628" s="29"/>
      <c r="J628" s="29"/>
      <c r="K628" s="29"/>
      <c r="L628" s="29"/>
      <c r="M628" s="157">
        <f>M541</f>
        <v>3836.5</v>
      </c>
      <c r="N628" s="157">
        <f>N541</f>
        <v>3836.5</v>
      </c>
    </row>
    <row r="629" spans="4:14" ht="18" hidden="1" x14ac:dyDescent="0.35">
      <c r="D629" s="28" t="s">
        <v>224</v>
      </c>
      <c r="E629" s="28" t="s">
        <v>79</v>
      </c>
      <c r="F629" s="29"/>
      <c r="G629" s="29"/>
      <c r="H629" s="29"/>
      <c r="I629" s="29"/>
      <c r="J629" s="29"/>
      <c r="K629" s="29"/>
      <c r="L629" s="29"/>
      <c r="M629" s="157">
        <f>M381+M430+M549</f>
        <v>93277.900000000009</v>
      </c>
      <c r="N629" s="157">
        <f>N381+N430+N549</f>
        <v>93033.500000000015</v>
      </c>
    </row>
    <row r="630" spans="4:14" ht="18" hidden="1" x14ac:dyDescent="0.35">
      <c r="D630" s="158" t="s">
        <v>224</v>
      </c>
      <c r="E630" s="158" t="s">
        <v>43</v>
      </c>
      <c r="F630" s="29"/>
      <c r="G630" s="29"/>
      <c r="H630" s="29"/>
      <c r="I630" s="29"/>
      <c r="J630" s="29"/>
      <c r="K630" s="29"/>
      <c r="L630" s="29"/>
      <c r="M630" s="159">
        <f>SUBTOTAL(9,M624:M629)</f>
        <v>1336307.4999999998</v>
      </c>
      <c r="N630" s="159">
        <f>SUBTOTAL(9,N624:N629)</f>
        <v>1349950.5</v>
      </c>
    </row>
    <row r="631" spans="4:14" ht="18" hidden="1" x14ac:dyDescent="0.35">
      <c r="D631" s="28"/>
      <c r="E631" s="28"/>
      <c r="F631" s="29"/>
      <c r="G631" s="29"/>
      <c r="H631" s="29"/>
      <c r="I631" s="29"/>
      <c r="J631" s="29"/>
      <c r="K631" s="29"/>
      <c r="L631" s="29"/>
      <c r="M631" s="157"/>
      <c r="N631" s="157"/>
    </row>
    <row r="632" spans="4:14" ht="18" hidden="1" x14ac:dyDescent="0.35">
      <c r="D632" s="28" t="s">
        <v>226</v>
      </c>
      <c r="E632" s="28" t="s">
        <v>37</v>
      </c>
      <c r="F632" s="29"/>
      <c r="G632" s="29"/>
      <c r="H632" s="29"/>
      <c r="I632" s="29"/>
      <c r="J632" s="29"/>
      <c r="K632" s="29"/>
      <c r="L632" s="29"/>
      <c r="M632" s="157">
        <f>M440</f>
        <v>24215.8</v>
      </c>
      <c r="N632" s="157">
        <f>N440</f>
        <v>24157.399999999998</v>
      </c>
    </row>
    <row r="633" spans="4:14" ht="18" hidden="1" x14ac:dyDescent="0.35">
      <c r="D633" s="28" t="s">
        <v>226</v>
      </c>
      <c r="E633" s="28" t="s">
        <v>52</v>
      </c>
      <c r="F633" s="29"/>
      <c r="G633" s="29"/>
      <c r="H633" s="29"/>
      <c r="I633" s="29"/>
      <c r="J633" s="29"/>
      <c r="K633" s="29"/>
      <c r="L633" s="29"/>
      <c r="M633" s="157">
        <f>M457</f>
        <v>11442</v>
      </c>
      <c r="N633" s="157">
        <f>N457</f>
        <v>11446.5</v>
      </c>
    </row>
    <row r="634" spans="4:14" ht="18" hidden="1" x14ac:dyDescent="0.35">
      <c r="D634" s="158" t="s">
        <v>226</v>
      </c>
      <c r="E634" s="158" t="s">
        <v>43</v>
      </c>
      <c r="F634" s="29"/>
      <c r="G634" s="29"/>
      <c r="H634" s="29"/>
      <c r="I634" s="29"/>
      <c r="J634" s="29"/>
      <c r="K634" s="29"/>
      <c r="L634" s="29"/>
      <c r="M634" s="159">
        <f>SUBTOTAL(9,M632:M633)</f>
        <v>35657.800000000003</v>
      </c>
      <c r="N634" s="159">
        <f>SUBTOTAL(9,N632:N633)</f>
        <v>35603.899999999994</v>
      </c>
    </row>
    <row r="635" spans="4:14" ht="18" hidden="1" x14ac:dyDescent="0.35">
      <c r="D635" s="28"/>
      <c r="E635" s="28"/>
      <c r="F635" s="29"/>
      <c r="G635" s="29"/>
      <c r="H635" s="29"/>
      <c r="I635" s="29"/>
      <c r="J635" s="29"/>
      <c r="K635" s="29"/>
      <c r="L635" s="29"/>
      <c r="M635" s="157"/>
      <c r="N635" s="157"/>
    </row>
    <row r="636" spans="4:14" ht="18" hidden="1" x14ac:dyDescent="0.35">
      <c r="D636" s="28" t="s">
        <v>104</v>
      </c>
      <c r="E636" s="28" t="s">
        <v>37</v>
      </c>
      <c r="F636" s="29"/>
      <c r="G636" s="29"/>
      <c r="H636" s="29"/>
      <c r="I636" s="29"/>
      <c r="J636" s="29"/>
      <c r="K636" s="29"/>
      <c r="L636" s="29"/>
      <c r="M636" s="157">
        <f>M157</f>
        <v>1320</v>
      </c>
      <c r="N636" s="157">
        <f>N157</f>
        <v>1320</v>
      </c>
    </row>
    <row r="637" spans="4:14" ht="18" hidden="1" x14ac:dyDescent="0.35">
      <c r="D637" s="28" t="s">
        <v>104</v>
      </c>
      <c r="E637" s="28" t="s">
        <v>52</v>
      </c>
      <c r="F637" s="29"/>
      <c r="G637" s="29"/>
      <c r="H637" s="29"/>
      <c r="I637" s="29"/>
      <c r="J637" s="29"/>
      <c r="K637" s="29"/>
      <c r="L637" s="29"/>
      <c r="M637" s="157">
        <f>M273+M405+M560</f>
        <v>122865.9148</v>
      </c>
      <c r="N637" s="157">
        <f>N273+N405+N560</f>
        <v>124367.71480000002</v>
      </c>
    </row>
    <row r="638" spans="4:14" ht="18" hidden="1" x14ac:dyDescent="0.35">
      <c r="D638" s="28" t="s">
        <v>104</v>
      </c>
      <c r="E638" s="28" t="s">
        <v>81</v>
      </c>
      <c r="F638" s="29"/>
      <c r="G638" s="29"/>
      <c r="H638" s="29"/>
      <c r="I638" s="29"/>
      <c r="J638" s="29"/>
      <c r="K638" s="29"/>
      <c r="L638" s="29"/>
      <c r="M638" s="157">
        <f>M579+M163</f>
        <v>10044.400000000001</v>
      </c>
      <c r="N638" s="157">
        <f>N579+N163</f>
        <v>10044.400000000001</v>
      </c>
    </row>
    <row r="639" spans="4:14" ht="18" hidden="1" x14ac:dyDescent="0.35">
      <c r="D639" s="158" t="s">
        <v>104</v>
      </c>
      <c r="E639" s="158" t="s">
        <v>43</v>
      </c>
      <c r="F639" s="29"/>
      <c r="G639" s="29"/>
      <c r="H639" s="29"/>
      <c r="I639" s="29"/>
      <c r="J639" s="29"/>
      <c r="K639" s="29"/>
      <c r="L639" s="29"/>
      <c r="M639" s="159">
        <f>SUBTOTAL(9,M636:M638)</f>
        <v>134230.31479999999</v>
      </c>
      <c r="N639" s="159">
        <f>SUBTOTAL(9,N636:N638)</f>
        <v>135732.11480000001</v>
      </c>
    </row>
    <row r="640" spans="4:14" ht="18" hidden="1" x14ac:dyDescent="0.35">
      <c r="D640" s="28"/>
      <c r="E640" s="28"/>
      <c r="F640" s="29"/>
      <c r="G640" s="29"/>
      <c r="H640" s="29"/>
      <c r="I640" s="29"/>
      <c r="J640" s="29"/>
      <c r="K640" s="29"/>
      <c r="L640" s="29"/>
      <c r="M640" s="157"/>
      <c r="N640" s="157"/>
    </row>
    <row r="641" spans="4:14" ht="18" hidden="1" x14ac:dyDescent="0.35">
      <c r="D641" s="28" t="s">
        <v>67</v>
      </c>
      <c r="E641" s="28" t="s">
        <v>37</v>
      </c>
      <c r="F641" s="29"/>
      <c r="G641" s="29"/>
      <c r="H641" s="29"/>
      <c r="I641" s="29"/>
      <c r="J641" s="29"/>
      <c r="K641" s="29"/>
      <c r="L641" s="29"/>
      <c r="M641" s="157">
        <f>M479</f>
        <v>3606.9000000000005</v>
      </c>
      <c r="N641" s="157">
        <f>N479</f>
        <v>3622.8</v>
      </c>
    </row>
    <row r="642" spans="4:14" ht="18" hidden="1" x14ac:dyDescent="0.35">
      <c r="D642" s="28" t="s">
        <v>67</v>
      </c>
      <c r="E642" s="28" t="s">
        <v>39</v>
      </c>
      <c r="F642" s="29"/>
      <c r="G642" s="29"/>
      <c r="H642" s="29"/>
      <c r="I642" s="29"/>
      <c r="J642" s="29"/>
      <c r="K642" s="29"/>
      <c r="L642" s="29"/>
      <c r="M642" s="157">
        <f>M489</f>
        <v>30481.200000000001</v>
      </c>
      <c r="N642" s="157">
        <f>N489</f>
        <v>629.70000000000005</v>
      </c>
    </row>
    <row r="643" spans="4:14" ht="18" hidden="1" x14ac:dyDescent="0.35">
      <c r="D643" s="28" t="s">
        <v>67</v>
      </c>
      <c r="E643" s="28" t="s">
        <v>63</v>
      </c>
      <c r="F643" s="29"/>
      <c r="G643" s="29"/>
      <c r="H643" s="29"/>
      <c r="I643" s="29"/>
      <c r="J643" s="29"/>
      <c r="K643" s="29"/>
      <c r="L643" s="29"/>
      <c r="M643" s="157">
        <f>M499</f>
        <v>31302</v>
      </c>
      <c r="N643" s="157">
        <f>N499</f>
        <v>31312.2</v>
      </c>
    </row>
    <row r="644" spans="4:14" ht="18" hidden="1" x14ac:dyDescent="0.35">
      <c r="D644" s="28" t="s">
        <v>67</v>
      </c>
      <c r="E644" s="28" t="s">
        <v>65</v>
      </c>
      <c r="F644" s="29"/>
      <c r="G644" s="29"/>
      <c r="H644" s="29"/>
      <c r="I644" s="29"/>
      <c r="J644" s="29"/>
      <c r="K644" s="29"/>
      <c r="L644" s="29"/>
      <c r="M644" s="157">
        <f>M517</f>
        <v>3058.7000000000003</v>
      </c>
      <c r="N644" s="157">
        <f>N517</f>
        <v>3059.7999999999997</v>
      </c>
    </row>
    <row r="645" spans="4:14" ht="18" hidden="1" x14ac:dyDescent="0.35">
      <c r="D645" s="158" t="s">
        <v>67</v>
      </c>
      <c r="E645" s="158" t="s">
        <v>43</v>
      </c>
      <c r="F645" s="29"/>
      <c r="G645" s="29"/>
      <c r="H645" s="29"/>
      <c r="I645" s="29"/>
      <c r="J645" s="29"/>
      <c r="K645" s="29"/>
      <c r="L645" s="29"/>
      <c r="M645" s="159">
        <f>SUBTOTAL(9,M641:M644)</f>
        <v>68448.800000000003</v>
      </c>
      <c r="N645" s="159">
        <f>SUBTOTAL(9,N641:N644)</f>
        <v>38624.5</v>
      </c>
    </row>
    <row r="646" spans="4:14" ht="18" hidden="1" x14ac:dyDescent="0.35">
      <c r="D646" s="28"/>
      <c r="E646" s="28"/>
      <c r="F646" s="29"/>
      <c r="G646" s="29"/>
      <c r="H646" s="29"/>
      <c r="I646" s="29"/>
      <c r="J646" s="29"/>
      <c r="K646" s="29"/>
      <c r="L646" s="29"/>
      <c r="M646" s="157"/>
      <c r="N646" s="157"/>
    </row>
    <row r="647" spans="4:14" ht="18" hidden="1" x14ac:dyDescent="0.35">
      <c r="D647" s="28" t="s">
        <v>71</v>
      </c>
      <c r="E647" s="28" t="s">
        <v>37</v>
      </c>
      <c r="F647" s="29"/>
      <c r="G647" s="29"/>
      <c r="H647" s="29"/>
      <c r="I647" s="29"/>
      <c r="J647" s="29"/>
      <c r="K647" s="29"/>
      <c r="L647" s="29"/>
      <c r="M647" s="157"/>
      <c r="N647" s="157"/>
    </row>
    <row r="648" spans="4:14" ht="18" hidden="1" x14ac:dyDescent="0.35">
      <c r="D648" s="158" t="s">
        <v>71</v>
      </c>
      <c r="E648" s="158" t="s">
        <v>43</v>
      </c>
      <c r="F648" s="29"/>
      <c r="G648" s="29"/>
      <c r="H648" s="29"/>
      <c r="I648" s="29"/>
      <c r="J648" s="29"/>
      <c r="K648" s="29"/>
      <c r="L648" s="29"/>
      <c r="M648" s="159">
        <f>M647</f>
        <v>0</v>
      </c>
      <c r="N648" s="159">
        <f>N647</f>
        <v>0</v>
      </c>
    </row>
    <row r="649" spans="4:14" ht="18" hidden="1" x14ac:dyDescent="0.35">
      <c r="D649" s="28"/>
      <c r="E649" s="28"/>
      <c r="F649" s="29"/>
      <c r="G649" s="29"/>
      <c r="H649" s="29"/>
      <c r="I649" s="29"/>
      <c r="J649" s="29"/>
      <c r="K649" s="29"/>
      <c r="L649" s="29"/>
      <c r="M649" s="157"/>
      <c r="N649" s="157"/>
    </row>
    <row r="650" spans="4:14" ht="18" hidden="1" x14ac:dyDescent="0.35">
      <c r="D650" s="28" t="s">
        <v>88</v>
      </c>
      <c r="E650" s="28" t="s">
        <v>37</v>
      </c>
      <c r="F650" s="29"/>
      <c r="G650" s="29"/>
      <c r="H650" s="29"/>
      <c r="I650" s="29"/>
      <c r="J650" s="29"/>
      <c r="K650" s="29"/>
      <c r="L650" s="29"/>
      <c r="M650" s="157">
        <f>M197</f>
        <v>7500</v>
      </c>
      <c r="N650" s="157">
        <f>N197</f>
        <v>7500</v>
      </c>
    </row>
    <row r="651" spans="4:14" ht="18" hidden="1" x14ac:dyDescent="0.35">
      <c r="D651" s="158" t="s">
        <v>88</v>
      </c>
      <c r="E651" s="158" t="s">
        <v>43</v>
      </c>
      <c r="F651" s="29"/>
      <c r="G651" s="29"/>
      <c r="H651" s="29"/>
      <c r="I651" s="29"/>
      <c r="J651" s="29"/>
      <c r="K651" s="29"/>
      <c r="L651" s="29"/>
      <c r="M651" s="159">
        <f>SUBTOTAL(9,M650:M650)</f>
        <v>7500</v>
      </c>
      <c r="N651" s="159">
        <f>SUBTOTAL(9,N650:N650)</f>
        <v>7500</v>
      </c>
    </row>
    <row r="652" spans="4:14" ht="18" hidden="1" x14ac:dyDescent="0.35">
      <c r="D652" s="28"/>
      <c r="E652" s="28"/>
      <c r="F652" s="29"/>
      <c r="G652" s="29"/>
      <c r="H652" s="29"/>
      <c r="I652" s="29"/>
      <c r="J652" s="29"/>
      <c r="K652" s="29"/>
      <c r="L652" s="29"/>
      <c r="M652" s="157"/>
      <c r="N652" s="157"/>
    </row>
    <row r="653" spans="4:14" ht="18" hidden="1" x14ac:dyDescent="0.35">
      <c r="D653" s="160" t="s">
        <v>364</v>
      </c>
      <c r="E653" s="28"/>
      <c r="F653" s="29"/>
      <c r="G653" s="29"/>
      <c r="H653" s="29"/>
      <c r="I653" s="29"/>
      <c r="J653" s="29"/>
      <c r="K653" s="29"/>
      <c r="L653" s="29"/>
      <c r="M653" s="157">
        <f>M592</f>
        <v>34788</v>
      </c>
      <c r="N653" s="157">
        <f>N592</f>
        <v>45416</v>
      </c>
    </row>
    <row r="654" spans="4:14" ht="18" hidden="1" x14ac:dyDescent="0.35">
      <c r="D654" s="28"/>
      <c r="E654" s="28"/>
      <c r="F654" s="29"/>
      <c r="G654" s="29"/>
      <c r="H654" s="29"/>
      <c r="I654" s="29"/>
      <c r="J654" s="29"/>
      <c r="K654" s="29"/>
      <c r="L654" s="29"/>
      <c r="M654" s="157"/>
      <c r="N654" s="157"/>
    </row>
    <row r="655" spans="4:14" ht="18" hidden="1" x14ac:dyDescent="0.35">
      <c r="D655" s="28"/>
      <c r="E655" s="28"/>
      <c r="F655" s="29"/>
      <c r="G655" s="29"/>
      <c r="H655" s="29"/>
      <c r="I655" s="29"/>
      <c r="J655" s="29"/>
      <c r="K655" s="29"/>
      <c r="L655" s="29"/>
      <c r="M655" s="159"/>
      <c r="N655" s="159"/>
    </row>
    <row r="656" spans="4:14" ht="18" hidden="1" x14ac:dyDescent="0.35">
      <c r="D656" s="28"/>
      <c r="E656" s="28"/>
      <c r="F656" s="29"/>
      <c r="G656" s="29"/>
      <c r="H656" s="29"/>
      <c r="I656" s="29"/>
      <c r="J656" s="29"/>
      <c r="K656" s="29"/>
      <c r="L656" s="29"/>
      <c r="M656" s="157"/>
      <c r="N656" s="157"/>
    </row>
    <row r="657" spans="2:14" ht="18" hidden="1" x14ac:dyDescent="0.35">
      <c r="B657" s="1" t="s">
        <v>367</v>
      </c>
      <c r="D657" s="28"/>
      <c r="E657" s="28"/>
      <c r="F657" s="29"/>
      <c r="G657" s="29"/>
      <c r="H657" s="29"/>
      <c r="I657" s="29"/>
      <c r="J657" s="29"/>
      <c r="K657" s="29"/>
      <c r="L657" s="29"/>
      <c r="M657" s="157"/>
      <c r="N657" s="157"/>
    </row>
    <row r="658" spans="2:14" ht="18" hidden="1" x14ac:dyDescent="0.35">
      <c r="B658" s="1" t="s">
        <v>366</v>
      </c>
      <c r="D658" s="28"/>
      <c r="E658" s="28"/>
      <c r="F658" s="29"/>
      <c r="G658" s="29"/>
      <c r="H658" s="29"/>
      <c r="I658" s="29"/>
      <c r="J658" s="29"/>
      <c r="K658" s="29"/>
      <c r="L658" s="29"/>
      <c r="M658" s="157"/>
      <c r="N658" s="157"/>
    </row>
    <row r="659" spans="2:14" ht="18" hidden="1" x14ac:dyDescent="0.35">
      <c r="D659" s="28"/>
      <c r="E659" s="28"/>
      <c r="F659" s="29"/>
      <c r="G659" s="29"/>
      <c r="H659" s="29"/>
      <c r="I659" s="29"/>
      <c r="J659" s="29"/>
      <c r="K659" s="29"/>
      <c r="L659" s="29"/>
      <c r="M659" s="161"/>
      <c r="N659" s="161"/>
    </row>
    <row r="660" spans="2:14" ht="18" hidden="1" x14ac:dyDescent="0.35">
      <c r="D660" s="28"/>
      <c r="E660" s="28"/>
      <c r="F660" s="29"/>
      <c r="G660" s="29"/>
      <c r="H660" s="29"/>
      <c r="I660" s="29"/>
      <c r="J660" s="29"/>
      <c r="K660" s="29"/>
      <c r="L660" s="29"/>
      <c r="M660" s="161"/>
      <c r="N660" s="161"/>
    </row>
    <row r="661" spans="2:14" x14ac:dyDescent="0.3">
      <c r="M661" s="122"/>
      <c r="N661" s="122"/>
    </row>
  </sheetData>
  <autoFilter ref="A1:N662"/>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3" fitToHeight="0" orientation="portrait" blackAndWhite="1" r:id="rId1"/>
  <headerFooter differentFirst="1">
    <oddHeader>&amp;C&amp;"Times New Roman,обычный"&amp;12&amp;P</oddHeader>
  </headerFooter>
  <rowBreaks count="1" manualBreakCount="1">
    <brk id="576"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4"/>
  <sheetViews>
    <sheetView zoomScale="80" zoomScaleNormal="80" workbookViewId="0">
      <selection activeCell="I10" sqref="I10"/>
    </sheetView>
  </sheetViews>
  <sheetFormatPr defaultColWidth="9.109375" defaultRowHeight="18" x14ac:dyDescent="0.35"/>
  <cols>
    <col min="1" max="1" width="33.33203125" style="234" customWidth="1"/>
    <col min="2" max="2" width="56.109375" style="234" customWidth="1"/>
    <col min="3" max="3" width="18.6640625" style="234" customWidth="1"/>
    <col min="4" max="4" width="15.88671875" style="234" customWidth="1"/>
    <col min="5" max="5" width="15.33203125" style="234" customWidth="1"/>
    <col min="6" max="6" width="19.88671875" style="234" customWidth="1"/>
    <col min="7" max="7" width="10.88671875" style="234" bestFit="1" customWidth="1"/>
    <col min="8" max="16384" width="9.109375" style="234"/>
  </cols>
  <sheetData>
    <row r="1" spans="1:7" x14ac:dyDescent="0.35">
      <c r="E1" s="163" t="s">
        <v>518</v>
      </c>
    </row>
    <row r="2" spans="1:7" x14ac:dyDescent="0.35">
      <c r="E2" s="163" t="s">
        <v>752</v>
      </c>
    </row>
    <row r="3" spans="1:7" x14ac:dyDescent="0.35">
      <c r="E3" s="163"/>
    </row>
    <row r="4" spans="1:7" s="34" customFormat="1" x14ac:dyDescent="0.35">
      <c r="E4" s="39" t="s">
        <v>519</v>
      </c>
    </row>
    <row r="5" spans="1:7" s="34" customFormat="1" x14ac:dyDescent="0.35">
      <c r="E5" s="39" t="s">
        <v>669</v>
      </c>
    </row>
    <row r="6" spans="1:7" ht="17.399999999999999" customHeight="1" x14ac:dyDescent="0.35"/>
    <row r="7" spans="1:7" s="34" customFormat="1" ht="18" customHeight="1" x14ac:dyDescent="0.35">
      <c r="C7" s="39"/>
    </row>
    <row r="8" spans="1:7" s="34" customFormat="1" ht="36" customHeight="1" x14ac:dyDescent="0.35">
      <c r="A8" s="759" t="s">
        <v>600</v>
      </c>
      <c r="B8" s="760"/>
      <c r="C8" s="760"/>
      <c r="D8" s="760"/>
      <c r="E8" s="760"/>
    </row>
    <row r="9" spans="1:7" x14ac:dyDescent="0.35">
      <c r="A9" s="760"/>
      <c r="B9" s="760"/>
      <c r="C9" s="760"/>
      <c r="D9" s="760"/>
      <c r="E9" s="760"/>
      <c r="F9" s="453"/>
    </row>
    <row r="10" spans="1:7" ht="37.5" customHeight="1" x14ac:dyDescent="0.35">
      <c r="E10" s="252" t="s">
        <v>239</v>
      </c>
    </row>
    <row r="11" spans="1:7" ht="33" customHeight="1" x14ac:dyDescent="0.35">
      <c r="A11" s="717" t="s">
        <v>13</v>
      </c>
      <c r="B11" s="717" t="s">
        <v>483</v>
      </c>
      <c r="C11" s="761" t="s">
        <v>15</v>
      </c>
      <c r="D11" s="762"/>
      <c r="E11" s="763"/>
      <c r="F11" s="454"/>
    </row>
    <row r="12" spans="1:7" ht="43.2" customHeight="1" x14ac:dyDescent="0.35">
      <c r="A12" s="718"/>
      <c r="B12" s="718"/>
      <c r="C12" s="193" t="s">
        <v>460</v>
      </c>
      <c r="D12" s="193" t="s">
        <v>506</v>
      </c>
      <c r="E12" s="193" t="s">
        <v>594</v>
      </c>
      <c r="F12" s="454"/>
    </row>
    <row r="13" spans="1:7" ht="18" customHeight="1" x14ac:dyDescent="0.35">
      <c r="A13" s="241">
        <v>1</v>
      </c>
      <c r="B13" s="253">
        <v>2</v>
      </c>
      <c r="C13" s="326">
        <v>3</v>
      </c>
      <c r="D13" s="241">
        <v>4</v>
      </c>
      <c r="E13" s="254">
        <v>5</v>
      </c>
      <c r="F13" s="454"/>
    </row>
    <row r="14" spans="1:7" ht="37.200000000000003" customHeight="1" x14ac:dyDescent="0.35">
      <c r="A14" s="255" t="s">
        <v>240</v>
      </c>
      <c r="B14" s="325" t="s">
        <v>241</v>
      </c>
      <c r="C14" s="256">
        <f>C15+C24</f>
        <v>149940.06633999944</v>
      </c>
      <c r="D14" s="256">
        <f t="shared" ref="D14:E14" si="0">D15</f>
        <v>0</v>
      </c>
      <c r="E14" s="256">
        <f t="shared" si="0"/>
        <v>0</v>
      </c>
      <c r="F14" s="455"/>
    </row>
    <row r="15" spans="1:7" s="458" customFormat="1" ht="34.950000000000003" customHeight="1" x14ac:dyDescent="0.3">
      <c r="A15" s="257" t="s">
        <v>242</v>
      </c>
      <c r="B15" s="485" t="s">
        <v>243</v>
      </c>
      <c r="C15" s="327">
        <f>C20-C16</f>
        <v>131940.06633999944</v>
      </c>
      <c r="D15" s="327">
        <f>D20-D16</f>
        <v>0</v>
      </c>
      <c r="E15" s="327">
        <f>E20-E16</f>
        <v>0</v>
      </c>
      <c r="F15" s="456"/>
      <c r="G15" s="457"/>
    </row>
    <row r="16" spans="1:7" x14ac:dyDescent="0.35">
      <c r="A16" s="258" t="s">
        <v>244</v>
      </c>
      <c r="B16" s="486" t="s">
        <v>245</v>
      </c>
      <c r="C16" s="322">
        <f t="shared" ref="C16:E18" si="1">C17</f>
        <v>2505142.0101000001</v>
      </c>
      <c r="D16" s="322">
        <f t="shared" si="1"/>
        <v>1951860.5000000002</v>
      </c>
      <c r="E16" s="322">
        <f t="shared" si="1"/>
        <v>1891819.3</v>
      </c>
    </row>
    <row r="17" spans="1:8" x14ac:dyDescent="0.35">
      <c r="A17" s="258" t="s">
        <v>246</v>
      </c>
      <c r="B17" s="486" t="s">
        <v>247</v>
      </c>
      <c r="C17" s="322">
        <f t="shared" si="1"/>
        <v>2505142.0101000001</v>
      </c>
      <c r="D17" s="322">
        <f t="shared" si="1"/>
        <v>1951860.5000000002</v>
      </c>
      <c r="E17" s="322">
        <f t="shared" si="1"/>
        <v>1891819.3</v>
      </c>
    </row>
    <row r="18" spans="1:8" ht="20.25" customHeight="1" x14ac:dyDescent="0.35">
      <c r="A18" s="258" t="s">
        <v>325</v>
      </c>
      <c r="B18" s="487" t="s">
        <v>248</v>
      </c>
      <c r="C18" s="323">
        <f t="shared" si="1"/>
        <v>2505142.0101000001</v>
      </c>
      <c r="D18" s="323">
        <f t="shared" si="1"/>
        <v>1951860.5000000002</v>
      </c>
      <c r="E18" s="323">
        <f t="shared" si="1"/>
        <v>1891819.3</v>
      </c>
    </row>
    <row r="19" spans="1:8" ht="37.5" customHeight="1" x14ac:dyDescent="0.35">
      <c r="A19" s="258" t="s">
        <v>249</v>
      </c>
      <c r="B19" s="487" t="s">
        <v>3</v>
      </c>
      <c r="C19" s="323">
        <f>'прил. 1 (поступл.23-25)'!C47+C24+'прил. 1 (поступл.23-25)'!C44+'прил. 1 (поступл.23-25)'!C45+'прил. 1 (поступл.23-25)'!C46</f>
        <v>2505142.0101000001</v>
      </c>
      <c r="D19" s="321">
        <f>'прил. 1 (поступл.23-25)'!D47</f>
        <v>1951860.5000000002</v>
      </c>
      <c r="E19" s="321">
        <f>'прил. 1 (поступл.23-25)'!E47</f>
        <v>1891819.3</v>
      </c>
    </row>
    <row r="20" spans="1:8" x14ac:dyDescent="0.35">
      <c r="A20" s="258" t="s">
        <v>250</v>
      </c>
      <c r="B20" s="487" t="s">
        <v>251</v>
      </c>
      <c r="C20" s="323">
        <f>C21</f>
        <v>2637082.0764399995</v>
      </c>
      <c r="D20" s="323">
        <f t="shared" ref="D20:E22" si="2">D21</f>
        <v>1951860.5</v>
      </c>
      <c r="E20" s="323">
        <f t="shared" si="2"/>
        <v>1891819.3000000003</v>
      </c>
    </row>
    <row r="21" spans="1:8" x14ac:dyDescent="0.35">
      <c r="A21" s="258" t="s">
        <v>252</v>
      </c>
      <c r="B21" s="487" t="s">
        <v>253</v>
      </c>
      <c r="C21" s="323">
        <f>C22</f>
        <v>2637082.0764399995</v>
      </c>
      <c r="D21" s="323">
        <f t="shared" si="2"/>
        <v>1951860.5</v>
      </c>
      <c r="E21" s="323">
        <f t="shared" si="2"/>
        <v>1891819.3000000003</v>
      </c>
    </row>
    <row r="22" spans="1:8" ht="22.2" customHeight="1" x14ac:dyDescent="0.35">
      <c r="A22" s="258" t="s">
        <v>254</v>
      </c>
      <c r="B22" s="487" t="s">
        <v>255</v>
      </c>
      <c r="C22" s="323">
        <f>C23</f>
        <v>2637082.0764399995</v>
      </c>
      <c r="D22" s="323">
        <f t="shared" si="2"/>
        <v>1951860.5</v>
      </c>
      <c r="E22" s="323">
        <f t="shared" si="2"/>
        <v>1891819.3000000003</v>
      </c>
    </row>
    <row r="23" spans="1:8" ht="36" x14ac:dyDescent="0.35">
      <c r="A23" s="259" t="s">
        <v>256</v>
      </c>
      <c r="B23" s="488" t="s">
        <v>4</v>
      </c>
      <c r="C23" s="324">
        <f>'прил9 (ведом 23)'!M14+'прил. 1 (поступл.23-25)'!C44+'прил. 1 (поступл.23-25)'!C45+'прил. 1 (поступл.23-25)'!C46</f>
        <v>2637082.0764399995</v>
      </c>
      <c r="D23" s="324">
        <f>'прил10 (ведом 24-25)'!M16</f>
        <v>1951860.5</v>
      </c>
      <c r="E23" s="324">
        <f>'прил10 (ведом 24-25)'!N16</f>
        <v>1891819.3000000003</v>
      </c>
    </row>
    <row r="24" spans="1:8" ht="34.799999999999997" x14ac:dyDescent="0.35">
      <c r="A24" s="618" t="s">
        <v>646</v>
      </c>
      <c r="B24" s="619" t="s">
        <v>647</v>
      </c>
      <c r="C24" s="327">
        <f>C25</f>
        <v>18000</v>
      </c>
      <c r="D24" s="327">
        <f>D25+D29</f>
        <v>0</v>
      </c>
      <c r="E24" s="327">
        <f t="shared" ref="E24" si="3">E25+E29</f>
        <v>0</v>
      </c>
    </row>
    <row r="25" spans="1:8" ht="36" x14ac:dyDescent="0.35">
      <c r="A25" s="258" t="s">
        <v>648</v>
      </c>
      <c r="B25" s="620" t="s">
        <v>649</v>
      </c>
      <c r="C25" s="323">
        <f t="shared" ref="C25:E27" si="4">C26</f>
        <v>18000</v>
      </c>
      <c r="D25" s="323">
        <f t="shared" si="4"/>
        <v>0</v>
      </c>
      <c r="E25" s="323">
        <f t="shared" si="4"/>
        <v>0</v>
      </c>
    </row>
    <row r="26" spans="1:8" ht="36" x14ac:dyDescent="0.35">
      <c r="A26" s="258" t="s">
        <v>650</v>
      </c>
      <c r="B26" s="620" t="s">
        <v>651</v>
      </c>
      <c r="C26" s="323">
        <f t="shared" si="4"/>
        <v>18000</v>
      </c>
      <c r="D26" s="323">
        <f t="shared" si="4"/>
        <v>0</v>
      </c>
      <c r="E26" s="323">
        <f t="shared" si="4"/>
        <v>0</v>
      </c>
    </row>
    <row r="27" spans="1:8" ht="72" x14ac:dyDescent="0.35">
      <c r="A27" s="258" t="s">
        <v>652</v>
      </c>
      <c r="B27" s="620" t="s">
        <v>653</v>
      </c>
      <c r="C27" s="323">
        <f>C28</f>
        <v>18000</v>
      </c>
      <c r="D27" s="323">
        <f t="shared" si="4"/>
        <v>0</v>
      </c>
      <c r="E27" s="323">
        <f t="shared" si="4"/>
        <v>0</v>
      </c>
    </row>
    <row r="28" spans="1:8" ht="90" x14ac:dyDescent="0.35">
      <c r="A28" s="259" t="s">
        <v>654</v>
      </c>
      <c r="B28" s="621" t="s">
        <v>655</v>
      </c>
      <c r="C28" s="324">
        <f>19000-1000</f>
        <v>18000</v>
      </c>
      <c r="D28" s="324">
        <v>0</v>
      </c>
      <c r="E28" s="622">
        <v>0</v>
      </c>
    </row>
    <row r="29" spans="1:8" ht="19.95" customHeight="1" x14ac:dyDescent="0.35">
      <c r="A29" s="260"/>
      <c r="B29" s="603"/>
      <c r="C29" s="604"/>
      <c r="D29" s="604"/>
      <c r="E29" s="604"/>
    </row>
    <row r="30" spans="1:8" x14ac:dyDescent="0.35">
      <c r="A30" s="260"/>
      <c r="B30" s="603"/>
      <c r="C30" s="604"/>
      <c r="D30" s="604"/>
      <c r="E30" s="604"/>
    </row>
    <row r="31" spans="1:8" x14ac:dyDescent="0.35">
      <c r="A31" s="260"/>
      <c r="B31" s="261"/>
      <c r="C31" s="262"/>
    </row>
    <row r="32" spans="1:8" s="279" customFormat="1" x14ac:dyDescent="0.35">
      <c r="A32" s="476" t="s">
        <v>375</v>
      </c>
      <c r="B32" s="312"/>
      <c r="C32" s="101"/>
      <c r="D32" s="101"/>
      <c r="E32" s="101"/>
      <c r="F32" s="308"/>
      <c r="G32" s="115"/>
      <c r="H32" s="459"/>
    </row>
    <row r="33" spans="1:8" s="279" customFormat="1" x14ac:dyDescent="0.35">
      <c r="A33" s="476" t="s">
        <v>376</v>
      </c>
      <c r="B33" s="312"/>
      <c r="C33" s="101"/>
      <c r="D33" s="101"/>
      <c r="E33" s="101"/>
      <c r="F33" s="308"/>
      <c r="G33" s="115"/>
      <c r="H33" s="459"/>
    </row>
    <row r="34" spans="1:8" s="279" customFormat="1" x14ac:dyDescent="0.35">
      <c r="A34" s="477" t="s">
        <v>377</v>
      </c>
      <c r="B34" s="312"/>
      <c r="C34" s="116"/>
      <c r="D34" s="101"/>
      <c r="E34" s="116" t="s">
        <v>388</v>
      </c>
      <c r="F34" s="308"/>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19</vt:i4>
      </vt:variant>
    </vt:vector>
  </HeadingPairs>
  <TitlesOfParts>
    <vt:vector size="29" baseType="lpstr">
      <vt:lpstr>прил. 1 (поступл.23-25)</vt:lpstr>
      <vt:lpstr>прил.2(пост.безв.23)</vt:lpstr>
      <vt:lpstr>прил.3 (пост.безв.24-25)</vt:lpstr>
      <vt:lpstr>прил 6 (Рз,ПР 23-25)</vt:lpstr>
      <vt:lpstr>прил 7 (ЦС,ВР 23)</vt:lpstr>
      <vt:lpstr>прил 8 (ЦС,ВР 24-25)</vt:lpstr>
      <vt:lpstr>прил9 (ведом 23)</vt:lpstr>
      <vt:lpstr>прил10 (ведом 24-25)</vt:lpstr>
      <vt:lpstr>прил.11 (Источники 23-25)</vt:lpstr>
      <vt:lpstr>прил.12 (безв.всего 23-25)</vt:lpstr>
      <vt:lpstr>'прил 6 (Рз,ПР 23-25)'!Заголовки_для_печати</vt:lpstr>
      <vt:lpstr>'прил 7 (ЦС,ВР 23)'!Заголовки_для_печати</vt:lpstr>
      <vt:lpstr>'прил 8 (ЦС,ВР 24-25)'!Заголовки_для_печати</vt:lpstr>
      <vt:lpstr>'прил. 1 (поступл.23-25)'!Заголовки_для_печати</vt:lpstr>
      <vt:lpstr>'прил.11 (Источники 23-25)'!Заголовки_для_печати</vt:lpstr>
      <vt:lpstr>'прил.2(пост.безв.23)'!Заголовки_для_печати</vt:lpstr>
      <vt:lpstr>'прил.3 (пост.безв.24-25)'!Заголовки_для_печати</vt:lpstr>
      <vt:lpstr>'прил10 (ведом 24-25)'!Заголовки_для_печати</vt:lpstr>
      <vt:lpstr>'прил9 (ведом 23)'!Заголовки_для_печати</vt:lpstr>
      <vt:lpstr>'прил 6 (Рз,ПР 23-25)'!Область_печати</vt:lpstr>
      <vt:lpstr>'прил 7 (ЦС,ВР 23)'!Область_печати</vt:lpstr>
      <vt:lpstr>'прил 8 (ЦС,ВР 24-25)'!Область_печати</vt:lpstr>
      <vt:lpstr>'прил. 1 (поступл.23-25)'!Область_печати</vt:lpstr>
      <vt:lpstr>'прил.11 (Источники 23-25)'!Область_печати</vt:lpstr>
      <vt:lpstr>'прил.12 (безв.всего 23-25)'!Область_печати</vt:lpstr>
      <vt:lpstr>'прил.2(пост.безв.23)'!Область_печати</vt:lpstr>
      <vt:lpstr>'прил.3 (пост.безв.24-25)'!Область_печати</vt:lpstr>
      <vt:lpstr>'прил10 (ведом 24-25)'!Область_печати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2023-07-27T11:44:39Z</dcterms:modified>
</cp:coreProperties>
</file>