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9408" windowWidth="14808" windowHeight="1116" tabRatio="852"/>
  </bookViews>
  <sheets>
    <sheet name="прил. 1 (поступл.23-25)" sheetId="5" r:id="rId1"/>
    <sheet name="прил.2(пост.безв.23)" sheetId="2" r:id="rId2"/>
    <sheet name="прил.3 (пост.безв.24-25)" sheetId="16" r:id="rId3"/>
    <sheet name="прил 6 (Рз,ПР 23-25)" sheetId="6" r:id="rId4"/>
    <sheet name="прил 7 (ЦС,ВР 23)" sheetId="7" r:id="rId5"/>
    <sheet name="прил 8 (ЦС,ВР 24-25)" sheetId="18" r:id="rId6"/>
    <sheet name="прил9 (ведом 23)" sheetId="3" r:id="rId7"/>
    <sheet name="прил10 (ведом 24-25)" sheetId="19" r:id="rId8"/>
    <sheet name="прил.11 (Источники 23-25)" sheetId="8" r:id="rId9"/>
    <sheet name="прил.12 (безв.всего 23-25)" sheetId="9" r:id="rId10"/>
  </sheets>
  <definedNames>
    <definedName name="_xlnm._FilterDatabase" localSheetId="3" hidden="1">'прил 6 (Рз,ПР 23-25)'!$A$1:$A$64</definedName>
    <definedName name="_xlnm._FilterDatabase" localSheetId="4" hidden="1">'прил 7 (ЦС,ВР 23)'!$A$1:$H$649</definedName>
    <definedName name="_xlnm._FilterDatabase" localSheetId="5" hidden="1">'прил 8 (ЦС,ВР 24-25)'!$A$1:$I$472</definedName>
    <definedName name="_xlnm._FilterDatabase" localSheetId="1" hidden="1">'прил.2(пост.безв.23)'!$B$1:$D$437</definedName>
    <definedName name="_xlnm._FilterDatabase" localSheetId="2" hidden="1">'прил.3 (пост.безв.24-25)'!$A$12:$J$69</definedName>
    <definedName name="_xlnm._FilterDatabase" localSheetId="7" hidden="1">'прил10 (ведом 24-25)'!$A$1:$N$671</definedName>
    <definedName name="_xlnm._FilterDatabase" localSheetId="6" hidden="1">'прил9 (ведом 23)'!$A$1:$M$981</definedName>
    <definedName name="Z_168CADD9_CFDC_4445_BFE6_DAD4B9423C72_.wvu.FilterData" localSheetId="4" hidden="1">'прил 7 (ЦС,ВР 23)'!#REF!</definedName>
    <definedName name="Z_168CADD9_CFDC_4445_BFE6_DAD4B9423C72_.wvu.FilterData" localSheetId="5" hidden="1">'прил 8 (ЦС,ВР 24-25)'!#REF!</definedName>
    <definedName name="Z_1F25B6A1_C9F7_11D8_A2FD_006098EF8B30_.wvu.FilterData" localSheetId="4" hidden="1">'прил 7 (ЦС,ВР 23)'!#REF!</definedName>
    <definedName name="Z_1F25B6A1_C9F7_11D8_A2FD_006098EF8B30_.wvu.FilterData" localSheetId="5" hidden="1">'прил 8 (ЦС,ВР 24-25)'!#REF!</definedName>
    <definedName name="Z_29D950F2_21ED_48E6_BFC6_87DD89E0125A_.wvu.FilterData" localSheetId="4" hidden="1">'прил 7 (ЦС,ВР 23)'!#REF!</definedName>
    <definedName name="Z_29D950F2_21ED_48E6_BFC6_87DD89E0125A_.wvu.FilterData" localSheetId="5" hidden="1">'прил 8 (ЦС,ВР 24-25)'!#REF!</definedName>
    <definedName name="Z_2CA7FCD5_27A5_4474_9D49_7A7E23BD2FF9_.wvu.FilterData" localSheetId="4" hidden="1">'прил 7 (ЦС,ВР 23)'!#REF!</definedName>
    <definedName name="Z_2CA7FCD5_27A5_4474_9D49_7A7E23BD2FF9_.wvu.FilterData" localSheetId="5" hidden="1">'прил 8 (ЦС,ВР 24-25)'!#REF!</definedName>
    <definedName name="Z_48E28AC5_4E0A_4FBA_AE6D_340F9E8D4B3C_.wvu.FilterData" localSheetId="4" hidden="1">'прил 7 (ЦС,ВР 23)'!#REF!</definedName>
    <definedName name="Z_48E28AC5_4E0A_4FBA_AE6D_340F9E8D4B3C_.wvu.FilterData" localSheetId="5" hidden="1">'прил 8 (ЦС,ВР 24-25)'!#REF!</definedName>
    <definedName name="Z_6398E0F2_3205_40F4_BF0A_C9F4D0DA9A75_.wvu.FilterData" localSheetId="4" hidden="1">'прил 7 (ЦС,ВР 23)'!#REF!</definedName>
    <definedName name="Z_6398E0F2_3205_40F4_BF0A_C9F4D0DA9A75_.wvu.FilterData" localSheetId="5" hidden="1">'прил 8 (ЦС,ВР 24-25)'!#REF!</definedName>
    <definedName name="Z_64DF1B77_0EDD_4B56_A91C_5E003BE599EF_.wvu.FilterData" localSheetId="4" hidden="1">'прил 7 (ЦС,ВР 23)'!#REF!</definedName>
    <definedName name="Z_64DF1B77_0EDD_4B56_A91C_5E003BE599EF_.wvu.FilterData" localSheetId="5" hidden="1">'прил 8 (ЦС,ВР 24-25)'!#REF!</definedName>
    <definedName name="Z_6786C020_BCF1_463A_B3E9_7DE69D46EAB3_.wvu.FilterData" localSheetId="4" hidden="1">'прил 7 (ЦС,ВР 23)'!#REF!</definedName>
    <definedName name="Z_6786C020_BCF1_463A_B3E9_7DE69D46EAB3_.wvu.FilterData" localSheetId="5" hidden="1">'прил 8 (ЦС,ВР 24-25)'!#REF!</definedName>
    <definedName name="Z_8E2E7D81_C767_11D8_A2FD_006098EF8B30_.wvu.FilterData" localSheetId="4" hidden="1">'прил 7 (ЦС,ВР 23)'!#REF!</definedName>
    <definedName name="Z_8E2E7D81_C767_11D8_A2FD_006098EF8B30_.wvu.FilterData" localSheetId="5" hidden="1">'прил 8 (ЦС,ВР 24-25)'!#REF!</definedName>
    <definedName name="Z_97D0CDFA_8A34_4B3C_BA32_D4F0E3218B75_.wvu.FilterData" localSheetId="4" hidden="1">'прил 7 (ЦС,ВР 23)'!#REF!</definedName>
    <definedName name="Z_97D0CDFA_8A34_4B3C_BA32_D4F0E3218B75_.wvu.FilterData" localSheetId="5" hidden="1">'прил 8 (ЦС,ВР 24-25)'!#REF!</definedName>
    <definedName name="Z_B246FE0E_E986_4211_B02A_04E4565C0FED_.wvu.Cols" localSheetId="4" hidden="1">'прил 7 (ЦС,ВР 23)'!$A:$A,'прил 7 (ЦС,ВР 23)'!#REF!</definedName>
    <definedName name="Z_B246FE0E_E986_4211_B02A_04E4565C0FED_.wvu.Cols" localSheetId="5" hidden="1">'прил 8 (ЦС,ВР 24-25)'!$A:$A,'прил 8 (ЦС,ВР 24-25)'!#REF!</definedName>
    <definedName name="Z_B246FE0E_E986_4211_B02A_04E4565C0FED_.wvu.FilterData" localSheetId="4" hidden="1">'прил 7 (ЦС,ВР 23)'!#REF!</definedName>
    <definedName name="Z_B246FE0E_E986_4211_B02A_04E4565C0FED_.wvu.FilterData" localSheetId="5" hidden="1">'прил 8 (ЦС,ВР 24-25)'!#REF!</definedName>
    <definedName name="Z_B246FE0E_E986_4211_B02A_04E4565C0FED_.wvu.PrintArea" localSheetId="4" hidden="1">'прил 7 (ЦС,ВР 23)'!#REF!</definedName>
    <definedName name="Z_B246FE0E_E986_4211_B02A_04E4565C0FED_.wvu.PrintArea" localSheetId="5" hidden="1">'прил 8 (ЦС,ВР 24-25)'!#REF!</definedName>
    <definedName name="Z_B246FE0E_E986_4211_B02A_04E4565C0FED_.wvu.PrintTitles" localSheetId="4" hidden="1">'прил 7 (ЦС,ВР 23)'!#REF!</definedName>
    <definedName name="Z_B246FE0E_E986_4211_B02A_04E4565C0FED_.wvu.PrintTitles" localSheetId="5" hidden="1">'прил 8 (ЦС,ВР 24-25)'!#REF!</definedName>
    <definedName name="Z_C54CDF8B_FA5C_4A02_B343_3FEFD9721392_.wvu.FilterData" localSheetId="4" hidden="1">'прил 7 (ЦС,ВР 23)'!#REF!</definedName>
    <definedName name="Z_C54CDF8B_FA5C_4A02_B343_3FEFD9721392_.wvu.FilterData" localSheetId="5" hidden="1">'прил 8 (ЦС,ВР 24-25)'!#REF!</definedName>
    <definedName name="Z_D7174C22_B878_4584_A218_37ED88979064_.wvu.FilterData" localSheetId="4" hidden="1">'прил 7 (ЦС,ВР 23)'!#REF!</definedName>
    <definedName name="Z_D7174C22_B878_4584_A218_37ED88979064_.wvu.FilterData" localSheetId="5" hidden="1">'прил 8 (ЦС,ВР 24-25)'!#REF!</definedName>
    <definedName name="Z_DD7538FB_7299_4DEE_90D5_2739132A1616_.wvu.FilterData" localSheetId="4" hidden="1">'прил 7 (ЦС,ВР 23)'!#REF!</definedName>
    <definedName name="Z_DD7538FB_7299_4DEE_90D5_2739132A1616_.wvu.FilterData" localSheetId="5" hidden="1">'прил 8 (ЦС,ВР 24-25)'!#REF!</definedName>
    <definedName name="Z_E4B436A8_4A5B_422F_8C0E_9267F763D19D_.wvu.FilterData" localSheetId="4" hidden="1">'прил 7 (ЦС,ВР 23)'!#REF!</definedName>
    <definedName name="Z_E4B436A8_4A5B_422F_8C0E_9267F763D19D_.wvu.FilterData" localSheetId="5" hidden="1">'прил 8 (ЦС,ВР 24-25)'!#REF!</definedName>
    <definedName name="Z_E6BB4361_1D58_11D9_A2FD_006098EF8B30_.wvu.FilterData" localSheetId="4" hidden="1">'прил 7 (ЦС,ВР 23)'!#REF!</definedName>
    <definedName name="Z_E6BB4361_1D58_11D9_A2FD_006098EF8B30_.wvu.FilterData" localSheetId="5" hidden="1">'прил 8 (ЦС,ВР 24-25)'!#REF!</definedName>
    <definedName name="Z_EF486DA3_1DF3_11D9_A2FD_006098EF8B30_.wvu.FilterData" localSheetId="4" hidden="1">'прил 7 (ЦС,ВР 23)'!#REF!</definedName>
    <definedName name="Z_EF486DA3_1DF3_11D9_A2FD_006098EF8B30_.wvu.FilterData" localSheetId="5" hidden="1">'прил 8 (ЦС,ВР 24-25)'!#REF!</definedName>
    <definedName name="Z_EF486DA8_1DF3_11D9_A2FD_006098EF8B30_.wvu.FilterData" localSheetId="4" hidden="1">'прил 7 (ЦС,ВР 23)'!#REF!</definedName>
    <definedName name="Z_EF486DA8_1DF3_11D9_A2FD_006098EF8B30_.wvu.FilterData" localSheetId="5" hidden="1">'прил 8 (ЦС,ВР 24-25)'!#REF!</definedName>
    <definedName name="Z_EF486DAA_1DF3_11D9_A2FD_006098EF8B30_.wvu.FilterData" localSheetId="4" hidden="1">'прил 7 (ЦС,ВР 23)'!#REF!</definedName>
    <definedName name="Z_EF486DAA_1DF3_11D9_A2FD_006098EF8B30_.wvu.FilterData" localSheetId="5" hidden="1">'прил 8 (ЦС,ВР 24-25)'!#REF!</definedName>
    <definedName name="Z_EF486DAC_1DF3_11D9_A2FD_006098EF8B30_.wvu.FilterData" localSheetId="4" hidden="1">'прил 7 (ЦС,ВР 23)'!#REF!</definedName>
    <definedName name="Z_EF486DAC_1DF3_11D9_A2FD_006098EF8B30_.wvu.FilterData" localSheetId="5" hidden="1">'прил 8 (ЦС,ВР 24-25)'!#REF!</definedName>
    <definedName name="Z_EF5A4981_C8E4_11D8_A2FC_006098EF8BA8_.wvu.Cols" localSheetId="4" hidden="1">'прил 7 (ЦС,ВР 23)'!$A:$A,'прил 7 (ЦС,ВР 23)'!#REF!,'прил 7 (ЦС,ВР 23)'!#REF!</definedName>
    <definedName name="Z_EF5A4981_C8E4_11D8_A2FC_006098EF8BA8_.wvu.Cols" localSheetId="5" hidden="1">'прил 8 (ЦС,ВР 24-25)'!$A:$A,'прил 8 (ЦС,ВР 24-25)'!#REF!,'прил 8 (ЦС,ВР 24-25)'!#REF!</definedName>
    <definedName name="Z_EF5A4981_C8E4_11D8_A2FC_006098EF8BA8_.wvu.FilterData" localSheetId="4" hidden="1">'прил 7 (ЦС,ВР 23)'!#REF!</definedName>
    <definedName name="Z_EF5A4981_C8E4_11D8_A2FC_006098EF8BA8_.wvu.FilterData" localSheetId="5" hidden="1">'прил 8 (ЦС,ВР 24-25)'!#REF!</definedName>
    <definedName name="Z_EF5A4981_C8E4_11D8_A2FC_006098EF8BA8_.wvu.PrintArea" localSheetId="4" hidden="1">'прил 7 (ЦС,ВР 23)'!#REF!</definedName>
    <definedName name="Z_EF5A4981_C8E4_11D8_A2FC_006098EF8BA8_.wvu.PrintArea" localSheetId="5" hidden="1">'прил 8 (ЦС,ВР 24-25)'!#REF!</definedName>
    <definedName name="Z_EF5A4981_C8E4_11D8_A2FC_006098EF8BA8_.wvu.PrintTitles" localSheetId="4" hidden="1">'прил 7 (ЦС,ВР 23)'!#REF!</definedName>
    <definedName name="Z_EF5A4981_C8E4_11D8_A2FC_006098EF8BA8_.wvu.PrintTitles" localSheetId="5" hidden="1">'прил 8 (ЦС,ВР 24-25)'!#REF!</definedName>
    <definedName name="_xlnm.Print_Titles" localSheetId="3">'прил 6 (Рз,ПР 23-25)'!$14:$14</definedName>
    <definedName name="_xlnm.Print_Titles" localSheetId="4">'прил 7 (ЦС,ВР 23)'!$12:$12</definedName>
    <definedName name="_xlnm.Print_Titles" localSheetId="5">'прил 8 (ЦС,ВР 24-25)'!$13:$13</definedName>
    <definedName name="_xlnm.Print_Titles" localSheetId="0">'прил. 1 (поступл.23-25)'!$14:$14</definedName>
    <definedName name="_xlnm.Print_Titles" localSheetId="8">'прил.11 (Источники 23-25)'!$13:$13</definedName>
    <definedName name="_xlnm.Print_Titles" localSheetId="1">'прил.2(пост.безв.23)'!$13:$13</definedName>
    <definedName name="_xlnm.Print_Titles" localSheetId="2">'прил.3 (пост.безв.24-25)'!$12:$12</definedName>
    <definedName name="_xlnm.Print_Titles" localSheetId="7">'прил10 (ведом 24-25)'!$15:$15</definedName>
    <definedName name="_xlnm.Print_Titles" localSheetId="6">'прил9 (ведом 23)'!$13:$13</definedName>
    <definedName name="_xlnm.Print_Area" localSheetId="3">'прил 6 (Рз,ПР 23-25)'!$A$1:$F$65</definedName>
    <definedName name="_xlnm.Print_Area" localSheetId="4">'прил 7 (ЦС,ВР 23)'!$A$1:$H$639</definedName>
    <definedName name="_xlnm.Print_Area" localSheetId="5">'прил 8 (ЦС,ВР 24-25)'!$A$1:$I$459</definedName>
    <definedName name="_xlnm.Print_Area" localSheetId="0">'прил. 1 (поступл.23-25)'!$A$1:$E$56</definedName>
    <definedName name="_xlnm.Print_Area" localSheetId="8">'прил.11 (Источники 23-25)'!$A$1:$E$35</definedName>
    <definedName name="_xlnm.Print_Area" localSheetId="9">'прил.12 (безв.всего 23-25)'!$A$1:$D$22</definedName>
    <definedName name="_xlnm.Print_Area" localSheetId="1">'прил.2(пост.безв.23)'!$A$1:$C$105</definedName>
    <definedName name="_xlnm.Print_Area" localSheetId="2">'прил.3 (пост.безв.24-25)'!$A$1:$D$75</definedName>
    <definedName name="_xlnm.Print_Area" localSheetId="7">'прил10 (ведом 24-25)'!$A$1:$N$608</definedName>
    <definedName name="_xlnm.Print_Area" localSheetId="6">'прил9 (ведом 23)'!$A$1:$M$871</definedName>
  </definedNames>
  <calcPr calcId="145621" iterate="1"/>
</workbook>
</file>

<file path=xl/calcChain.xml><?xml version="1.0" encoding="utf-8"?>
<calcChain xmlns="http://schemas.openxmlformats.org/spreadsheetml/2006/main">
  <c r="M564" i="3" l="1"/>
  <c r="M558" i="3"/>
  <c r="M575" i="3" l="1"/>
  <c r="M523" i="3"/>
  <c r="M466" i="3" l="1"/>
  <c r="M462" i="3"/>
  <c r="M567" i="3"/>
  <c r="M510" i="3"/>
  <c r="M502" i="3"/>
  <c r="M460" i="3"/>
  <c r="M55" i="3" l="1"/>
  <c r="M501" i="3" l="1"/>
  <c r="L585" i="3" l="1"/>
  <c r="L584" i="3"/>
  <c r="H100" i="7"/>
  <c r="M585" i="3"/>
  <c r="M586" i="3"/>
  <c r="M587" i="3"/>
  <c r="L586" i="3"/>
  <c r="L587" i="3"/>
  <c r="M588" i="3"/>
  <c r="L588" i="3"/>
  <c r="L589" i="3"/>
  <c r="M505" i="3"/>
  <c r="M700" i="3" l="1"/>
  <c r="M709" i="3"/>
  <c r="M498" i="3" l="1"/>
  <c r="M521" i="3" l="1"/>
  <c r="M559" i="3" l="1"/>
  <c r="M557" i="3"/>
  <c r="M83" i="3" l="1"/>
  <c r="M309" i="3" l="1"/>
  <c r="M22" i="3" l="1"/>
  <c r="M675" i="3" l="1"/>
  <c r="M688" i="3"/>
  <c r="M653" i="3"/>
  <c r="M592" i="3"/>
  <c r="M591" i="3" s="1"/>
  <c r="M590" i="3" s="1"/>
  <c r="M584" i="3" s="1"/>
  <c r="L593" i="3"/>
  <c r="L592" i="3" s="1"/>
  <c r="L591" i="3" s="1"/>
  <c r="L590" i="3" s="1"/>
  <c r="M773" i="3"/>
  <c r="M608" i="3" l="1"/>
  <c r="H132" i="7" s="1"/>
  <c r="M464" i="3" l="1"/>
  <c r="M84" i="3"/>
  <c r="M80" i="3" l="1"/>
  <c r="M177" i="3"/>
  <c r="M40" i="3"/>
  <c r="M41" i="3"/>
  <c r="M287" i="19" l="1"/>
  <c r="M516" i="19"/>
  <c r="M363" i="3" l="1"/>
  <c r="M356" i="3"/>
  <c r="M339" i="3"/>
  <c r="M365" i="3"/>
  <c r="M296" i="3" l="1"/>
  <c r="M286" i="3"/>
  <c r="H346" i="7"/>
  <c r="H345" i="7" s="1"/>
  <c r="M276" i="3"/>
  <c r="L277" i="3"/>
  <c r="L276" i="3" s="1"/>
  <c r="M274" i="3"/>
  <c r="M599" i="3"/>
  <c r="M769" i="3"/>
  <c r="M759" i="3" l="1"/>
  <c r="H622" i="7"/>
  <c r="H621" i="7" s="1"/>
  <c r="H620" i="7" s="1"/>
  <c r="H619" i="7"/>
  <c r="H618" i="7" s="1"/>
  <c r="H617" i="7" s="1"/>
  <c r="L260" i="3"/>
  <c r="L259" i="3" s="1"/>
  <c r="L258" i="3" s="1"/>
  <c r="M259" i="3"/>
  <c r="M258" i="3" s="1"/>
  <c r="L257" i="3"/>
  <c r="L256" i="3" s="1"/>
  <c r="L255" i="3" s="1"/>
  <c r="M256" i="3"/>
  <c r="M255" i="3" s="1"/>
  <c r="M30" i="3"/>
  <c r="M28" i="3"/>
  <c r="M327" i="3"/>
  <c r="M317" i="3"/>
  <c r="M560" i="3" l="1"/>
  <c r="M117" i="3" l="1"/>
  <c r="M539" i="3" l="1"/>
  <c r="M540" i="3"/>
  <c r="M541" i="3"/>
  <c r="M657" i="3" l="1"/>
  <c r="M655" i="3"/>
  <c r="M345" i="3" l="1"/>
  <c r="M344" i="3"/>
  <c r="M112" i="3"/>
  <c r="M71" i="3"/>
  <c r="M75" i="3"/>
  <c r="M826" i="3" l="1"/>
  <c r="M816" i="3"/>
  <c r="M774" i="3"/>
  <c r="M775" i="3"/>
  <c r="M364" i="3" l="1"/>
  <c r="M93" i="3" l="1"/>
  <c r="I206" i="18" l="1"/>
  <c r="I205" i="18" s="1"/>
  <c r="I204" i="18" s="1"/>
  <c r="I203" i="18" s="1"/>
  <c r="H206" i="18"/>
  <c r="H205" i="18" s="1"/>
  <c r="H204" i="18" s="1"/>
  <c r="H203" i="18" s="1"/>
  <c r="H310" i="18"/>
  <c r="H309" i="18" s="1"/>
  <c r="I310" i="18"/>
  <c r="I309" i="18" s="1"/>
  <c r="N286" i="19"/>
  <c r="N285" i="19" s="1"/>
  <c r="N284" i="19" s="1"/>
  <c r="N283" i="19" s="1"/>
  <c r="N282" i="19" s="1"/>
  <c r="N281" i="19" s="1"/>
  <c r="M286" i="19"/>
  <c r="M285" i="19" s="1"/>
  <c r="M284" i="19" s="1"/>
  <c r="M283" i="19" s="1"/>
  <c r="M282" i="19" s="1"/>
  <c r="M281" i="19" s="1"/>
  <c r="L287" i="19"/>
  <c r="L286" i="19" s="1"/>
  <c r="L285" i="19" s="1"/>
  <c r="L284" i="19" s="1"/>
  <c r="L283" i="19" s="1"/>
  <c r="L282" i="19" s="1"/>
  <c r="L281" i="19" s="1"/>
  <c r="N577" i="19"/>
  <c r="M577" i="19"/>
  <c r="L578" i="19"/>
  <c r="L577" i="19" s="1"/>
  <c r="N278" i="19"/>
  <c r="M278" i="19"/>
  <c r="N280" i="19"/>
  <c r="M280" i="19"/>
  <c r="N243" i="19"/>
  <c r="M243" i="19"/>
  <c r="K602" i="19"/>
  <c r="K601" i="19" s="1"/>
  <c r="K598" i="19"/>
  <c r="K595" i="19"/>
  <c r="K592" i="19"/>
  <c r="K586" i="19"/>
  <c r="K585" i="19" s="1"/>
  <c r="K582" i="19"/>
  <c r="K579" i="19"/>
  <c r="K574" i="19"/>
  <c r="K571" i="19"/>
  <c r="K560" i="19"/>
  <c r="K559" i="19" s="1"/>
  <c r="K558" i="19" s="1"/>
  <c r="K557" i="19" s="1"/>
  <c r="K556" i="19" s="1"/>
  <c r="K552" i="19"/>
  <c r="K551" i="19" s="1"/>
  <c r="K550" i="19" s="1"/>
  <c r="K549" i="19" s="1"/>
  <c r="K548" i="19" s="1"/>
  <c r="K545" i="19"/>
  <c r="K544" i="19" s="1"/>
  <c r="K542" i="19"/>
  <c r="K541" i="19" s="1"/>
  <c r="K539" i="19"/>
  <c r="K538" i="19" s="1"/>
  <c r="K528" i="19"/>
  <c r="K527" i="19" s="1"/>
  <c r="K526" i="19" s="1"/>
  <c r="K525" i="19" s="1"/>
  <c r="K524" i="19" s="1"/>
  <c r="K523" i="19"/>
  <c r="K522" i="19" s="1"/>
  <c r="K520" i="19"/>
  <c r="K518" i="19"/>
  <c r="K516" i="19"/>
  <c r="K514" i="19" s="1"/>
  <c r="K511" i="19"/>
  <c r="K510" i="19"/>
  <c r="K509" i="19" s="1"/>
  <c r="K508" i="19" s="1"/>
  <c r="K504" i="19"/>
  <c r="K503" i="19" s="1"/>
  <c r="K502" i="19" s="1"/>
  <c r="K500" i="19"/>
  <c r="K499" i="19" s="1"/>
  <c r="K498" i="19" s="1"/>
  <c r="K494" i="19"/>
  <c r="K490" i="19"/>
  <c r="K483" i="19"/>
  <c r="K482" i="19" s="1"/>
  <c r="K481" i="19" s="1"/>
  <c r="K480" i="19" s="1"/>
  <c r="K479" i="19" s="1"/>
  <c r="K478" i="19" s="1"/>
  <c r="K472" i="19"/>
  <c r="K468" i="19"/>
  <c r="K463" i="19"/>
  <c r="K462" i="19" s="1"/>
  <c r="K461" i="19"/>
  <c r="K460" i="19"/>
  <c r="K456" i="19"/>
  <c r="K455" i="19" s="1"/>
  <c r="K454" i="19"/>
  <c r="K453" i="19" s="1"/>
  <c r="K451" i="19"/>
  <c r="K444" i="19"/>
  <c r="K443" i="19" s="1"/>
  <c r="K441" i="19"/>
  <c r="K435" i="19"/>
  <c r="K433" i="19"/>
  <c r="K426" i="19"/>
  <c r="K425" i="19" s="1"/>
  <c r="K424" i="19" s="1"/>
  <c r="K423" i="19" s="1"/>
  <c r="K422" i="19" s="1"/>
  <c r="K421" i="19" s="1"/>
  <c r="K416" i="19"/>
  <c r="K415" i="19" s="1"/>
  <c r="K414" i="19" s="1"/>
  <c r="K413" i="19" s="1"/>
  <c r="K412" i="19" s="1"/>
  <c r="K411" i="19" s="1"/>
  <c r="K409" i="19"/>
  <c r="K408" i="19"/>
  <c r="K407" i="19" s="1"/>
  <c r="K403" i="19"/>
  <c r="K401" i="19"/>
  <c r="K396" i="19"/>
  <c r="K392" i="19"/>
  <c r="K386" i="19"/>
  <c r="K384" i="19"/>
  <c r="K383" i="19"/>
  <c r="K382" i="19"/>
  <c r="K380" i="19"/>
  <c r="K379" i="19"/>
  <c r="K378" i="19"/>
  <c r="K377" i="19"/>
  <c r="K369" i="19"/>
  <c r="K368" i="19" s="1"/>
  <c r="K367" i="19" s="1"/>
  <c r="K364" i="19"/>
  <c r="K360" i="19"/>
  <c r="K358" i="19"/>
  <c r="K357" i="19"/>
  <c r="K356" i="19"/>
  <c r="K351" i="19"/>
  <c r="K348" i="19"/>
  <c r="K347" i="19"/>
  <c r="K345" i="19"/>
  <c r="K340" i="19"/>
  <c r="K337" i="19"/>
  <c r="K333" i="19"/>
  <c r="K330" i="19"/>
  <c r="K325" i="19"/>
  <c r="K319" i="19"/>
  <c r="K318" i="19" s="1"/>
  <c r="K317" i="19" s="1"/>
  <c r="K316" i="19" s="1"/>
  <c r="K315" i="19"/>
  <c r="K314" i="19" s="1"/>
  <c r="K312" i="19"/>
  <c r="K310" i="19"/>
  <c r="K308" i="19"/>
  <c r="K301" i="19"/>
  <c r="K300" i="19" s="1"/>
  <c r="K298" i="19"/>
  <c r="K297" i="19" s="1"/>
  <c r="K295" i="19"/>
  <c r="K294" i="19" s="1"/>
  <c r="K279" i="19"/>
  <c r="K278" i="19"/>
  <c r="K277" i="19" s="1"/>
  <c r="K270" i="19"/>
  <c r="K269" i="19"/>
  <c r="K268" i="19" s="1"/>
  <c r="K262" i="19"/>
  <c r="K261" i="19" s="1"/>
  <c r="K260" i="19" s="1"/>
  <c r="K259" i="19" s="1"/>
  <c r="K258" i="19" s="1"/>
  <c r="K256" i="19"/>
  <c r="K255" i="19"/>
  <c r="K254" i="19" s="1"/>
  <c r="K253" i="19" s="1"/>
  <c r="K252" i="19" s="1"/>
  <c r="K251" i="19" s="1"/>
  <c r="K250" i="19" s="1"/>
  <c r="K247" i="19"/>
  <c r="K246" i="19" s="1"/>
  <c r="K245" i="19" s="1"/>
  <c r="K244" i="19" s="1"/>
  <c r="K243" i="19"/>
  <c r="K242" i="19" s="1"/>
  <c r="K241" i="19" s="1"/>
  <c r="K240" i="19" s="1"/>
  <c r="K238" i="19"/>
  <c r="K237" i="19" s="1"/>
  <c r="K236" i="19"/>
  <c r="K235" i="19" s="1"/>
  <c r="K234" i="19" s="1"/>
  <c r="K233" i="19"/>
  <c r="K232" i="19" s="1"/>
  <c r="K230" i="19"/>
  <c r="K228" i="19" s="1"/>
  <c r="K226" i="19"/>
  <c r="K224" i="19" s="1"/>
  <c r="K221" i="19"/>
  <c r="K220" i="19" s="1"/>
  <c r="K219" i="19" s="1"/>
  <c r="K218" i="19" s="1"/>
  <c r="K209" i="19"/>
  <c r="K208" i="19" s="1"/>
  <c r="K207" i="19" s="1"/>
  <c r="K206" i="19" s="1"/>
  <c r="K205" i="19" s="1"/>
  <c r="K204" i="19" s="1"/>
  <c r="K201" i="19"/>
  <c r="K200" i="19" s="1"/>
  <c r="K199" i="19" s="1"/>
  <c r="K198" i="19" s="1"/>
  <c r="K197" i="19" s="1"/>
  <c r="K196" i="19" s="1"/>
  <c r="K194" i="19"/>
  <c r="K193" i="19" s="1"/>
  <c r="K192" i="19" s="1"/>
  <c r="K191" i="19" s="1"/>
  <c r="K190" i="19" s="1"/>
  <c r="K189" i="19" s="1"/>
  <c r="K187" i="19"/>
  <c r="K186" i="19" s="1"/>
  <c r="K184" i="19"/>
  <c r="K183" i="19" s="1"/>
  <c r="K176" i="19"/>
  <c r="K175" i="19" s="1"/>
  <c r="K174" i="19" s="1"/>
  <c r="K173" i="19" s="1"/>
  <c r="K172" i="19" s="1"/>
  <c r="K167" i="19"/>
  <c r="K166" i="19" s="1"/>
  <c r="K165" i="19" s="1"/>
  <c r="K164" i="19" s="1"/>
  <c r="K163" i="19" s="1"/>
  <c r="K161" i="19"/>
  <c r="K160" i="19" s="1"/>
  <c r="K159" i="19" s="1"/>
  <c r="K158" i="19" s="1"/>
  <c r="K157" i="19" s="1"/>
  <c r="K154" i="19"/>
  <c r="K153" i="19" s="1"/>
  <c r="K152" i="19" s="1"/>
  <c r="K151" i="19" s="1"/>
  <c r="K150" i="19" s="1"/>
  <c r="K149" i="19" s="1"/>
  <c r="K147" i="19"/>
  <c r="K146" i="19" s="1"/>
  <c r="K145" i="19" s="1"/>
  <c r="K144" i="19" s="1"/>
  <c r="K143" i="19" s="1"/>
  <c r="K142" i="19" s="1"/>
  <c r="K141" i="19"/>
  <c r="K140" i="19" s="1"/>
  <c r="K139" i="19" s="1"/>
  <c r="K138" i="19" s="1"/>
  <c r="K137" i="19" s="1"/>
  <c r="K135" i="19"/>
  <c r="K134" i="19" s="1"/>
  <c r="K133" i="19" s="1"/>
  <c r="K132" i="19" s="1"/>
  <c r="K130" i="19"/>
  <c r="K129" i="19" s="1"/>
  <c r="K128" i="19" s="1"/>
  <c r="K126" i="19"/>
  <c r="K125" i="19" s="1"/>
  <c r="K124" i="19" s="1"/>
  <c r="K120" i="19"/>
  <c r="K119" i="19" s="1"/>
  <c r="K118" i="19" s="1"/>
  <c r="K117" i="19" s="1"/>
  <c r="K116" i="19" s="1"/>
  <c r="K114" i="19"/>
  <c r="K113" i="19" s="1"/>
  <c r="K111" i="19"/>
  <c r="K110" i="19" s="1"/>
  <c r="K104" i="19"/>
  <c r="K103" i="19" s="1"/>
  <c r="K102" i="19" s="1"/>
  <c r="K98" i="19"/>
  <c r="K97" i="19" s="1"/>
  <c r="K96" i="19" s="1"/>
  <c r="K94" i="19"/>
  <c r="K93" i="19" s="1"/>
  <c r="K91" i="19"/>
  <c r="K90" i="19" s="1"/>
  <c r="K85" i="19"/>
  <c r="K83" i="19"/>
  <c r="K77" i="19"/>
  <c r="K75" i="19" s="1"/>
  <c r="K74" i="19" s="1"/>
  <c r="K72" i="19"/>
  <c r="K70" i="19"/>
  <c r="K66" i="19"/>
  <c r="K65" i="19" s="1"/>
  <c r="K61" i="19"/>
  <c r="K60" i="19" s="1"/>
  <c r="K59" i="19" s="1"/>
  <c r="K58" i="19" s="1"/>
  <c r="K56" i="19"/>
  <c r="K55" i="19" s="1"/>
  <c r="K54" i="19" s="1"/>
  <c r="K53" i="19" s="1"/>
  <c r="K52" i="19" s="1"/>
  <c r="K50" i="19"/>
  <c r="K49" i="19" s="1"/>
  <c r="K48" i="19" s="1"/>
  <c r="K47" i="19" s="1"/>
  <c r="K46" i="19" s="1"/>
  <c r="K44" i="19"/>
  <c r="K43" i="19" s="1"/>
  <c r="K40" i="19"/>
  <c r="K37" i="19"/>
  <c r="K35" i="19"/>
  <c r="K33" i="19"/>
  <c r="K31" i="19"/>
  <c r="K29" i="19" s="1"/>
  <c r="K23" i="19"/>
  <c r="K22" i="19" s="1"/>
  <c r="K21" i="19" s="1"/>
  <c r="K20" i="19" s="1"/>
  <c r="K19" i="19" s="1"/>
  <c r="M779" i="3"/>
  <c r="H116" i="7"/>
  <c r="H411" i="7"/>
  <c r="H410" i="7" s="1"/>
  <c r="M841" i="3"/>
  <c r="L842" i="3"/>
  <c r="L841" i="3" s="1"/>
  <c r="M637" i="3"/>
  <c r="M636" i="3"/>
  <c r="L574" i="3"/>
  <c r="M573" i="3"/>
  <c r="M532" i="3"/>
  <c r="M531" i="3"/>
  <c r="M530" i="3"/>
  <c r="M526" i="3"/>
  <c r="M525" i="3"/>
  <c r="M522" i="3"/>
  <c r="M519" i="3"/>
  <c r="M515" i="3"/>
  <c r="H40" i="7"/>
  <c r="H39" i="7" s="1"/>
  <c r="M475" i="3"/>
  <c r="L476" i="3"/>
  <c r="L475" i="3" s="1"/>
  <c r="M468" i="3"/>
  <c r="M429" i="3"/>
  <c r="M273" i="3"/>
  <c r="H613" i="7"/>
  <c r="H612" i="7" s="1"/>
  <c r="H611" i="7" s="1"/>
  <c r="H616" i="7"/>
  <c r="H615" i="7" s="1"/>
  <c r="H614" i="7" s="1"/>
  <c r="M250" i="3"/>
  <c r="M249" i="3" s="1"/>
  <c r="M253" i="3"/>
  <c r="M252" i="3" s="1"/>
  <c r="L254" i="3"/>
  <c r="L253" i="3" s="1"/>
  <c r="L252" i="3" s="1"/>
  <c r="L251" i="3"/>
  <c r="L250" i="3" s="1"/>
  <c r="L249" i="3" s="1"/>
  <c r="M227" i="3"/>
  <c r="M186" i="3"/>
  <c r="M184" i="3"/>
  <c r="M91" i="3"/>
  <c r="K82" i="19" l="1"/>
  <c r="K81" i="19" s="1"/>
  <c r="K80" i="19" s="1"/>
  <c r="K79" i="19" s="1"/>
  <c r="K391" i="19"/>
  <c r="K513" i="19"/>
  <c r="K512" i="19" s="1"/>
  <c r="K507" i="19" s="1"/>
  <c r="K506" i="19" s="1"/>
  <c r="K591" i="19"/>
  <c r="K590" i="19" s="1"/>
  <c r="K589" i="19" s="1"/>
  <c r="K588" i="19" s="1"/>
  <c r="K432" i="19"/>
  <c r="K431" i="19" s="1"/>
  <c r="K430" i="19" s="1"/>
  <c r="K429" i="19" s="1"/>
  <c r="K276" i="19"/>
  <c r="K275" i="19" s="1"/>
  <c r="K274" i="19" s="1"/>
  <c r="K273" i="19" s="1"/>
  <c r="K272" i="19" s="1"/>
  <c r="K344" i="19"/>
  <c r="K467" i="19"/>
  <c r="K466" i="19" s="1"/>
  <c r="K465" i="19" s="1"/>
  <c r="K464" i="19" s="1"/>
  <c r="K381" i="19"/>
  <c r="K69" i="19"/>
  <c r="K64" i="19" s="1"/>
  <c r="K63" i="19" s="1"/>
  <c r="K57" i="19" s="1"/>
  <c r="K156" i="19"/>
  <c r="K223" i="19"/>
  <c r="K222" i="19" s="1"/>
  <c r="K217" i="19" s="1"/>
  <c r="K216" i="19" s="1"/>
  <c r="K215" i="19" s="1"/>
  <c r="K355" i="19"/>
  <c r="K459" i="19"/>
  <c r="K458" i="19" s="1"/>
  <c r="K406" i="19"/>
  <c r="K390" i="19" s="1"/>
  <c r="K389" i="19" s="1"/>
  <c r="K388" i="19" s="1"/>
  <c r="K28" i="19"/>
  <c r="K27" i="19" s="1"/>
  <c r="K26" i="19" s="1"/>
  <c r="K25" i="19" s="1"/>
  <c r="K376" i="19"/>
  <c r="K489" i="19"/>
  <c r="K488" i="19" s="1"/>
  <c r="K487" i="19" s="1"/>
  <c r="K486" i="19" s="1"/>
  <c r="K570" i="19"/>
  <c r="K569" i="19" s="1"/>
  <c r="K568" i="19" s="1"/>
  <c r="K567" i="19" s="1"/>
  <c r="K267" i="19"/>
  <c r="K266" i="19" s="1"/>
  <c r="K265" i="19" s="1"/>
  <c r="K264" i="19" s="1"/>
  <c r="K257" i="19" s="1"/>
  <c r="K123" i="19"/>
  <c r="K122" i="19" s="1"/>
  <c r="K89" i="19"/>
  <c r="K88" i="19" s="1"/>
  <c r="K87" i="19" s="1"/>
  <c r="K78" i="19" s="1"/>
  <c r="K450" i="19"/>
  <c r="K449" i="19" s="1"/>
  <c r="K448" i="19" s="1"/>
  <c r="K447" i="19" s="1"/>
  <c r="K293" i="19"/>
  <c r="K292" i="19" s="1"/>
  <c r="K291" i="19" s="1"/>
  <c r="K290" i="19" s="1"/>
  <c r="K537" i="19"/>
  <c r="K536" i="19" s="1"/>
  <c r="K535" i="19" s="1"/>
  <c r="K534" i="19" s="1"/>
  <c r="K182" i="19"/>
  <c r="K181" i="19" s="1"/>
  <c r="K180" i="19" s="1"/>
  <c r="K171" i="19" s="1"/>
  <c r="K170" i="19" s="1"/>
  <c r="K440" i="19"/>
  <c r="K439" i="19" s="1"/>
  <c r="K438" i="19" s="1"/>
  <c r="K437" i="19" s="1"/>
  <c r="K547" i="19"/>
  <c r="K109" i="19"/>
  <c r="K108" i="19" s="1"/>
  <c r="K107" i="19" s="1"/>
  <c r="K307" i="19"/>
  <c r="K306" i="19" s="1"/>
  <c r="K305" i="19" s="1"/>
  <c r="K304" i="19" s="1"/>
  <c r="K497" i="19"/>
  <c r="K496" i="19" s="1"/>
  <c r="K264" i="3"/>
  <c r="K566" i="19" l="1"/>
  <c r="K565" i="19" s="1"/>
  <c r="K375" i="19"/>
  <c r="K374" i="19" s="1"/>
  <c r="K373" i="19" s="1"/>
  <c r="K372" i="19" s="1"/>
  <c r="K18" i="19"/>
  <c r="K428" i="19"/>
  <c r="K324" i="19"/>
  <c r="K323" i="19" s="1"/>
  <c r="K322" i="19" s="1"/>
  <c r="K321" i="19" s="1"/>
  <c r="K446" i="19"/>
  <c r="K214" i="19"/>
  <c r="K533" i="19"/>
  <c r="K485" i="19"/>
  <c r="K477" i="19" s="1"/>
  <c r="K106" i="19"/>
  <c r="K862" i="3"/>
  <c r="K859" i="3"/>
  <c r="K856" i="3"/>
  <c r="K850" i="3"/>
  <c r="K849" i="3" s="1"/>
  <c r="K846" i="3"/>
  <c r="K843" i="3"/>
  <c r="K838" i="3"/>
  <c r="K835" i="3"/>
  <c r="K826" i="3"/>
  <c r="K825" i="3"/>
  <c r="K819" i="3"/>
  <c r="K818" i="3" s="1"/>
  <c r="K817" i="3"/>
  <c r="K816" i="3"/>
  <c r="K815" i="3"/>
  <c r="K807" i="3"/>
  <c r="K806" i="3" s="1"/>
  <c r="K804" i="3"/>
  <c r="K803" i="3" s="1"/>
  <c r="K802" i="3"/>
  <c r="K801" i="3" s="1"/>
  <c r="K800" i="3" s="1"/>
  <c r="K790" i="3"/>
  <c r="K789" i="3" s="1"/>
  <c r="K788" i="3" s="1"/>
  <c r="K787" i="3" s="1"/>
  <c r="K786" i="3" s="1"/>
  <c r="K784" i="3"/>
  <c r="K783" i="3"/>
  <c r="K782" i="3" s="1"/>
  <c r="K780" i="3"/>
  <c r="K778" i="3"/>
  <c r="K777" i="3"/>
  <c r="K776" i="3" s="1"/>
  <c r="K774" i="3"/>
  <c r="K772" i="3" s="1"/>
  <c r="K768" i="3"/>
  <c r="K767" i="3" s="1"/>
  <c r="K766" i="3" s="1"/>
  <c r="K762" i="3"/>
  <c r="K761" i="3" s="1"/>
  <c r="K760" i="3" s="1"/>
  <c r="K759" i="3"/>
  <c r="K758" i="3" s="1"/>
  <c r="K757" i="3" s="1"/>
  <c r="K756" i="3"/>
  <c r="K755" i="3" s="1"/>
  <c r="K754" i="3" s="1"/>
  <c r="K749" i="3"/>
  <c r="K747" i="3"/>
  <c r="K745" i="3" s="1"/>
  <c r="K743" i="3"/>
  <c r="K742" i="3" s="1"/>
  <c r="K741" i="3"/>
  <c r="K740" i="3"/>
  <c r="K739" i="3"/>
  <c r="K735" i="3"/>
  <c r="K734" i="3" s="1"/>
  <c r="K733" i="3" s="1"/>
  <c r="K732" i="3" s="1"/>
  <c r="K728" i="3"/>
  <c r="K727" i="3" s="1"/>
  <c r="K726" i="3" s="1"/>
  <c r="K725" i="3" s="1"/>
  <c r="K724" i="3" s="1"/>
  <c r="K723" i="3" s="1"/>
  <c r="K722" i="3" s="1"/>
  <c r="K718" i="3"/>
  <c r="K717" i="3"/>
  <c r="K714" i="3"/>
  <c r="K713" i="3"/>
  <c r="K709" i="3"/>
  <c r="K708" i="3" s="1"/>
  <c r="K707" i="3" s="1"/>
  <c r="K706" i="3" s="1"/>
  <c r="K703" i="3"/>
  <c r="K702" i="3" s="1"/>
  <c r="K701" i="3"/>
  <c r="K700" i="3"/>
  <c r="K696" i="3"/>
  <c r="K695" i="3" s="1"/>
  <c r="K694" i="3"/>
  <c r="K693" i="3" s="1"/>
  <c r="K692" i="3"/>
  <c r="K691" i="3" s="1"/>
  <c r="K690" i="3"/>
  <c r="K689" i="3"/>
  <c r="K688" i="3"/>
  <c r="K685" i="3"/>
  <c r="K684" i="3" s="1"/>
  <c r="K682" i="3"/>
  <c r="K680" i="3"/>
  <c r="K679" i="3"/>
  <c r="K678" i="3" s="1"/>
  <c r="K677" i="3"/>
  <c r="K676" i="3" s="1"/>
  <c r="K675" i="3"/>
  <c r="K674" i="3" s="1"/>
  <c r="K667" i="3"/>
  <c r="K666" i="3" s="1"/>
  <c r="K665" i="3"/>
  <c r="K664" i="3" s="1"/>
  <c r="K663" i="3" s="1"/>
  <c r="K659" i="3"/>
  <c r="K658" i="3"/>
  <c r="K657" i="3"/>
  <c r="K656" i="3" s="1"/>
  <c r="K655" i="3"/>
  <c r="K654" i="3" s="1"/>
  <c r="K653" i="3"/>
  <c r="K652" i="3" s="1"/>
  <c r="K645" i="3"/>
  <c r="K644" i="3" s="1"/>
  <c r="K643" i="3" s="1"/>
  <c r="K642" i="3" s="1"/>
  <c r="K635" i="3"/>
  <c r="K634" i="3" s="1"/>
  <c r="K633" i="3" s="1"/>
  <c r="K632" i="3" s="1"/>
  <c r="K631" i="3" s="1"/>
  <c r="K630" i="3"/>
  <c r="K629" i="3" s="1"/>
  <c r="K628" i="3" s="1"/>
  <c r="K627" i="3" s="1"/>
  <c r="K626" i="3" s="1"/>
  <c r="K625" i="3" s="1"/>
  <c r="K622" i="3"/>
  <c r="K621" i="3"/>
  <c r="K620" i="3" s="1"/>
  <c r="K618" i="3"/>
  <c r="K616" i="3" s="1"/>
  <c r="K614" i="3"/>
  <c r="K613" i="3"/>
  <c r="K611" i="3" s="1"/>
  <c r="K609" i="3"/>
  <c r="K608" i="3"/>
  <c r="K607" i="3"/>
  <c r="K604" i="3"/>
  <c r="K603" i="3"/>
  <c r="K599" i="3"/>
  <c r="K598" i="3" s="1"/>
  <c r="K597" i="3" s="1"/>
  <c r="K596" i="3" s="1"/>
  <c r="K583" i="3"/>
  <c r="K582" i="3" s="1"/>
  <c r="K581" i="3" s="1"/>
  <c r="K580" i="3" s="1"/>
  <c r="K579" i="3" s="1"/>
  <c r="K578" i="3"/>
  <c r="K576" i="3" s="1"/>
  <c r="K575" i="3"/>
  <c r="K573" i="3" s="1"/>
  <c r="K571" i="3"/>
  <c r="K570" i="3"/>
  <c r="K569" i="3"/>
  <c r="K567" i="3"/>
  <c r="K566" i="3" s="1"/>
  <c r="K565" i="3"/>
  <c r="K564" i="3"/>
  <c r="K562" i="3"/>
  <c r="K561" i="3" s="1"/>
  <c r="K560" i="3"/>
  <c r="K559" i="3"/>
  <c r="K558" i="3"/>
  <c r="K557" i="3"/>
  <c r="K551" i="3"/>
  <c r="K550" i="3" s="1"/>
  <c r="K549" i="3" s="1"/>
  <c r="K548" i="3" s="1"/>
  <c r="K547" i="3"/>
  <c r="K546" i="3" s="1"/>
  <c r="K543" i="3"/>
  <c r="K538" i="3"/>
  <c r="K537" i="3"/>
  <c r="K536" i="3" s="1"/>
  <c r="K535" i="3"/>
  <c r="K534" i="3"/>
  <c r="K529" i="3"/>
  <c r="K528" i="3"/>
  <c r="K527" i="3" s="1"/>
  <c r="K524" i="3"/>
  <c r="K523" i="3"/>
  <c r="K522" i="3"/>
  <c r="K521" i="3"/>
  <c r="K516" i="3"/>
  <c r="K513" i="3"/>
  <c r="K511" i="3"/>
  <c r="K510" i="3"/>
  <c r="K509" i="3"/>
  <c r="K508" i="3"/>
  <c r="K505" i="3"/>
  <c r="K504" i="3"/>
  <c r="K502" i="3"/>
  <c r="K501" i="3"/>
  <c r="K499" i="3"/>
  <c r="K498" i="3"/>
  <c r="K497" i="3"/>
  <c r="K489" i="3"/>
  <c r="K488" i="3" s="1"/>
  <c r="K487" i="3" s="1"/>
  <c r="K486" i="3" s="1"/>
  <c r="K484" i="3"/>
  <c r="K483" i="3"/>
  <c r="K482" i="3" s="1"/>
  <c r="K480" i="3"/>
  <c r="K473" i="3"/>
  <c r="K471" i="3"/>
  <c r="K470" i="3"/>
  <c r="K469" i="3" s="1"/>
  <c r="K467" i="3"/>
  <c r="K466" i="3"/>
  <c r="K465" i="3" s="1"/>
  <c r="K464" i="3"/>
  <c r="K463" i="3" s="1"/>
  <c r="K462" i="3"/>
  <c r="K461" i="3" s="1"/>
  <c r="K460" i="3"/>
  <c r="K459" i="3" s="1"/>
  <c r="K453" i="3"/>
  <c r="K452" i="3" s="1"/>
  <c r="K451" i="3" s="1"/>
  <c r="K449" i="3"/>
  <c r="K448" i="3" s="1"/>
  <c r="K447" i="3"/>
  <c r="K446" i="3" s="1"/>
  <c r="K445" i="3" s="1"/>
  <c r="K438" i="3"/>
  <c r="K437" i="3" s="1"/>
  <c r="K436" i="3"/>
  <c r="K435" i="3" s="1"/>
  <c r="K429" i="3"/>
  <c r="K428" i="3" s="1"/>
  <c r="K427" i="3" s="1"/>
  <c r="K426" i="3" s="1"/>
  <c r="K425" i="3" s="1"/>
  <c r="K424" i="3" s="1"/>
  <c r="K423" i="3" s="1"/>
  <c r="K421" i="3"/>
  <c r="K420" i="3" s="1"/>
  <c r="K419" i="3" s="1"/>
  <c r="K418" i="3" s="1"/>
  <c r="K417" i="3" s="1"/>
  <c r="K416" i="3"/>
  <c r="K415" i="3" s="1"/>
  <c r="K414" i="3"/>
  <c r="K413" i="3" s="1"/>
  <c r="K408" i="3"/>
  <c r="K407" i="3" s="1"/>
  <c r="K406" i="3"/>
  <c r="K405" i="3" s="1"/>
  <c r="K399" i="3"/>
  <c r="K398" i="3" s="1"/>
  <c r="K397" i="3" s="1"/>
  <c r="K396" i="3" s="1"/>
  <c r="K395" i="3" s="1"/>
  <c r="K394" i="3" s="1"/>
  <c r="K393" i="3" s="1"/>
  <c r="K391" i="3"/>
  <c r="K390" i="3" s="1"/>
  <c r="K389" i="3" s="1"/>
  <c r="K388" i="3"/>
  <c r="K387" i="3" s="1"/>
  <c r="K386" i="3" s="1"/>
  <c r="K385" i="3" s="1"/>
  <c r="K380" i="3"/>
  <c r="K379" i="3" s="1"/>
  <c r="K378" i="3" s="1"/>
  <c r="K377" i="3" s="1"/>
  <c r="K376" i="3"/>
  <c r="K374" i="3" s="1"/>
  <c r="K373" i="3" s="1"/>
  <c r="K372" i="3" s="1"/>
  <c r="K371" i="3" s="1"/>
  <c r="K370" i="3"/>
  <c r="K369" i="3" s="1"/>
  <c r="K368" i="3" s="1"/>
  <c r="K367" i="3" s="1"/>
  <c r="K366" i="3" s="1"/>
  <c r="K365" i="3"/>
  <c r="K364" i="3"/>
  <c r="K363" i="3"/>
  <c r="K362" i="3" s="1"/>
  <c r="K361" i="3" s="1"/>
  <c r="K360" i="3" s="1"/>
  <c r="K359" i="3"/>
  <c r="K358" i="3" s="1"/>
  <c r="K357" i="3" s="1"/>
  <c r="K356" i="3"/>
  <c r="K355" i="3" s="1"/>
  <c r="K354" i="3" s="1"/>
  <c r="K353" i="3"/>
  <c r="K352" i="3" s="1"/>
  <c r="K351" i="3"/>
  <c r="K350" i="3" s="1"/>
  <c r="K348" i="3"/>
  <c r="K346" i="3" s="1"/>
  <c r="K342" i="3"/>
  <c r="K339" i="3"/>
  <c r="K338" i="3" s="1"/>
  <c r="K337" i="3" s="1"/>
  <c r="K336" i="3"/>
  <c r="K335" i="3" s="1"/>
  <c r="K334" i="3" s="1"/>
  <c r="K326" i="3"/>
  <c r="K325" i="3" s="1"/>
  <c r="K324" i="3" s="1"/>
  <c r="K323" i="3" s="1"/>
  <c r="K322" i="3" s="1"/>
  <c r="K320" i="3"/>
  <c r="K319" i="3"/>
  <c r="K318" i="3"/>
  <c r="K317" i="3"/>
  <c r="K308" i="3"/>
  <c r="K307" i="3" s="1"/>
  <c r="K306" i="3" s="1"/>
  <c r="K305" i="3" s="1"/>
  <c r="K304" i="3" s="1"/>
  <c r="K302" i="3"/>
  <c r="K301" i="3" s="1"/>
  <c r="K300" i="3" s="1"/>
  <c r="K299" i="3" s="1"/>
  <c r="K298" i="3" s="1"/>
  <c r="K295" i="3"/>
  <c r="K294" i="3" s="1"/>
  <c r="K293" i="3" s="1"/>
  <c r="K292" i="3" s="1"/>
  <c r="K291" i="3" s="1"/>
  <c r="K290" i="3" s="1"/>
  <c r="K288" i="3"/>
  <c r="K287" i="3" s="1"/>
  <c r="K285" i="3"/>
  <c r="K284" i="3" s="1"/>
  <c r="K280" i="3"/>
  <c r="K279" i="3" s="1"/>
  <c r="K278" i="3" s="1"/>
  <c r="K273" i="3"/>
  <c r="K272" i="3" s="1"/>
  <c r="K271" i="3" s="1"/>
  <c r="K263" i="3"/>
  <c r="K262" i="3" s="1"/>
  <c r="K261" i="3" s="1"/>
  <c r="K247" i="3"/>
  <c r="K246" i="3" s="1"/>
  <c r="K244" i="3"/>
  <c r="K243" i="3" s="1"/>
  <c r="K241" i="3"/>
  <c r="K240" i="3" s="1"/>
  <c r="K238" i="3"/>
  <c r="K237" i="3" s="1"/>
  <c r="K235" i="3"/>
  <c r="K234" i="3" s="1"/>
  <c r="K233" i="3"/>
  <c r="K232" i="3" s="1"/>
  <c r="K231" i="3" s="1"/>
  <c r="K229" i="3"/>
  <c r="K228" i="3" s="1"/>
  <c r="K226" i="3"/>
  <c r="K225" i="3" s="1"/>
  <c r="K220" i="3"/>
  <c r="K219" i="3"/>
  <c r="K218" i="3" s="1"/>
  <c r="K217" i="3" s="1"/>
  <c r="K216" i="3" s="1"/>
  <c r="K215" i="3" s="1"/>
  <c r="K213" i="3"/>
  <c r="K212" i="3" s="1"/>
  <c r="K211" i="3" s="1"/>
  <c r="K210" i="3" s="1"/>
  <c r="K209" i="3" s="1"/>
  <c r="K208" i="3"/>
  <c r="K207" i="3" s="1"/>
  <c r="K206" i="3" s="1"/>
  <c r="K205" i="3" s="1"/>
  <c r="K204" i="3" s="1"/>
  <c r="K203" i="3" s="1"/>
  <c r="K201" i="3"/>
  <c r="K200" i="3" s="1"/>
  <c r="K199" i="3" s="1"/>
  <c r="K198" i="3" s="1"/>
  <c r="K197" i="3" s="1"/>
  <c r="K196" i="3" s="1"/>
  <c r="K195" i="3" s="1"/>
  <c r="K194" i="3"/>
  <c r="K193" i="3" s="1"/>
  <c r="K192" i="3" s="1"/>
  <c r="K191" i="3" s="1"/>
  <c r="K190" i="3" s="1"/>
  <c r="K189" i="3" s="1"/>
  <c r="K188" i="3"/>
  <c r="K187" i="3" s="1"/>
  <c r="K185" i="3"/>
  <c r="K183" i="3"/>
  <c r="K176" i="3"/>
  <c r="K175" i="3" s="1"/>
  <c r="K174" i="3"/>
  <c r="K173" i="3" s="1"/>
  <c r="K172" i="3"/>
  <c r="K171" i="3" s="1"/>
  <c r="K169" i="3"/>
  <c r="K164" i="3"/>
  <c r="K162" i="3"/>
  <c r="K161" i="3"/>
  <c r="K160" i="3" s="1"/>
  <c r="K155" i="3"/>
  <c r="K154" i="3" s="1"/>
  <c r="K153" i="3" s="1"/>
  <c r="K151" i="3"/>
  <c r="K150" i="3" s="1"/>
  <c r="K149" i="3" s="1"/>
  <c r="K146" i="3"/>
  <c r="K145" i="3" s="1"/>
  <c r="K144" i="3" s="1"/>
  <c r="K143" i="3" s="1"/>
  <c r="K142" i="3" s="1"/>
  <c r="K141" i="3" s="1"/>
  <c r="K139" i="3"/>
  <c r="K138" i="3" s="1"/>
  <c r="K136" i="3"/>
  <c r="K135" i="3" s="1"/>
  <c r="K129" i="3"/>
  <c r="K128" i="3" s="1"/>
  <c r="K127" i="3" s="1"/>
  <c r="K126" i="3"/>
  <c r="K125" i="3" s="1"/>
  <c r="K124" i="3" s="1"/>
  <c r="K122" i="3"/>
  <c r="K120" i="3" s="1"/>
  <c r="K119" i="3" s="1"/>
  <c r="K117" i="3"/>
  <c r="K116" i="3" s="1"/>
  <c r="K115" i="3" s="1"/>
  <c r="K113" i="3"/>
  <c r="K111" i="3"/>
  <c r="K105" i="3"/>
  <c r="K103" i="3"/>
  <c r="K101" i="3"/>
  <c r="K99" i="3"/>
  <c r="K92" i="3"/>
  <c r="K91" i="3"/>
  <c r="K90" i="3" s="1"/>
  <c r="K87" i="3"/>
  <c r="K86" i="3" s="1"/>
  <c r="K84" i="3"/>
  <c r="K83" i="3"/>
  <c r="K80" i="3"/>
  <c r="K79" i="3" s="1"/>
  <c r="K78" i="3" s="1"/>
  <c r="K77" i="3"/>
  <c r="K76" i="3" s="1"/>
  <c r="K75" i="3"/>
  <c r="K74" i="3" s="1"/>
  <c r="K71" i="3"/>
  <c r="K70" i="3" s="1"/>
  <c r="K69" i="3" s="1"/>
  <c r="K66" i="3"/>
  <c r="K65" i="3" s="1"/>
  <c r="K64" i="3" s="1"/>
  <c r="K63" i="3" s="1"/>
  <c r="K62" i="3" s="1"/>
  <c r="K60" i="3"/>
  <c r="K59" i="3" s="1"/>
  <c r="K58" i="3" s="1"/>
  <c r="K57" i="3" s="1"/>
  <c r="K55" i="3"/>
  <c r="K54" i="3" s="1"/>
  <c r="K53" i="3" s="1"/>
  <c r="K52" i="3" s="1"/>
  <c r="K51" i="3" s="1"/>
  <c r="K49" i="3"/>
  <c r="K48" i="3" s="1"/>
  <c r="K47" i="3" s="1"/>
  <c r="K46" i="3" s="1"/>
  <c r="K45" i="3" s="1"/>
  <c r="K43" i="3"/>
  <c r="K42" i="3" s="1"/>
  <c r="K39" i="3"/>
  <c r="K36" i="3"/>
  <c r="K34" i="3"/>
  <c r="K32" i="3"/>
  <c r="K31" i="3"/>
  <c r="K29" i="3"/>
  <c r="K28" i="3"/>
  <c r="K22" i="3"/>
  <c r="K21" i="3" s="1"/>
  <c r="K20" i="3" s="1"/>
  <c r="K19" i="3" s="1"/>
  <c r="K18" i="3" s="1"/>
  <c r="K17" i="3" s="1"/>
  <c r="K533" i="3" l="1"/>
  <c r="K824" i="3"/>
  <c r="K823" i="3" s="1"/>
  <c r="K822" i="3" s="1"/>
  <c r="K821" i="3" s="1"/>
  <c r="K820" i="3" s="1"/>
  <c r="K303" i="19"/>
  <c r="K289" i="19" s="1"/>
  <c r="K82" i="3"/>
  <c r="K81" i="3" s="1"/>
  <c r="K503" i="3"/>
  <c r="K712" i="3"/>
  <c r="K17" i="19"/>
  <c r="K420" i="19"/>
  <c r="K506" i="3"/>
  <c r="K606" i="3"/>
  <c r="K716" i="3"/>
  <c r="K495" i="3"/>
  <c r="K563" i="3"/>
  <c r="K568" i="3"/>
  <c r="K434" i="3"/>
  <c r="K433" i="3" s="1"/>
  <c r="K432" i="3" s="1"/>
  <c r="K431" i="3" s="1"/>
  <c r="K430" i="3" s="1"/>
  <c r="K89" i="3"/>
  <c r="K88" i="3" s="1"/>
  <c r="K744" i="3"/>
  <c r="K753" i="3"/>
  <c r="K752" i="3" s="1"/>
  <c r="K751" i="3" s="1"/>
  <c r="K73" i="3"/>
  <c r="K520" i="3"/>
  <c r="K687" i="3"/>
  <c r="K686" i="3" s="1"/>
  <c r="K699" i="3"/>
  <c r="K698" i="3" s="1"/>
  <c r="K697" i="3" s="1"/>
  <c r="K27" i="3"/>
  <c r="K500" i="3"/>
  <c r="K556" i="3"/>
  <c r="K673" i="3"/>
  <c r="K738" i="3"/>
  <c r="K737" i="3" s="1"/>
  <c r="K148" i="3"/>
  <c r="K297" i="3"/>
  <c r="K444" i="3"/>
  <c r="K443" i="3" s="1"/>
  <c r="K442" i="3" s="1"/>
  <c r="K441" i="3" s="1"/>
  <c r="K834" i="3"/>
  <c r="K833" i="3" s="1"/>
  <c r="K832" i="3" s="1"/>
  <c r="K831" i="3" s="1"/>
  <c r="K333" i="3"/>
  <c r="K283" i="3"/>
  <c r="K282" i="3" s="1"/>
  <c r="K281" i="3" s="1"/>
  <c r="K98" i="3"/>
  <c r="K97" i="3" s="1"/>
  <c r="K96" i="3" s="1"/>
  <c r="K95" i="3" s="1"/>
  <c r="K412" i="3"/>
  <c r="K411" i="3" s="1"/>
  <c r="K410" i="3" s="1"/>
  <c r="K409" i="3" s="1"/>
  <c r="K542" i="3"/>
  <c r="K641" i="3"/>
  <c r="K640" i="3" s="1"/>
  <c r="K662" i="3"/>
  <c r="K661" i="3" s="1"/>
  <c r="K660" i="3" s="1"/>
  <c r="K159" i="3"/>
  <c r="K158" i="3" s="1"/>
  <c r="K157" i="3" s="1"/>
  <c r="K224" i="3"/>
  <c r="K223" i="3" s="1"/>
  <c r="K222" i="3" s="1"/>
  <c r="K221" i="3" s="1"/>
  <c r="K270" i="3"/>
  <c r="K269" i="3" s="1"/>
  <c r="K268" i="3" s="1"/>
  <c r="K118" i="3"/>
  <c r="K26" i="3"/>
  <c r="K25" i="3" s="1"/>
  <c r="K24" i="3" s="1"/>
  <c r="K23" i="3" s="1"/>
  <c r="K134" i="3"/>
  <c r="K133" i="3" s="1"/>
  <c r="K132" i="3" s="1"/>
  <c r="K168" i="3"/>
  <c r="K167" i="3" s="1"/>
  <c r="K166" i="3" s="1"/>
  <c r="K341" i="3"/>
  <c r="K340" i="3" s="1"/>
  <c r="K384" i="3"/>
  <c r="K383" i="3" s="1"/>
  <c r="K382" i="3" s="1"/>
  <c r="K479" i="3"/>
  <c r="K478" i="3" s="1"/>
  <c r="K477" i="3" s="1"/>
  <c r="K619" i="3"/>
  <c r="K202" i="3"/>
  <c r="K182" i="3"/>
  <c r="K110" i="3"/>
  <c r="K109" i="3" s="1"/>
  <c r="K404" i="3"/>
  <c r="K403" i="3" s="1"/>
  <c r="K402" i="3" s="1"/>
  <c r="K401" i="3" s="1"/>
  <c r="K624" i="3"/>
  <c r="K771" i="3"/>
  <c r="K770" i="3" s="1"/>
  <c r="K765" i="3" s="1"/>
  <c r="K764" i="3" s="1"/>
  <c r="K316" i="3"/>
  <c r="K315" i="3" s="1"/>
  <c r="K314" i="3" s="1"/>
  <c r="K313" i="3" s="1"/>
  <c r="K312" i="3" s="1"/>
  <c r="K311" i="3" s="1"/>
  <c r="K458" i="3"/>
  <c r="K457" i="3" s="1"/>
  <c r="K456" i="3" s="1"/>
  <c r="K602" i="3"/>
  <c r="K799" i="3"/>
  <c r="K798" i="3" s="1"/>
  <c r="K797" i="3" s="1"/>
  <c r="K796" i="3" s="1"/>
  <c r="K814" i="3"/>
  <c r="K813" i="3" s="1"/>
  <c r="K812" i="3" s="1"/>
  <c r="K811" i="3" s="1"/>
  <c r="K810" i="3" s="1"/>
  <c r="K809" i="3" s="1"/>
  <c r="K855" i="3"/>
  <c r="K854" i="3" s="1"/>
  <c r="K853" i="3" s="1"/>
  <c r="K852" i="3" s="1"/>
  <c r="K651" i="3"/>
  <c r="K650" i="3" s="1"/>
  <c r="K649" i="3" s="1"/>
  <c r="K648" i="3" s="1"/>
  <c r="M264" i="3"/>
  <c r="K16" i="19" l="1"/>
  <c r="K736" i="3"/>
  <c r="K731" i="3" s="1"/>
  <c r="K730" i="3" s="1"/>
  <c r="K729" i="3" s="1"/>
  <c r="K721" i="3" s="1"/>
  <c r="K711" i="3"/>
  <c r="K710" i="3" s="1"/>
  <c r="K705" i="3" s="1"/>
  <c r="K704" i="3" s="1"/>
  <c r="K601" i="3"/>
  <c r="K600" i="3" s="1"/>
  <c r="K595" i="3" s="1"/>
  <c r="K594" i="3" s="1"/>
  <c r="K555" i="3"/>
  <c r="K554" i="3" s="1"/>
  <c r="K553" i="3" s="1"/>
  <c r="K552" i="3" s="1"/>
  <c r="K795" i="3"/>
  <c r="K494" i="3"/>
  <c r="K493" i="3" s="1"/>
  <c r="K492" i="3" s="1"/>
  <c r="K491" i="3" s="1"/>
  <c r="K68" i="3"/>
  <c r="K67" i="3" s="1"/>
  <c r="K56" i="3" s="1"/>
  <c r="K16" i="3" s="1"/>
  <c r="K647" i="3"/>
  <c r="K332" i="3"/>
  <c r="K331" i="3" s="1"/>
  <c r="K330" i="3" s="1"/>
  <c r="K672" i="3"/>
  <c r="K671" i="3" s="1"/>
  <c r="K670" i="3" s="1"/>
  <c r="K669" i="3" s="1"/>
  <c r="K108" i="3"/>
  <c r="K107" i="3" s="1"/>
  <c r="K94" i="3" s="1"/>
  <c r="K147" i="3"/>
  <c r="K131" i="3" s="1"/>
  <c r="K830" i="3"/>
  <c r="K829" i="3" s="1"/>
  <c r="K400" i="3"/>
  <c r="K267" i="3"/>
  <c r="K266" i="3" s="1"/>
  <c r="K455" i="3"/>
  <c r="K181" i="3"/>
  <c r="K180" i="3"/>
  <c r="K179" i="3" s="1"/>
  <c r="K178" i="3" s="1"/>
  <c r="M508" i="3"/>
  <c r="K639" i="3" l="1"/>
  <c r="K329" i="3"/>
  <c r="K15" i="3"/>
  <c r="K454" i="3"/>
  <c r="K440" i="3" s="1"/>
  <c r="K14" i="3" l="1"/>
  <c r="M77" i="3"/>
  <c r="M87" i="3" l="1"/>
  <c r="M694" i="3" l="1"/>
  <c r="M659" i="3"/>
  <c r="H249" i="7"/>
  <c r="H248" i="7" s="1"/>
  <c r="M780" i="3"/>
  <c r="L781" i="3"/>
  <c r="L780" i="3" s="1"/>
  <c r="M607" i="3"/>
  <c r="M603" i="3"/>
  <c r="M66" i="3" l="1"/>
  <c r="M220" i="3" l="1"/>
  <c r="M56" i="19" l="1"/>
  <c r="M819" i="3" l="1"/>
  <c r="M370" i="3"/>
  <c r="H351" i="7" l="1"/>
  <c r="H350" i="7" s="1"/>
  <c r="M308" i="3" l="1"/>
  <c r="M307" i="3" s="1"/>
  <c r="M306" i="3" s="1"/>
  <c r="M305" i="3" s="1"/>
  <c r="M304" i="3" s="1"/>
  <c r="L309" i="3"/>
  <c r="L308" i="3" s="1"/>
  <c r="L307" i="3" s="1"/>
  <c r="L306" i="3" s="1"/>
  <c r="L305" i="3" s="1"/>
  <c r="L304" i="3" s="1"/>
  <c r="M677" i="3" l="1"/>
  <c r="M359" i="3"/>
  <c r="M318" i="3"/>
  <c r="M362" i="3" l="1"/>
  <c r="H610" i="7"/>
  <c r="H609" i="7" s="1"/>
  <c r="H608" i="7" s="1"/>
  <c r="H607" i="7"/>
  <c r="H606" i="7" s="1"/>
  <c r="H605" i="7" s="1"/>
  <c r="M244" i="3"/>
  <c r="M243" i="3" s="1"/>
  <c r="M247" i="3"/>
  <c r="M246" i="3" s="1"/>
  <c r="L248" i="3"/>
  <c r="L247" i="3" s="1"/>
  <c r="L246" i="3" s="1"/>
  <c r="L245" i="3"/>
  <c r="L244" i="3" s="1"/>
  <c r="L243" i="3" s="1"/>
  <c r="H604" i="7" l="1"/>
  <c r="H603" i="7" s="1"/>
  <c r="H602" i="7" s="1"/>
  <c r="M241" i="3"/>
  <c r="M240" i="3" s="1"/>
  <c r="L242" i="3"/>
  <c r="L241" i="3" s="1"/>
  <c r="L240" i="3" s="1"/>
  <c r="M233" i="3"/>
  <c r="B16" i="9" s="1"/>
  <c r="M717" i="3" l="1"/>
  <c r="M388" i="3" l="1"/>
  <c r="M391" i="3" l="1"/>
  <c r="M390" i="3" s="1"/>
  <c r="M389" i="3" s="1"/>
  <c r="L392" i="3"/>
  <c r="L391" i="3" s="1"/>
  <c r="L390" i="3" s="1"/>
  <c r="L389" i="3" s="1"/>
  <c r="M447" i="3" l="1"/>
  <c r="M453" i="3"/>
  <c r="M348" i="3" l="1"/>
  <c r="M578" i="3" l="1"/>
  <c r="M825" i="3" l="1"/>
  <c r="M713" i="3"/>
  <c r="M701" i="3"/>
  <c r="M714" i="3"/>
  <c r="M353" i="3"/>
  <c r="M351" i="3"/>
  <c r="H397" i="7"/>
  <c r="M414" i="3"/>
  <c r="M630" i="3" l="1"/>
  <c r="M528" i="3"/>
  <c r="H34" i="7"/>
  <c r="H33" i="7" s="1"/>
  <c r="M471" i="3"/>
  <c r="L472" i="3"/>
  <c r="L471" i="3" s="1"/>
  <c r="M497" i="3" l="1"/>
  <c r="C28" i="8" l="1"/>
  <c r="M122" i="3" l="1"/>
  <c r="M188" i="3"/>
  <c r="I190" i="18" l="1"/>
  <c r="I189" i="18" s="1"/>
  <c r="H190" i="18"/>
  <c r="H189" i="18" s="1"/>
  <c r="N504" i="19"/>
  <c r="N503" i="19" s="1"/>
  <c r="N502" i="19" s="1"/>
  <c r="M504" i="19"/>
  <c r="M503" i="19" s="1"/>
  <c r="M502" i="19" s="1"/>
  <c r="L505" i="19"/>
  <c r="L504" i="19" s="1"/>
  <c r="L503" i="19" s="1"/>
  <c r="L502" i="19" s="1"/>
  <c r="H251" i="7"/>
  <c r="H250" i="7" s="1"/>
  <c r="M762" i="3"/>
  <c r="M761" i="3" s="1"/>
  <c r="M760" i="3" s="1"/>
  <c r="L763" i="3"/>
  <c r="L762" i="3" s="1"/>
  <c r="L761" i="3" s="1"/>
  <c r="L760" i="3" s="1"/>
  <c r="M499" i="3"/>
  <c r="H38" i="7"/>
  <c r="H37" i="7" s="1"/>
  <c r="M473" i="3" l="1"/>
  <c r="L474" i="3"/>
  <c r="L473" i="3" s="1"/>
  <c r="H598" i="7"/>
  <c r="H597" i="7" s="1"/>
  <c r="H596" i="7" s="1"/>
  <c r="M238" i="3"/>
  <c r="M237" i="3" s="1"/>
  <c r="L239" i="3"/>
  <c r="L238" i="3" s="1"/>
  <c r="L237" i="3" s="1"/>
  <c r="H601" i="7"/>
  <c r="H600" i="7" s="1"/>
  <c r="H599" i="7" s="1"/>
  <c r="M380" i="3"/>
  <c r="M379" i="3" s="1"/>
  <c r="M378" i="3" s="1"/>
  <c r="M377" i="3" s="1"/>
  <c r="L381" i="3"/>
  <c r="L380" i="3" s="1"/>
  <c r="L379" i="3" s="1"/>
  <c r="L378" i="3" s="1"/>
  <c r="L377" i="3" s="1"/>
  <c r="H442" i="7" l="1"/>
  <c r="H441" i="7" s="1"/>
  <c r="H440" i="7" s="1"/>
  <c r="M565" i="3" l="1"/>
  <c r="M504" i="3"/>
  <c r="L630" i="3"/>
  <c r="L629" i="3" s="1"/>
  <c r="L628" i="3" s="1"/>
  <c r="L627" i="3" s="1"/>
  <c r="L626" i="3" s="1"/>
  <c r="L625" i="3" s="1"/>
  <c r="M629" i="3"/>
  <c r="M628" i="3" s="1"/>
  <c r="M627" i="3" s="1"/>
  <c r="M626" i="3" s="1"/>
  <c r="M625" i="3" s="1"/>
  <c r="M436" i="3" l="1"/>
  <c r="M613" i="3" l="1"/>
  <c r="M611" i="3" s="1"/>
  <c r="M272" i="3" l="1"/>
  <c r="M271" i="3" s="1"/>
  <c r="M551" i="3" l="1"/>
  <c r="M550" i="3" s="1"/>
  <c r="M817" i="3" l="1"/>
  <c r="M256" i="19"/>
  <c r="H343" i="18" s="1"/>
  <c r="H342" i="18" s="1"/>
  <c r="H341" i="18" s="1"/>
  <c r="H340" i="18" s="1"/>
  <c r="I343" i="18"/>
  <c r="I342" i="18" s="1"/>
  <c r="I341" i="18" s="1"/>
  <c r="I340" i="18" s="1"/>
  <c r="N255" i="19"/>
  <c r="N254" i="19" s="1"/>
  <c r="N253" i="19" s="1"/>
  <c r="N252" i="19" s="1"/>
  <c r="N251" i="19" s="1"/>
  <c r="M236" i="19"/>
  <c r="M230" i="19"/>
  <c r="M226" i="19"/>
  <c r="M233" i="19"/>
  <c r="M221" i="19"/>
  <c r="M280" i="3"/>
  <c r="M692" i="3"/>
  <c r="M747" i="3"/>
  <c r="L256" i="19" l="1"/>
  <c r="L255" i="19" s="1"/>
  <c r="L254" i="19" s="1"/>
  <c r="L253" i="19" s="1"/>
  <c r="L252" i="19" s="1"/>
  <c r="L251" i="19" s="1"/>
  <c r="L250" i="19" s="1"/>
  <c r="M255" i="19"/>
  <c r="M254" i="19" s="1"/>
  <c r="M253" i="19" s="1"/>
  <c r="M252" i="19" s="1"/>
  <c r="M251" i="19" s="1"/>
  <c r="M250" i="19" s="1"/>
  <c r="N629" i="19"/>
  <c r="N250" i="19"/>
  <c r="M629" i="19" l="1"/>
  <c r="M562" i="3"/>
  <c r="M336" i="3"/>
  <c r="M31" i="19"/>
  <c r="M141" i="19"/>
  <c r="M174" i="3"/>
  <c r="H439" i="7"/>
  <c r="H438" i="7" s="1"/>
  <c r="H437" i="7" s="1"/>
  <c r="M213" i="3"/>
  <c r="M212" i="3" s="1"/>
  <c r="M211" i="3" s="1"/>
  <c r="M210" i="3" s="1"/>
  <c r="M209" i="3" s="1"/>
  <c r="M909" i="3" s="1"/>
  <c r="D47" i="6" s="1"/>
  <c r="L214" i="3"/>
  <c r="L213" i="3" s="1"/>
  <c r="L212" i="3" s="1"/>
  <c r="L211" i="3" s="1"/>
  <c r="L210" i="3" s="1"/>
  <c r="L209" i="3" s="1"/>
  <c r="I427" i="18" l="1"/>
  <c r="I426" i="18" s="1"/>
  <c r="I425" i="18" s="1"/>
  <c r="H427" i="18"/>
  <c r="H426" i="18" s="1"/>
  <c r="H425" i="18" s="1"/>
  <c r="N140" i="19"/>
  <c r="N139" i="19" s="1"/>
  <c r="N138" i="19" s="1"/>
  <c r="N137" i="19" s="1"/>
  <c r="M140" i="19"/>
  <c r="M139" i="19" s="1"/>
  <c r="M138" i="19" s="1"/>
  <c r="M137" i="19" s="1"/>
  <c r="L141" i="19"/>
  <c r="L140" i="19" s="1"/>
  <c r="L139" i="19" s="1"/>
  <c r="L138" i="19" s="1"/>
  <c r="L137" i="19" s="1"/>
  <c r="H551" i="7"/>
  <c r="H550" i="7" s="1"/>
  <c r="M173" i="3"/>
  <c r="L174" i="3"/>
  <c r="L173" i="3" s="1"/>
  <c r="H595" i="7" l="1"/>
  <c r="H594" i="7" s="1"/>
  <c r="H593" i="7" s="1"/>
  <c r="M235" i="3"/>
  <c r="M234" i="3" s="1"/>
  <c r="L236" i="3"/>
  <c r="L235" i="3" s="1"/>
  <c r="L234" i="3" s="1"/>
  <c r="H626" i="7"/>
  <c r="H625" i="7" s="1"/>
  <c r="M90" i="3"/>
  <c r="L91" i="3"/>
  <c r="L90" i="3" s="1"/>
  <c r="N516" i="19"/>
  <c r="N523" i="19"/>
  <c r="M523" i="19"/>
  <c r="M783" i="3"/>
  <c r="H589" i="7" l="1"/>
  <c r="H592" i="7"/>
  <c r="H591" i="7" s="1"/>
  <c r="H590" i="7" s="1"/>
  <c r="M232" i="3"/>
  <c r="M231" i="3" s="1"/>
  <c r="L233" i="3"/>
  <c r="L232" i="3" s="1"/>
  <c r="L231" i="3" s="1"/>
  <c r="M483" i="3" l="1"/>
  <c r="L483" i="3" s="1"/>
  <c r="L482" i="3" s="1"/>
  <c r="H314" i="7" l="1"/>
  <c r="M482" i="3"/>
  <c r="M621" i="3" l="1"/>
  <c r="M31" i="3" l="1"/>
  <c r="M777" i="3" l="1"/>
  <c r="H628" i="7" l="1"/>
  <c r="H627" i="7" s="1"/>
  <c r="H588" i="7"/>
  <c r="H587" i="7" s="1"/>
  <c r="L264" i="3" l="1"/>
  <c r="L263" i="3" s="1"/>
  <c r="L262" i="3" s="1"/>
  <c r="L261" i="3" s="1"/>
  <c r="M263" i="3"/>
  <c r="M262" i="3" s="1"/>
  <c r="M261" i="3" s="1"/>
  <c r="L230" i="3" l="1"/>
  <c r="L229" i="3" s="1"/>
  <c r="L228" i="3" s="1"/>
  <c r="M229" i="3"/>
  <c r="M228" i="3" s="1"/>
  <c r="M319" i="3"/>
  <c r="I188" i="18" l="1"/>
  <c r="H188" i="18"/>
  <c r="I186" i="18"/>
  <c r="H186" i="18"/>
  <c r="I184" i="18"/>
  <c r="H184" i="18"/>
  <c r="I183" i="18"/>
  <c r="H183" i="18"/>
  <c r="I182" i="18"/>
  <c r="H182" i="18"/>
  <c r="I170" i="18"/>
  <c r="M511" i="19"/>
  <c r="M510" i="19" s="1"/>
  <c r="M509" i="19" s="1"/>
  <c r="M508" i="19" s="1"/>
  <c r="N510" i="19"/>
  <c r="N509" i="19" s="1"/>
  <c r="N508" i="19" s="1"/>
  <c r="N522" i="19"/>
  <c r="H192" i="18"/>
  <c r="L521" i="19"/>
  <c r="L520" i="19" s="1"/>
  <c r="N520" i="19"/>
  <c r="M520" i="19"/>
  <c r="L519" i="19"/>
  <c r="L518" i="19" s="1"/>
  <c r="N518" i="19"/>
  <c r="M518" i="19"/>
  <c r="L517" i="19"/>
  <c r="L516" i="19"/>
  <c r="L515" i="19"/>
  <c r="N514" i="19"/>
  <c r="M514" i="19"/>
  <c r="H255" i="7"/>
  <c r="H253" i="7"/>
  <c r="H247" i="7"/>
  <c r="M778" i="3"/>
  <c r="M784" i="3"/>
  <c r="M782" i="3"/>
  <c r="M776" i="3"/>
  <c r="M772" i="3"/>
  <c r="M743" i="3"/>
  <c r="H245" i="7" s="1"/>
  <c r="M741" i="3"/>
  <c r="H243" i="7" s="1"/>
  <c r="M740" i="3"/>
  <c r="H242" i="7" s="1"/>
  <c r="M739" i="3"/>
  <c r="H241" i="7" s="1"/>
  <c r="M768" i="3"/>
  <c r="M767" i="3" s="1"/>
  <c r="M766" i="3" s="1"/>
  <c r="L785" i="3"/>
  <c r="L784" i="3" s="1"/>
  <c r="L783" i="3"/>
  <c r="L782" i="3" s="1"/>
  <c r="L779" i="3"/>
  <c r="L778" i="3" s="1"/>
  <c r="L775" i="3"/>
  <c r="L774" i="3"/>
  <c r="L769" i="3"/>
  <c r="L768" i="3" s="1"/>
  <c r="L767" i="3" s="1"/>
  <c r="L766" i="3" s="1"/>
  <c r="M735" i="3"/>
  <c r="H226" i="7" s="1"/>
  <c r="N513" i="19" l="1"/>
  <c r="N512" i="19" s="1"/>
  <c r="N507" i="19" s="1"/>
  <c r="N506" i="19" s="1"/>
  <c r="N652" i="19" s="1"/>
  <c r="F53" i="6" s="1"/>
  <c r="M771" i="3"/>
  <c r="L514" i="19"/>
  <c r="M522" i="19"/>
  <c r="M513" i="19" s="1"/>
  <c r="L523" i="19"/>
  <c r="L522" i="19" s="1"/>
  <c r="H170" i="18"/>
  <c r="I192" i="18"/>
  <c r="L511" i="19"/>
  <c r="L510" i="19" s="1"/>
  <c r="L509" i="19" s="1"/>
  <c r="L508" i="19" s="1"/>
  <c r="L777" i="3"/>
  <c r="L776" i="3" s="1"/>
  <c r="L773" i="3"/>
  <c r="L772" i="3" s="1"/>
  <c r="H387" i="7"/>
  <c r="H386" i="7" s="1"/>
  <c r="L771" i="3" l="1"/>
  <c r="L513" i="19"/>
  <c r="L512" i="19" s="1"/>
  <c r="L507" i="19" s="1"/>
  <c r="L506" i="19" s="1"/>
  <c r="M512" i="19"/>
  <c r="M507" i="19" s="1"/>
  <c r="M506" i="19" s="1"/>
  <c r="M652" i="19" s="1"/>
  <c r="E53" i="6" s="1"/>
  <c r="M770" i="3"/>
  <c r="M765" i="3" s="1"/>
  <c r="M764" i="3" s="1"/>
  <c r="M916" i="3" s="1"/>
  <c r="D53" i="6" s="1"/>
  <c r="M352" i="3"/>
  <c r="L353" i="3"/>
  <c r="L352" i="3" s="1"/>
  <c r="L770" i="3" l="1"/>
  <c r="L765" i="3" s="1"/>
  <c r="L764" i="3" s="1"/>
  <c r="H578" i="7" l="1"/>
  <c r="H577" i="7" s="1"/>
  <c r="H514" i="7" l="1"/>
  <c r="L30" i="3"/>
  <c r="M29" i="3"/>
  <c r="M126" i="3"/>
  <c r="M27" i="3" l="1"/>
  <c r="M406" i="3" l="1"/>
  <c r="M161" i="3"/>
  <c r="H554" i="7" l="1"/>
  <c r="H553" i="7" s="1"/>
  <c r="M176" i="3"/>
  <c r="M175" i="3" s="1"/>
  <c r="L177" i="3"/>
  <c r="L176" i="3" s="1"/>
  <c r="L175" i="3" s="1"/>
  <c r="M689" i="3" l="1"/>
  <c r="M802" i="3" l="1"/>
  <c r="M728" i="3"/>
  <c r="H104" i="7" l="1"/>
  <c r="H103" i="7" s="1"/>
  <c r="M561" i="3"/>
  <c r="L562" i="3"/>
  <c r="L561" i="3" s="1"/>
  <c r="L363" i="3"/>
  <c r="M376" i="3"/>
  <c r="M146" i="3"/>
  <c r="M208" i="3"/>
  <c r="H137" i="7" l="1"/>
  <c r="L613" i="3"/>
  <c r="M609" i="3"/>
  <c r="H195" i="7" l="1"/>
  <c r="H194" i="7" s="1"/>
  <c r="M693" i="3"/>
  <c r="L694" i="3"/>
  <c r="L693" i="3" s="1"/>
  <c r="H184" i="7"/>
  <c r="H183" i="7" s="1"/>
  <c r="M682" i="3"/>
  <c r="L683" i="3"/>
  <c r="L682" i="3" s="1"/>
  <c r="H170" i="7"/>
  <c r="H169" i="7" s="1"/>
  <c r="M658" i="3"/>
  <c r="L659" i="3"/>
  <c r="L658" i="3" s="1"/>
  <c r="H120" i="7" l="1"/>
  <c r="H119" i="7"/>
  <c r="H75" i="7"/>
  <c r="H74" i="7" s="1"/>
  <c r="I106" i="18"/>
  <c r="H106" i="18"/>
  <c r="M403" i="19"/>
  <c r="N403" i="19"/>
  <c r="L405" i="19"/>
  <c r="N347" i="19"/>
  <c r="M347" i="19"/>
  <c r="N345" i="19"/>
  <c r="M345" i="19"/>
  <c r="N315" i="19"/>
  <c r="M315" i="19"/>
  <c r="M618" i="3"/>
  <c r="M470" i="3"/>
  <c r="M576" i="3"/>
  <c r="L578" i="3"/>
  <c r="L577" i="3"/>
  <c r="M527" i="3"/>
  <c r="L528" i="3"/>
  <c r="L527" i="3" s="1"/>
  <c r="H118" i="7" l="1"/>
  <c r="L576" i="3"/>
  <c r="M690" i="3"/>
  <c r="M226" i="3"/>
  <c r="M225" i="3" s="1"/>
  <c r="M224" i="3" s="1"/>
  <c r="H586" i="7"/>
  <c r="H585" i="7" s="1"/>
  <c r="H584" i="7" s="1"/>
  <c r="H583" i="7" s="1"/>
  <c r="H582" i="7" l="1"/>
  <c r="M223" i="3"/>
  <c r="M222" i="3" s="1"/>
  <c r="M925" i="3" s="1"/>
  <c r="M221" i="3" l="1"/>
  <c r="D57" i="6"/>
  <c r="L227" i="3"/>
  <c r="L226" i="3" s="1"/>
  <c r="L225" i="3" s="1"/>
  <c r="L224" i="3" s="1"/>
  <c r="L223" i="3" l="1"/>
  <c r="L222" i="3" s="1"/>
  <c r="H630" i="7"/>
  <c r="H629" i="7" s="1"/>
  <c r="M92" i="3"/>
  <c r="L93" i="3"/>
  <c r="L92" i="3" s="1"/>
  <c r="L89" i="3" s="1"/>
  <c r="L88" i="3" l="1"/>
  <c r="M89" i="3"/>
  <c r="M88" i="3" s="1"/>
  <c r="L221" i="3"/>
  <c r="L493" i="19"/>
  <c r="M602" i="19" l="1"/>
  <c r="I67" i="18"/>
  <c r="I66" i="18" s="1"/>
  <c r="H67" i="18"/>
  <c r="H66" i="18" s="1"/>
  <c r="M269" i="19"/>
  <c r="M270" i="19"/>
  <c r="N270" i="19"/>
  <c r="L271" i="19"/>
  <c r="L270" i="19" s="1"/>
  <c r="M509" i="3" l="1"/>
  <c r="H56" i="7" s="1"/>
  <c r="I76" i="18"/>
  <c r="H76" i="18"/>
  <c r="I75" i="18"/>
  <c r="H75" i="18"/>
  <c r="H92" i="7"/>
  <c r="H93" i="7"/>
  <c r="N364" i="19"/>
  <c r="M364" i="19"/>
  <c r="L366" i="19"/>
  <c r="L365" i="19"/>
  <c r="M543" i="3"/>
  <c r="L545" i="3"/>
  <c r="L544" i="3"/>
  <c r="L509" i="3" l="1"/>
  <c r="H74" i="18"/>
  <c r="I74" i="18"/>
  <c r="L364" i="19"/>
  <c r="H91" i="7"/>
  <c r="L543" i="3"/>
  <c r="M703" i="3"/>
  <c r="H48" i="7"/>
  <c r="H311" i="7"/>
  <c r="H310" i="7" s="1"/>
  <c r="M480" i="3"/>
  <c r="L481" i="3"/>
  <c r="L480" i="3" s="1"/>
  <c r="H556" i="7"/>
  <c r="H555" i="7" s="1"/>
  <c r="H552" i="7" s="1"/>
  <c r="M79" i="3"/>
  <c r="M78" i="3" s="1"/>
  <c r="L80" i="3"/>
  <c r="L79" i="3" s="1"/>
  <c r="L78" i="3" s="1"/>
  <c r="L77" i="3"/>
  <c r="M500" i="3" l="1"/>
  <c r="L501" i="3"/>
  <c r="M86" i="3"/>
  <c r="H563" i="7"/>
  <c r="H562" i="7" s="1"/>
  <c r="L87" i="3"/>
  <c r="L86" i="3" s="1"/>
  <c r="M194" i="3"/>
  <c r="M569" i="3" l="1"/>
  <c r="N379" i="19" l="1"/>
  <c r="M379" i="19"/>
  <c r="N383" i="19"/>
  <c r="M383" i="19"/>
  <c r="N382" i="19"/>
  <c r="M382" i="19"/>
  <c r="N380" i="19"/>
  <c r="M380" i="19"/>
  <c r="N378" i="19"/>
  <c r="M378" i="19"/>
  <c r="N377" i="19"/>
  <c r="M377" i="19"/>
  <c r="M583" i="3"/>
  <c r="M570" i="3"/>
  <c r="H318" i="7" l="1"/>
  <c r="H317" i="7" s="1"/>
  <c r="M582" i="3"/>
  <c r="L583" i="3"/>
  <c r="L582" i="3" s="1"/>
  <c r="M604" i="3"/>
  <c r="M438" i="3" l="1"/>
  <c r="L438" i="3" s="1"/>
  <c r="L437" i="3" s="1"/>
  <c r="H271" i="7" l="1"/>
  <c r="H270" i="7" s="1"/>
  <c r="M437" i="3"/>
  <c r="L418" i="19"/>
  <c r="L427" i="19"/>
  <c r="L426" i="19" s="1"/>
  <c r="L425" i="19" s="1"/>
  <c r="L424" i="19" s="1"/>
  <c r="L423" i="19" s="1"/>
  <c r="L422" i="19" s="1"/>
  <c r="L421" i="19" s="1"/>
  <c r="L434" i="19"/>
  <c r="L433" i="19" s="1"/>
  <c r="L436" i="19"/>
  <c r="L435" i="19" s="1"/>
  <c r="L442" i="19"/>
  <c r="L441" i="19" s="1"/>
  <c r="L445" i="19"/>
  <c r="L444" i="19" s="1"/>
  <c r="L443" i="19" s="1"/>
  <c r="L452" i="19"/>
  <c r="L451" i="19" s="1"/>
  <c r="L457" i="19"/>
  <c r="L456" i="19" s="1"/>
  <c r="L455" i="19" s="1"/>
  <c r="L469" i="19"/>
  <c r="L470" i="19"/>
  <c r="L471" i="19"/>
  <c r="L473" i="19"/>
  <c r="L474" i="19"/>
  <c r="L475" i="19"/>
  <c r="L484" i="19"/>
  <c r="L483" i="19" s="1"/>
  <c r="L482" i="19" s="1"/>
  <c r="L481" i="19" s="1"/>
  <c r="L480" i="19" s="1"/>
  <c r="L479" i="19" s="1"/>
  <c r="L478" i="19" s="1"/>
  <c r="L491" i="19"/>
  <c r="L492" i="19"/>
  <c r="L495" i="19"/>
  <c r="L494" i="19" s="1"/>
  <c r="L501" i="19"/>
  <c r="L500" i="19" s="1"/>
  <c r="L499" i="19" s="1"/>
  <c r="L498" i="19" s="1"/>
  <c r="L529" i="19"/>
  <c r="L530" i="19"/>
  <c r="L531" i="19"/>
  <c r="L540" i="19"/>
  <c r="L539" i="19" s="1"/>
  <c r="L538" i="19" s="1"/>
  <c r="L543" i="19"/>
  <c r="L542" i="19" s="1"/>
  <c r="L541" i="19" s="1"/>
  <c r="L546" i="19"/>
  <c r="L545" i="19" s="1"/>
  <c r="L544" i="19" s="1"/>
  <c r="L553" i="19"/>
  <c r="L554" i="19"/>
  <c r="L555" i="19"/>
  <c r="L561" i="19"/>
  <c r="L562" i="19"/>
  <c r="L563" i="19"/>
  <c r="L572" i="19"/>
  <c r="L573" i="19"/>
  <c r="L575" i="19"/>
  <c r="L576" i="19"/>
  <c r="L580" i="19"/>
  <c r="L581" i="19"/>
  <c r="L583" i="19"/>
  <c r="L584" i="19"/>
  <c r="L587" i="19"/>
  <c r="L586" i="19" s="1"/>
  <c r="L585" i="19" s="1"/>
  <c r="L593" i="19"/>
  <c r="L594" i="19"/>
  <c r="L596" i="19"/>
  <c r="L597" i="19"/>
  <c r="L599" i="19"/>
  <c r="L600" i="19"/>
  <c r="L417" i="19"/>
  <c r="L410" i="19"/>
  <c r="L409" i="19" s="1"/>
  <c r="L404" i="19"/>
  <c r="L403" i="19" s="1"/>
  <c r="L402" i="19"/>
  <c r="L401" i="19" s="1"/>
  <c r="L400" i="19"/>
  <c r="L399" i="19"/>
  <c r="L398" i="19"/>
  <c r="L397" i="19"/>
  <c r="L395" i="19"/>
  <c r="L394" i="19"/>
  <c r="L393" i="19"/>
  <c r="L387" i="19"/>
  <c r="L386" i="19" s="1"/>
  <c r="L385" i="19"/>
  <c r="L384" i="19" s="1"/>
  <c r="L383" i="19"/>
  <c r="L382" i="19"/>
  <c r="L380" i="19"/>
  <c r="L379" i="19"/>
  <c r="L378" i="19"/>
  <c r="L377" i="19"/>
  <c r="L371" i="19"/>
  <c r="L370" i="19"/>
  <c r="L363" i="19"/>
  <c r="L362" i="19"/>
  <c r="L361" i="19"/>
  <c r="L359" i="19"/>
  <c r="L358" i="19" s="1"/>
  <c r="L354" i="19"/>
  <c r="L353" i="19"/>
  <c r="L352" i="19"/>
  <c r="L350" i="19"/>
  <c r="L349" i="19"/>
  <c r="L346" i="19"/>
  <c r="L345" i="19"/>
  <c r="L343" i="19"/>
  <c r="L342" i="19"/>
  <c r="L341" i="19"/>
  <c r="L339" i="19"/>
  <c r="L338" i="19"/>
  <c r="L336" i="19"/>
  <c r="L335" i="19"/>
  <c r="L334" i="19"/>
  <c r="L332" i="19"/>
  <c r="L331" i="19"/>
  <c r="L329" i="19"/>
  <c r="L328" i="19"/>
  <c r="L327" i="19"/>
  <c r="L326" i="19"/>
  <c r="L320" i="19"/>
  <c r="L319" i="19" s="1"/>
  <c r="L318" i="19" s="1"/>
  <c r="L317" i="19" s="1"/>
  <c r="L316" i="19" s="1"/>
  <c r="L315" i="19"/>
  <c r="L314" i="19" s="1"/>
  <c r="L313" i="19"/>
  <c r="L312" i="19" s="1"/>
  <c r="L311" i="19"/>
  <c r="L310" i="19" s="1"/>
  <c r="L309" i="19"/>
  <c r="L308" i="19" s="1"/>
  <c r="L302" i="19"/>
  <c r="L301" i="19" s="1"/>
  <c r="L300" i="19" s="1"/>
  <c r="L299" i="19"/>
  <c r="L298" i="19" s="1"/>
  <c r="L297" i="19" s="1"/>
  <c r="L296" i="19"/>
  <c r="L295" i="19" s="1"/>
  <c r="L294" i="19" s="1"/>
  <c r="L280" i="19"/>
  <c r="L279" i="19" s="1"/>
  <c r="L278" i="19"/>
  <c r="L277" i="19" s="1"/>
  <c r="L269" i="19"/>
  <c r="L268" i="19" s="1"/>
  <c r="L263" i="19"/>
  <c r="L262" i="19" s="1"/>
  <c r="L261" i="19" s="1"/>
  <c r="L260" i="19" s="1"/>
  <c r="L259" i="19" s="1"/>
  <c r="L258" i="19" s="1"/>
  <c r="L249" i="19"/>
  <c r="L248" i="19"/>
  <c r="L243" i="19"/>
  <c r="L242" i="19" s="1"/>
  <c r="L241" i="19" s="1"/>
  <c r="L240" i="19" s="1"/>
  <c r="L239" i="19"/>
  <c r="L238" i="19" s="1"/>
  <c r="L237" i="19" s="1"/>
  <c r="L236" i="19"/>
  <c r="L235" i="19" s="1"/>
  <c r="L234" i="19" s="1"/>
  <c r="L233" i="19"/>
  <c r="L232" i="19" s="1"/>
  <c r="L231" i="19"/>
  <c r="L230" i="19"/>
  <c r="L229" i="19"/>
  <c r="L227" i="19"/>
  <c r="L226" i="19"/>
  <c r="L225" i="19"/>
  <c r="L221" i="19"/>
  <c r="L220" i="19" s="1"/>
  <c r="L219" i="19" s="1"/>
  <c r="L218" i="19" s="1"/>
  <c r="L212" i="19"/>
  <c r="L211" i="19"/>
  <c r="L210" i="19"/>
  <c r="L202" i="19"/>
  <c r="L201" i="19" s="1"/>
  <c r="L200" i="19" s="1"/>
  <c r="L199" i="19" s="1"/>
  <c r="L198" i="19" s="1"/>
  <c r="L197" i="19" s="1"/>
  <c r="L196" i="19" s="1"/>
  <c r="L195" i="19"/>
  <c r="L194" i="19" s="1"/>
  <c r="L193" i="19" s="1"/>
  <c r="L192" i="19" s="1"/>
  <c r="L191" i="19" s="1"/>
  <c r="L190" i="19" s="1"/>
  <c r="L189" i="19" s="1"/>
  <c r="L188" i="19"/>
  <c r="L187" i="19" s="1"/>
  <c r="L186" i="19" s="1"/>
  <c r="L185" i="19"/>
  <c r="L184" i="19" s="1"/>
  <c r="L183" i="19" s="1"/>
  <c r="L179" i="19"/>
  <c r="L178" i="19"/>
  <c r="L177" i="19"/>
  <c r="L168" i="19"/>
  <c r="L167" i="19" s="1"/>
  <c r="L166" i="19" s="1"/>
  <c r="L165" i="19" s="1"/>
  <c r="L164" i="19" s="1"/>
  <c r="L163" i="19" s="1"/>
  <c r="L162" i="19"/>
  <c r="L161" i="19" s="1"/>
  <c r="L160" i="19" s="1"/>
  <c r="L159" i="19" s="1"/>
  <c r="L158" i="19" s="1"/>
  <c r="L157" i="19" s="1"/>
  <c r="L155" i="19"/>
  <c r="L154" i="19" s="1"/>
  <c r="L153" i="19" s="1"/>
  <c r="L152" i="19" s="1"/>
  <c r="L151" i="19" s="1"/>
  <c r="L150" i="19" s="1"/>
  <c r="L149" i="19" s="1"/>
  <c r="L148" i="19"/>
  <c r="L147" i="19" s="1"/>
  <c r="L146" i="19" s="1"/>
  <c r="L145" i="19" s="1"/>
  <c r="L144" i="19" s="1"/>
  <c r="L143" i="19" s="1"/>
  <c r="L142" i="19" s="1"/>
  <c r="L136" i="19"/>
  <c r="L135" i="19" s="1"/>
  <c r="L134" i="19" s="1"/>
  <c r="L133" i="19" s="1"/>
  <c r="L132" i="19" s="1"/>
  <c r="L131" i="19"/>
  <c r="L130" i="19" s="1"/>
  <c r="L129" i="19" s="1"/>
  <c r="L128" i="19" s="1"/>
  <c r="L127" i="19"/>
  <c r="L126" i="19" s="1"/>
  <c r="L125" i="19" s="1"/>
  <c r="L124" i="19" s="1"/>
  <c r="L121" i="19"/>
  <c r="L120" i="19" s="1"/>
  <c r="L119" i="19" s="1"/>
  <c r="L118" i="19" s="1"/>
  <c r="L117" i="19" s="1"/>
  <c r="L116" i="19" s="1"/>
  <c r="L115" i="19"/>
  <c r="L114" i="19" s="1"/>
  <c r="L113" i="19" s="1"/>
  <c r="L112" i="19"/>
  <c r="L111" i="19" s="1"/>
  <c r="L110" i="19" s="1"/>
  <c r="L105" i="19"/>
  <c r="L104" i="19" s="1"/>
  <c r="L103" i="19" s="1"/>
  <c r="L102" i="19" s="1"/>
  <c r="L101" i="19"/>
  <c r="L100" i="19"/>
  <c r="L99" i="19"/>
  <c r="L95" i="19"/>
  <c r="L94" i="19" s="1"/>
  <c r="L93" i="19" s="1"/>
  <c r="L92" i="19"/>
  <c r="L91" i="19" s="1"/>
  <c r="L90" i="19" s="1"/>
  <c r="L86" i="19"/>
  <c r="L85" i="19" s="1"/>
  <c r="L84" i="19"/>
  <c r="L83" i="19" s="1"/>
  <c r="L76" i="19"/>
  <c r="L73" i="19"/>
  <c r="L72" i="19" s="1"/>
  <c r="L71" i="19"/>
  <c r="L70" i="19" s="1"/>
  <c r="L68" i="19"/>
  <c r="L67" i="19"/>
  <c r="L62" i="19"/>
  <c r="L61" i="19" s="1"/>
  <c r="L60" i="19" s="1"/>
  <c r="L59" i="19" s="1"/>
  <c r="L58" i="19" s="1"/>
  <c r="L56" i="19"/>
  <c r="L55" i="19" s="1"/>
  <c r="L54" i="19" s="1"/>
  <c r="L53" i="19" s="1"/>
  <c r="L52" i="19" s="1"/>
  <c r="L51" i="19"/>
  <c r="L50" i="19" s="1"/>
  <c r="L49" i="19" s="1"/>
  <c r="L48" i="19" s="1"/>
  <c r="L47" i="19" s="1"/>
  <c r="L46" i="19" s="1"/>
  <c r="L45" i="19"/>
  <c r="L44" i="19" s="1"/>
  <c r="L43" i="19" s="1"/>
  <c r="L42" i="19"/>
  <c r="L41" i="19"/>
  <c r="L39" i="19"/>
  <c r="L38" i="19"/>
  <c r="L36" i="19"/>
  <c r="L35" i="19" s="1"/>
  <c r="L34" i="19"/>
  <c r="L33" i="19" s="1"/>
  <c r="L32" i="19"/>
  <c r="L31" i="19"/>
  <c r="L30" i="19"/>
  <c r="L24" i="19"/>
  <c r="L23" i="19" s="1"/>
  <c r="L22" i="19" s="1"/>
  <c r="L21" i="19" s="1"/>
  <c r="L20" i="19" s="1"/>
  <c r="L19" i="19" s="1"/>
  <c r="L864" i="3"/>
  <c r="L863" i="3"/>
  <c r="L861" i="3"/>
  <c r="L860" i="3"/>
  <c r="L858" i="3"/>
  <c r="L857" i="3"/>
  <c r="L851" i="3"/>
  <c r="L850" i="3" s="1"/>
  <c r="L849" i="3" s="1"/>
  <c r="L848" i="3"/>
  <c r="L847" i="3"/>
  <c r="L845" i="3"/>
  <c r="L844" i="3"/>
  <c r="L840" i="3"/>
  <c r="L839" i="3"/>
  <c r="L837" i="3"/>
  <c r="L836" i="3"/>
  <c r="L827" i="3"/>
  <c r="L826" i="3"/>
  <c r="L825" i="3"/>
  <c r="L817" i="3"/>
  <c r="L816" i="3"/>
  <c r="L808" i="3"/>
  <c r="L807" i="3" s="1"/>
  <c r="L806" i="3" s="1"/>
  <c r="L805" i="3"/>
  <c r="L804" i="3" s="1"/>
  <c r="L803" i="3" s="1"/>
  <c r="L802" i="3"/>
  <c r="L801" i="3" s="1"/>
  <c r="L800" i="3" s="1"/>
  <c r="L793" i="3"/>
  <c r="L792" i="3"/>
  <c r="L791" i="3"/>
  <c r="L750" i="3"/>
  <c r="L749" i="3" s="1"/>
  <c r="L748" i="3"/>
  <c r="L747" i="3"/>
  <c r="L746" i="3"/>
  <c r="L728" i="3"/>
  <c r="L727" i="3" s="1"/>
  <c r="L726" i="3" s="1"/>
  <c r="L725" i="3" s="1"/>
  <c r="L724" i="3" s="1"/>
  <c r="L723" i="3" s="1"/>
  <c r="L722" i="3" s="1"/>
  <c r="L719" i="3"/>
  <c r="L717" i="3"/>
  <c r="L715" i="3"/>
  <c r="L714" i="3"/>
  <c r="L713" i="3"/>
  <c r="L701" i="3"/>
  <c r="L692" i="3"/>
  <c r="L691" i="3" s="1"/>
  <c r="L690" i="3"/>
  <c r="L689" i="3"/>
  <c r="L681" i="3"/>
  <c r="L680" i="3" s="1"/>
  <c r="L677" i="3"/>
  <c r="L676" i="3" s="1"/>
  <c r="L668" i="3"/>
  <c r="L667" i="3" s="1"/>
  <c r="L666" i="3" s="1"/>
  <c r="L646" i="3"/>
  <c r="L645" i="3" s="1"/>
  <c r="L644" i="3" s="1"/>
  <c r="L643" i="3" s="1"/>
  <c r="L637" i="3"/>
  <c r="L636" i="3"/>
  <c r="L623" i="3"/>
  <c r="L622" i="3" s="1"/>
  <c r="L621" i="3"/>
  <c r="L620" i="3" s="1"/>
  <c r="L618" i="3"/>
  <c r="L617" i="3"/>
  <c r="L615" i="3"/>
  <c r="L614" i="3" s="1"/>
  <c r="L612" i="3"/>
  <c r="L611" i="3" s="1"/>
  <c r="L610" i="3"/>
  <c r="L609" i="3"/>
  <c r="L608" i="3"/>
  <c r="L605" i="3"/>
  <c r="L604" i="3"/>
  <c r="L603" i="3"/>
  <c r="L575" i="3"/>
  <c r="L573" i="3" s="1"/>
  <c r="L572" i="3"/>
  <c r="L571" i="3" s="1"/>
  <c r="L570" i="3"/>
  <c r="L569" i="3"/>
  <c r="L567" i="3"/>
  <c r="L566" i="3" s="1"/>
  <c r="L560" i="3"/>
  <c r="L558" i="3"/>
  <c r="L551" i="3"/>
  <c r="L550" i="3" s="1"/>
  <c r="L541" i="3"/>
  <c r="L540" i="3"/>
  <c r="L539" i="3"/>
  <c r="L532" i="3"/>
  <c r="L531" i="3"/>
  <c r="L530" i="3"/>
  <c r="L526" i="3"/>
  <c r="L525" i="3"/>
  <c r="L523" i="3"/>
  <c r="L522" i="3"/>
  <c r="L521" i="3"/>
  <c r="L519" i="3"/>
  <c r="L518" i="3"/>
  <c r="L517" i="3"/>
  <c r="L515" i="3"/>
  <c r="L514" i="3"/>
  <c r="L512" i="3"/>
  <c r="L511" i="3" s="1"/>
  <c r="L507" i="3"/>
  <c r="L502" i="3"/>
  <c r="L500" i="3" s="1"/>
  <c r="L499" i="3"/>
  <c r="L496" i="3"/>
  <c r="L490" i="3"/>
  <c r="L489" i="3" s="1"/>
  <c r="L488" i="3" s="1"/>
  <c r="L487" i="3" s="1"/>
  <c r="L486" i="3" s="1"/>
  <c r="L485" i="3"/>
  <c r="L484" i="3" s="1"/>
  <c r="L479" i="3" s="1"/>
  <c r="L470" i="3"/>
  <c r="L469" i="3" s="1"/>
  <c r="L468" i="3"/>
  <c r="L467" i="3" s="1"/>
  <c r="L466" i="3"/>
  <c r="L465" i="3" s="1"/>
  <c r="L462" i="3"/>
  <c r="L461" i="3" s="1"/>
  <c r="L453" i="3"/>
  <c r="L452" i="3" s="1"/>
  <c r="L451" i="3" s="1"/>
  <c r="L450" i="3"/>
  <c r="L449" i="3" s="1"/>
  <c r="L448" i="3" s="1"/>
  <c r="L447" i="3"/>
  <c r="L446" i="3" s="1"/>
  <c r="L445" i="3" s="1"/>
  <c r="L429" i="3"/>
  <c r="L428" i="3" s="1"/>
  <c r="L427" i="3" s="1"/>
  <c r="L426" i="3" s="1"/>
  <c r="L425" i="3" s="1"/>
  <c r="L424" i="3" s="1"/>
  <c r="L423" i="3" s="1"/>
  <c r="L422" i="3"/>
  <c r="L421" i="3" s="1"/>
  <c r="L420" i="3" s="1"/>
  <c r="L419" i="3" s="1"/>
  <c r="L418" i="3" s="1"/>
  <c r="L417" i="3" s="1"/>
  <c r="L406" i="3"/>
  <c r="L405" i="3" s="1"/>
  <c r="L388" i="3"/>
  <c r="L387" i="3" s="1"/>
  <c r="L386" i="3" s="1"/>
  <c r="L385" i="3" s="1"/>
  <c r="L376" i="3"/>
  <c r="L375" i="3"/>
  <c r="L370" i="3"/>
  <c r="L369" i="3" s="1"/>
  <c r="L368" i="3" s="1"/>
  <c r="L367" i="3" s="1"/>
  <c r="L366" i="3" s="1"/>
  <c r="L365" i="3"/>
  <c r="L364" i="3"/>
  <c r="L359" i="3"/>
  <c r="L358" i="3" s="1"/>
  <c r="L357" i="3" s="1"/>
  <c r="L356" i="3"/>
  <c r="L355" i="3" s="1"/>
  <c r="L354" i="3" s="1"/>
  <c r="L351" i="3"/>
  <c r="L350" i="3" s="1"/>
  <c r="L349" i="3"/>
  <c r="L348" i="3"/>
  <c r="L347" i="3"/>
  <c r="L345" i="3"/>
  <c r="L344" i="3"/>
  <c r="L343" i="3"/>
  <c r="L336" i="3"/>
  <c r="L335" i="3" s="1"/>
  <c r="L334" i="3" s="1"/>
  <c r="L327" i="3"/>
  <c r="L326" i="3" s="1"/>
  <c r="L325" i="3" s="1"/>
  <c r="L324" i="3" s="1"/>
  <c r="L323" i="3" s="1"/>
  <c r="L322" i="3" s="1"/>
  <c r="L321" i="3"/>
  <c r="L320" i="3" s="1"/>
  <c r="L319" i="3"/>
  <c r="L317" i="3"/>
  <c r="L303" i="3"/>
  <c r="L302" i="3" s="1"/>
  <c r="L296" i="3"/>
  <c r="L295" i="3" s="1"/>
  <c r="L294" i="3" s="1"/>
  <c r="L293" i="3" s="1"/>
  <c r="L292" i="3" s="1"/>
  <c r="L291" i="3" s="1"/>
  <c r="L290" i="3" s="1"/>
  <c r="L289" i="3"/>
  <c r="L288" i="3" s="1"/>
  <c r="L287" i="3" s="1"/>
  <c r="L286" i="3"/>
  <c r="L285" i="3" s="1"/>
  <c r="L284" i="3" s="1"/>
  <c r="L280" i="3"/>
  <c r="L279" i="3" s="1"/>
  <c r="L278" i="3" s="1"/>
  <c r="L275" i="3"/>
  <c r="L274" i="3"/>
  <c r="L194" i="3"/>
  <c r="L193" i="3" s="1"/>
  <c r="L192" i="3" s="1"/>
  <c r="L191" i="3" s="1"/>
  <c r="L190" i="3" s="1"/>
  <c r="L189" i="3" s="1"/>
  <c r="L188" i="3"/>
  <c r="L187" i="3" s="1"/>
  <c r="L186" i="3"/>
  <c r="L185" i="3" s="1"/>
  <c r="L184" i="3"/>
  <c r="L183" i="3" s="1"/>
  <c r="L170" i="3"/>
  <c r="L169" i="3" s="1"/>
  <c r="L165" i="3"/>
  <c r="L164" i="3" s="1"/>
  <c r="L163" i="3"/>
  <c r="L162" i="3" s="1"/>
  <c r="L161" i="3"/>
  <c r="L160" i="3" s="1"/>
  <c r="L156" i="3"/>
  <c r="L155" i="3" s="1"/>
  <c r="L154" i="3" s="1"/>
  <c r="L153" i="3" s="1"/>
  <c r="L152" i="3"/>
  <c r="L151" i="3" s="1"/>
  <c r="L150" i="3" s="1"/>
  <c r="L149" i="3" s="1"/>
  <c r="L146" i="3"/>
  <c r="L145" i="3" s="1"/>
  <c r="L144" i="3" s="1"/>
  <c r="L143" i="3" s="1"/>
  <c r="L142" i="3" s="1"/>
  <c r="L141" i="3" s="1"/>
  <c r="L140" i="3"/>
  <c r="L139" i="3" s="1"/>
  <c r="L138" i="3" s="1"/>
  <c r="L137" i="3"/>
  <c r="L136" i="3" s="1"/>
  <c r="L135" i="3" s="1"/>
  <c r="L130" i="3"/>
  <c r="L129" i="3" s="1"/>
  <c r="L128" i="3" s="1"/>
  <c r="L127" i="3" s="1"/>
  <c r="L126" i="3"/>
  <c r="L125" i="3" s="1"/>
  <c r="L124" i="3" s="1"/>
  <c r="L123" i="3"/>
  <c r="L122" i="3"/>
  <c r="L121" i="3"/>
  <c r="L114" i="3"/>
  <c r="L113" i="3" s="1"/>
  <c r="L112" i="3"/>
  <c r="L111" i="3" s="1"/>
  <c r="L106" i="3"/>
  <c r="L105" i="3" s="1"/>
  <c r="L104" i="3"/>
  <c r="L103" i="3" s="1"/>
  <c r="L102" i="3"/>
  <c r="L101" i="3" s="1"/>
  <c r="L100" i="3"/>
  <c r="L99" i="3" s="1"/>
  <c r="L85" i="3"/>
  <c r="L83" i="3"/>
  <c r="L72" i="3"/>
  <c r="L66" i="3"/>
  <c r="L65" i="3" s="1"/>
  <c r="L64" i="3" s="1"/>
  <c r="L63" i="3" s="1"/>
  <c r="L62" i="3" s="1"/>
  <c r="L61" i="3"/>
  <c r="L60" i="3" s="1"/>
  <c r="L59" i="3" s="1"/>
  <c r="L58" i="3" s="1"/>
  <c r="L57" i="3" s="1"/>
  <c r="L50" i="3"/>
  <c r="L49" i="3" s="1"/>
  <c r="L48" i="3" s="1"/>
  <c r="L47" i="3" s="1"/>
  <c r="L46" i="3" s="1"/>
  <c r="L45" i="3" s="1"/>
  <c r="L44" i="3"/>
  <c r="L43" i="3" s="1"/>
  <c r="L42" i="3" s="1"/>
  <c r="L41" i="3"/>
  <c r="L40" i="3"/>
  <c r="L38" i="3"/>
  <c r="L37" i="3"/>
  <c r="L35" i="3"/>
  <c r="L34" i="3" s="1"/>
  <c r="L33" i="3"/>
  <c r="L32" i="3" s="1"/>
  <c r="L31" i="3"/>
  <c r="L29" i="3"/>
  <c r="L22" i="3"/>
  <c r="L21" i="3" s="1"/>
  <c r="L20" i="3" s="1"/>
  <c r="L19" i="3" s="1"/>
  <c r="L18" i="3" s="1"/>
  <c r="L17" i="3" s="1"/>
  <c r="L301" i="3" l="1"/>
  <c r="L300" i="3" s="1"/>
  <c r="L299" i="3" s="1"/>
  <c r="L298" i="3" s="1"/>
  <c r="L297" i="3" s="1"/>
  <c r="L362" i="3"/>
  <c r="L361" i="3" s="1"/>
  <c r="L360" i="3" s="1"/>
  <c r="L384" i="3"/>
  <c r="L383" i="3" s="1"/>
  <c r="L382" i="3" s="1"/>
  <c r="L497" i="19"/>
  <c r="L496" i="19" s="1"/>
  <c r="L598" i="19"/>
  <c r="L616" i="3"/>
  <c r="L592" i="19"/>
  <c r="L247" i="19"/>
  <c r="L246" i="19" s="1"/>
  <c r="L245" i="19" s="1"/>
  <c r="L244" i="19" s="1"/>
  <c r="L267" i="19"/>
  <c r="L266" i="19" s="1"/>
  <c r="L265" i="19" s="1"/>
  <c r="L264" i="19" s="1"/>
  <c r="L257" i="19" s="1"/>
  <c r="L490" i="19"/>
  <c r="L489" i="19" s="1"/>
  <c r="L488" i="19" s="1"/>
  <c r="L487" i="19" s="1"/>
  <c r="L859" i="3"/>
  <c r="L342" i="3"/>
  <c r="L838" i="3"/>
  <c r="L478" i="3"/>
  <c r="L477" i="3" s="1"/>
  <c r="L348" i="19"/>
  <c r="L595" i="19"/>
  <c r="L340" i="19"/>
  <c r="L176" i="19"/>
  <c r="L175" i="19" s="1"/>
  <c r="L174" i="19" s="1"/>
  <c r="L173" i="19" s="1"/>
  <c r="L172" i="19" s="1"/>
  <c r="L360" i="19"/>
  <c r="L574" i="19"/>
  <c r="L416" i="19"/>
  <c r="L415" i="19" s="1"/>
  <c r="L414" i="19" s="1"/>
  <c r="L413" i="19" s="1"/>
  <c r="L412" i="19" s="1"/>
  <c r="L411" i="19" s="1"/>
  <c r="L436" i="3"/>
  <c r="L435" i="3" s="1"/>
  <c r="L337" i="19"/>
  <c r="L29" i="19"/>
  <c r="L392" i="19"/>
  <c r="L579" i="19"/>
  <c r="L528" i="19"/>
  <c r="L527" i="19" s="1"/>
  <c r="L526" i="19" s="1"/>
  <c r="L525" i="19" s="1"/>
  <c r="L524" i="19" s="1"/>
  <c r="L552" i="19"/>
  <c r="L551" i="19" s="1"/>
  <c r="L550" i="19" s="1"/>
  <c r="L549" i="19" s="1"/>
  <c r="L548" i="19" s="1"/>
  <c r="L582" i="19"/>
  <c r="L39" i="3"/>
  <c r="L346" i="3"/>
  <c r="L374" i="3"/>
  <c r="L373" i="3" s="1"/>
  <c r="L372" i="3" s="1"/>
  <c r="L371" i="3" s="1"/>
  <c r="L529" i="3"/>
  <c r="L549" i="3"/>
  <c r="L548" i="3" s="1"/>
  <c r="L824" i="3"/>
  <c r="L823" i="3" s="1"/>
  <c r="L822" i="3" s="1"/>
  <c r="L821" i="3" s="1"/>
  <c r="L820" i="3" s="1"/>
  <c r="L856" i="3"/>
  <c r="L635" i="3"/>
  <c r="L634" i="3" s="1"/>
  <c r="L633" i="3" s="1"/>
  <c r="L632" i="3" s="1"/>
  <c r="L631" i="3" s="1"/>
  <c r="L624" i="3" s="1"/>
  <c r="L846" i="3"/>
  <c r="L568" i="3"/>
  <c r="L835" i="3"/>
  <c r="L843" i="3"/>
  <c r="L37" i="19"/>
  <c r="L66" i="19"/>
  <c r="L65" i="19" s="1"/>
  <c r="L325" i="19"/>
  <c r="L330" i="19"/>
  <c r="L571" i="19"/>
  <c r="L560" i="19"/>
  <c r="L559" i="19" s="1"/>
  <c r="L558" i="19" s="1"/>
  <c r="L557" i="19" s="1"/>
  <c r="L556" i="19" s="1"/>
  <c r="L40" i="19"/>
  <c r="L209" i="19"/>
  <c r="L208" i="19" s="1"/>
  <c r="L207" i="19" s="1"/>
  <c r="L206" i="19" s="1"/>
  <c r="L205" i="19" s="1"/>
  <c r="L204" i="19" s="1"/>
  <c r="L224" i="19"/>
  <c r="L351" i="19"/>
  <c r="L472" i="19"/>
  <c r="L468" i="19"/>
  <c r="L396" i="19"/>
  <c r="L381" i="19"/>
  <c r="L376" i="19"/>
  <c r="L369" i="19"/>
  <c r="L368" i="19" s="1"/>
  <c r="L367" i="19" s="1"/>
  <c r="L333" i="19"/>
  <c r="L228" i="19"/>
  <c r="L98" i="19"/>
  <c r="L97" i="19" s="1"/>
  <c r="L96" i="19" s="1"/>
  <c r="L69" i="19"/>
  <c r="L432" i="19"/>
  <c r="L431" i="19" s="1"/>
  <c r="L430" i="19" s="1"/>
  <c r="L429" i="19" s="1"/>
  <c r="L276" i="19"/>
  <c r="L275" i="19" s="1"/>
  <c r="L274" i="19" s="1"/>
  <c r="L273" i="19" s="1"/>
  <c r="L272" i="19" s="1"/>
  <c r="L182" i="19"/>
  <c r="L181" i="19" s="1"/>
  <c r="L180" i="19" s="1"/>
  <c r="L82" i="19"/>
  <c r="L81" i="19" s="1"/>
  <c r="L80" i="19" s="1"/>
  <c r="L79" i="19" s="1"/>
  <c r="L89" i="19"/>
  <c r="L123" i="19"/>
  <c r="L122" i="19" s="1"/>
  <c r="L293" i="19"/>
  <c r="L292" i="19" s="1"/>
  <c r="L291" i="19" s="1"/>
  <c r="L290" i="19" s="1"/>
  <c r="L537" i="19"/>
  <c r="L536" i="19" s="1"/>
  <c r="L535" i="19" s="1"/>
  <c r="L534" i="19" s="1"/>
  <c r="L156" i="19"/>
  <c r="L307" i="19"/>
  <c r="L306" i="19" s="1"/>
  <c r="L305" i="19" s="1"/>
  <c r="L304" i="19" s="1"/>
  <c r="L109" i="19"/>
  <c r="L108" i="19" s="1"/>
  <c r="L107" i="19" s="1"/>
  <c r="L440" i="19"/>
  <c r="L439" i="19" s="1"/>
  <c r="L438" i="19" s="1"/>
  <c r="L437" i="19" s="1"/>
  <c r="L538" i="3"/>
  <c r="L120" i="3"/>
  <c r="L119" i="3" s="1"/>
  <c r="L118" i="3" s="1"/>
  <c r="L36" i="3"/>
  <c r="L516" i="3"/>
  <c r="L513" i="3"/>
  <c r="L520" i="3"/>
  <c r="L524" i="3"/>
  <c r="L712" i="3"/>
  <c r="L862" i="3"/>
  <c r="L790" i="3"/>
  <c r="L789" i="3" s="1"/>
  <c r="L788" i="3" s="1"/>
  <c r="L787" i="3" s="1"/>
  <c r="L786" i="3" s="1"/>
  <c r="L745" i="3"/>
  <c r="L744" i="3" s="1"/>
  <c r="L602" i="3"/>
  <c r="L619" i="3"/>
  <c r="L182" i="3"/>
  <c r="L181" i="3" s="1"/>
  <c r="L110" i="3"/>
  <c r="L148" i="3"/>
  <c r="L98" i="3"/>
  <c r="L97" i="3" s="1"/>
  <c r="L96" i="3" s="1"/>
  <c r="L95" i="3" s="1"/>
  <c r="L159" i="3"/>
  <c r="L158" i="3" s="1"/>
  <c r="L157" i="3" s="1"/>
  <c r="L134" i="3"/>
  <c r="L133" i="3" s="1"/>
  <c r="L132" i="3" s="1"/>
  <c r="L283" i="3"/>
  <c r="L282" i="3" s="1"/>
  <c r="L281" i="3" s="1"/>
  <c r="L799" i="3"/>
  <c r="L798" i="3" s="1"/>
  <c r="L797" i="3" s="1"/>
  <c r="L796" i="3" s="1"/>
  <c r="L444" i="3"/>
  <c r="L443" i="3" s="1"/>
  <c r="L442" i="3" s="1"/>
  <c r="L441" i="3" s="1"/>
  <c r="L642" i="3"/>
  <c r="L641" i="3"/>
  <c r="L640" i="3" s="1"/>
  <c r="L339" i="3"/>
  <c r="L338" i="3" s="1"/>
  <c r="L337" i="3" s="1"/>
  <c r="L333" i="3" s="1"/>
  <c r="L55" i="3"/>
  <c r="L54" i="3" s="1"/>
  <c r="L53" i="3" s="1"/>
  <c r="L52" i="3" s="1"/>
  <c r="L51" i="3" s="1"/>
  <c r="L570" i="19" l="1"/>
  <c r="L569" i="19" s="1"/>
  <c r="L568" i="19" s="1"/>
  <c r="L567" i="19" s="1"/>
  <c r="L834" i="3"/>
  <c r="L833" i="3" s="1"/>
  <c r="L832" i="3" s="1"/>
  <c r="L831" i="3" s="1"/>
  <c r="L341" i="3"/>
  <c r="L340" i="3" s="1"/>
  <c r="L332" i="3" s="1"/>
  <c r="L591" i="19"/>
  <c r="L590" i="19" s="1"/>
  <c r="L589" i="19" s="1"/>
  <c r="L588" i="19" s="1"/>
  <c r="L171" i="19"/>
  <c r="L170" i="19" s="1"/>
  <c r="L547" i="19"/>
  <c r="L533" i="19" s="1"/>
  <c r="L434" i="3"/>
  <c r="L433" i="3" s="1"/>
  <c r="L432" i="3" s="1"/>
  <c r="L431" i="3" s="1"/>
  <c r="L430" i="3" s="1"/>
  <c r="L467" i="19"/>
  <c r="L466" i="19" s="1"/>
  <c r="L465" i="19" s="1"/>
  <c r="L464" i="19" s="1"/>
  <c r="L223" i="19"/>
  <c r="L222" i="19" s="1"/>
  <c r="L217" i="19" s="1"/>
  <c r="L216" i="19" s="1"/>
  <c r="L215" i="19" s="1"/>
  <c r="L214" i="19" s="1"/>
  <c r="L391" i="19"/>
  <c r="L375" i="19"/>
  <c r="L374" i="19" s="1"/>
  <c r="L373" i="19" s="1"/>
  <c r="L372" i="19" s="1"/>
  <c r="L28" i="19"/>
  <c r="L27" i="19" s="1"/>
  <c r="L26" i="19" s="1"/>
  <c r="L25" i="19" s="1"/>
  <c r="L855" i="3"/>
  <c r="L854" i="3" s="1"/>
  <c r="L853" i="3" s="1"/>
  <c r="L852" i="3" s="1"/>
  <c r="L88" i="19"/>
  <c r="L87" i="19" s="1"/>
  <c r="L78" i="19" s="1"/>
  <c r="L428" i="19"/>
  <c r="L106" i="19"/>
  <c r="L180" i="3"/>
  <c r="L179" i="3" s="1"/>
  <c r="L178" i="3" s="1"/>
  <c r="L460" i="3"/>
  <c r="L459" i="3" s="1"/>
  <c r="L331" i="3" l="1"/>
  <c r="L330" i="3" s="1"/>
  <c r="L566" i="19"/>
  <c r="L565" i="19" s="1"/>
  <c r="L830" i="3"/>
  <c r="L829" i="3" s="1"/>
  <c r="L414" i="3" l="1"/>
  <c r="L413" i="3" s="1"/>
  <c r="N602" i="19"/>
  <c r="M461" i="19" l="1"/>
  <c r="L461" i="19" s="1"/>
  <c r="L460" i="19" s="1"/>
  <c r="M620" i="3"/>
  <c r="L743" i="3" l="1"/>
  <c r="L742" i="3" s="1"/>
  <c r="L741" i="3"/>
  <c r="L740" i="3"/>
  <c r="L739" i="3"/>
  <c r="L655" i="3"/>
  <c r="L654" i="3" s="1"/>
  <c r="L688" i="3"/>
  <c r="L687" i="3" s="1"/>
  <c r="L675" i="3"/>
  <c r="L674" i="3" s="1"/>
  <c r="L653" i="3"/>
  <c r="L652" i="3" s="1"/>
  <c r="H142" i="7"/>
  <c r="L347" i="19"/>
  <c r="L344" i="19" s="1"/>
  <c r="L508" i="3"/>
  <c r="L510" i="3"/>
  <c r="L738" i="3" l="1"/>
  <c r="L737" i="3" s="1"/>
  <c r="L506" i="3"/>
  <c r="M616" i="3"/>
  <c r="N357" i="19"/>
  <c r="N356" i="19"/>
  <c r="M356" i="19"/>
  <c r="L356" i="19" s="1"/>
  <c r="M357" i="19"/>
  <c r="L357" i="19" s="1"/>
  <c r="M535" i="3"/>
  <c r="L535" i="3" s="1"/>
  <c r="M534" i="3"/>
  <c r="L534" i="3" s="1"/>
  <c r="L355" i="19" l="1"/>
  <c r="L324" i="19" s="1"/>
  <c r="L533" i="3"/>
  <c r="H357" i="7"/>
  <c r="H356" i="7" s="1"/>
  <c r="H355" i="7" s="1"/>
  <c r="L273" i="3"/>
  <c r="L272" i="3" s="1"/>
  <c r="L271" i="3" l="1"/>
  <c r="L270" i="3" s="1"/>
  <c r="L269" i="3" s="1"/>
  <c r="L268" i="3" s="1"/>
  <c r="L267" i="3" s="1"/>
  <c r="L266" i="3" s="1"/>
  <c r="L323" i="19"/>
  <c r="L322" i="19" s="1"/>
  <c r="L321" i="19" s="1"/>
  <c r="M279" i="3"/>
  <c r="M278" i="3" s="1"/>
  <c r="L819" i="3" l="1"/>
  <c r="L818" i="3" s="1"/>
  <c r="L220" i="3"/>
  <c r="L219" i="3" s="1"/>
  <c r="L218" i="3" s="1"/>
  <c r="L217" i="3" s="1"/>
  <c r="L216" i="3" s="1"/>
  <c r="L215" i="3" s="1"/>
  <c r="L84" i="3" l="1"/>
  <c r="L82" i="3" s="1"/>
  <c r="L81" i="3" s="1"/>
  <c r="L71" i="3"/>
  <c r="L70" i="3" s="1"/>
  <c r="L69" i="3" s="1"/>
  <c r="L76" i="3"/>
  <c r="L75" i="3"/>
  <c r="L74" i="3" s="1"/>
  <c r="L73" i="3" l="1"/>
  <c r="M756" i="3"/>
  <c r="L599" i="3"/>
  <c r="L598" i="3" s="1"/>
  <c r="L597" i="3" s="1"/>
  <c r="L596" i="3" s="1"/>
  <c r="L700" i="3"/>
  <c r="L699" i="3" s="1"/>
  <c r="L602" i="19"/>
  <c r="L601" i="19" s="1"/>
  <c r="L735" i="3"/>
  <c r="L734" i="3" s="1"/>
  <c r="L733" i="3" s="1"/>
  <c r="L732" i="3" s="1"/>
  <c r="L564" i="3"/>
  <c r="L565" i="3"/>
  <c r="L504" i="3"/>
  <c r="L505" i="3"/>
  <c r="L464" i="3"/>
  <c r="L463" i="3" s="1"/>
  <c r="L458" i="3" s="1"/>
  <c r="L497" i="3"/>
  <c r="L498" i="3"/>
  <c r="L559" i="3"/>
  <c r="L557" i="3"/>
  <c r="L709" i="3"/>
  <c r="L708" i="3" s="1"/>
  <c r="L707" i="3" s="1"/>
  <c r="L706" i="3" s="1"/>
  <c r="M679" i="3"/>
  <c r="L679" i="3" s="1"/>
  <c r="L678" i="3" s="1"/>
  <c r="L457" i="3" l="1"/>
  <c r="L456" i="3" s="1"/>
  <c r="L455" i="3" s="1"/>
  <c r="L756" i="3"/>
  <c r="L755" i="3" s="1"/>
  <c r="L754" i="3" s="1"/>
  <c r="H229" i="7"/>
  <c r="L68" i="3"/>
  <c r="L67" i="3" s="1"/>
  <c r="L56" i="3" s="1"/>
  <c r="L503" i="3"/>
  <c r="L563" i="3"/>
  <c r="L556" i="3"/>
  <c r="L495" i="3"/>
  <c r="M815" i="3"/>
  <c r="L815" i="3" s="1"/>
  <c r="L814" i="3" s="1"/>
  <c r="L813" i="3" s="1"/>
  <c r="L812" i="3" s="1"/>
  <c r="L811" i="3" s="1"/>
  <c r="L810" i="3" s="1"/>
  <c r="L809" i="3" s="1"/>
  <c r="L795" i="3" s="1"/>
  <c r="M665" i="3"/>
  <c r="L665" i="3" s="1"/>
  <c r="L664" i="3" s="1"/>
  <c r="L663" i="3" s="1"/>
  <c r="L662" i="3" s="1"/>
  <c r="L661" i="3" s="1"/>
  <c r="L660" i="3" s="1"/>
  <c r="L657" i="3"/>
  <c r="L656" i="3" s="1"/>
  <c r="H193" i="7"/>
  <c r="H192" i="7" s="1"/>
  <c r="M691" i="3"/>
  <c r="L555" i="3" l="1"/>
  <c r="L554" i="3" s="1"/>
  <c r="L553" i="3" s="1"/>
  <c r="L651" i="3"/>
  <c r="L650" i="3" s="1"/>
  <c r="L649" i="3" s="1"/>
  <c r="L648" i="3" s="1"/>
  <c r="L647" i="3" s="1"/>
  <c r="M718" i="3"/>
  <c r="L718" i="3" s="1"/>
  <c r="L716" i="3" s="1"/>
  <c r="L711" i="3" s="1"/>
  <c r="L710" i="3" s="1"/>
  <c r="L705" i="3" s="1"/>
  <c r="L704" i="3" s="1"/>
  <c r="M547" i="3" l="1"/>
  <c r="L547" i="3" s="1"/>
  <c r="L546" i="3" s="1"/>
  <c r="L542" i="3" s="1"/>
  <c r="H95" i="7" l="1"/>
  <c r="H94" i="7" s="1"/>
  <c r="H90" i="7" s="1"/>
  <c r="M546" i="3"/>
  <c r="M542" i="3" s="1"/>
  <c r="I347" i="18"/>
  <c r="I346" i="18" s="1"/>
  <c r="I345" i="18" s="1"/>
  <c r="I344" i="18" s="1"/>
  <c r="I339" i="18" s="1"/>
  <c r="H347" i="18"/>
  <c r="H346" i="18" s="1"/>
  <c r="H345" i="18" s="1"/>
  <c r="H344" i="18" s="1"/>
  <c r="H339" i="18" s="1"/>
  <c r="M537" i="3"/>
  <c r="L318" i="3"/>
  <c r="L316" i="3" s="1"/>
  <c r="L315" i="3" s="1"/>
  <c r="L314" i="3" s="1"/>
  <c r="L313" i="3" s="1"/>
  <c r="L312" i="3" s="1"/>
  <c r="L311" i="3" s="1"/>
  <c r="M536" i="3" l="1"/>
  <c r="L537" i="3"/>
  <c r="L536" i="3" s="1"/>
  <c r="H83" i="7"/>
  <c r="H82" i="7" s="1"/>
  <c r="L494" i="3" l="1"/>
  <c r="L493" i="3" s="1"/>
  <c r="L492" i="3" s="1"/>
  <c r="L491" i="3" s="1"/>
  <c r="E27" i="8"/>
  <c r="E26" i="8" s="1"/>
  <c r="E25" i="8" s="1"/>
  <c r="E24" i="8" s="1"/>
  <c r="D27" i="8"/>
  <c r="D26" i="8" s="1"/>
  <c r="D25" i="8" s="1"/>
  <c r="D24" i="8" s="1"/>
  <c r="C27" i="8"/>
  <c r="C26" i="8" s="1"/>
  <c r="C25" i="8" s="1"/>
  <c r="C24" i="8" s="1"/>
  <c r="M416" i="3" l="1"/>
  <c r="M408" i="3"/>
  <c r="L408" i="3" s="1"/>
  <c r="L407" i="3" s="1"/>
  <c r="L404" i="3" s="1"/>
  <c r="L403" i="3" s="1"/>
  <c r="L402" i="3" s="1"/>
  <c r="L401" i="3" s="1"/>
  <c r="H398" i="7"/>
  <c r="H85" i="7" l="1"/>
  <c r="H84" i="7" s="1"/>
  <c r="L416" i="3"/>
  <c r="L415" i="3" s="1"/>
  <c r="L412" i="3" s="1"/>
  <c r="L411" i="3" s="1"/>
  <c r="L410" i="3" s="1"/>
  <c r="L409" i="3" s="1"/>
  <c r="L400" i="3" s="1"/>
  <c r="M415" i="3"/>
  <c r="F34" i="6" l="1"/>
  <c r="N147" i="19"/>
  <c r="N146" i="19" s="1"/>
  <c r="N145" i="19" s="1"/>
  <c r="N144" i="19" s="1"/>
  <c r="N143" i="19" s="1"/>
  <c r="N142" i="19" s="1"/>
  <c r="M147" i="19"/>
  <c r="M146" i="19" s="1"/>
  <c r="M145" i="19" s="1"/>
  <c r="M144" i="19" s="1"/>
  <c r="M143" i="19" s="1"/>
  <c r="M142" i="19" s="1"/>
  <c r="N630" i="19" l="1"/>
  <c r="M630" i="19"/>
  <c r="E34" i="6" s="1"/>
  <c r="H451" i="7"/>
  <c r="H450" i="7" s="1"/>
  <c r="H449" i="7" s="1"/>
  <c r="H448" i="7" s="1"/>
  <c r="M193" i="3"/>
  <c r="M192" i="3" s="1"/>
  <c r="M191" i="3" s="1"/>
  <c r="M190" i="3" s="1"/>
  <c r="M189" i="3" s="1"/>
  <c r="M893" i="3" s="1"/>
  <c r="D34" i="6" s="1"/>
  <c r="L117" i="3"/>
  <c r="L116" i="3" s="1"/>
  <c r="L115" i="3" s="1"/>
  <c r="L109" i="3" s="1"/>
  <c r="L108" i="3" s="1"/>
  <c r="L107" i="3" s="1"/>
  <c r="L94" i="3" s="1"/>
  <c r="H455" i="7" l="1"/>
  <c r="H454" i="7" s="1"/>
  <c r="H453" i="7" s="1"/>
  <c r="M60" i="3"/>
  <c r="M59" i="3" s="1"/>
  <c r="M58" i="3" s="1"/>
  <c r="M57" i="3" s="1"/>
  <c r="M77" i="19" l="1"/>
  <c r="L77" i="19" s="1"/>
  <c r="L75" i="19" s="1"/>
  <c r="L74" i="19" s="1"/>
  <c r="L64" i="19" s="1"/>
  <c r="L63" i="19" s="1"/>
  <c r="L57" i="19" s="1"/>
  <c r="L18" i="19" s="1"/>
  <c r="L17" i="19" s="1"/>
  <c r="M454" i="19" l="1"/>
  <c r="L454" i="19" s="1"/>
  <c r="L453" i="19" s="1"/>
  <c r="L450" i="19" s="1"/>
  <c r="L449" i="19" s="1"/>
  <c r="M685" i="3"/>
  <c r="L685" i="3" s="1"/>
  <c r="L684" i="3" s="1"/>
  <c r="L673" i="3" s="1"/>
  <c r="N454" i="19"/>
  <c r="M687" i="3"/>
  <c r="M696" i="3" l="1"/>
  <c r="H197" i="7" l="1"/>
  <c r="H196" i="7" s="1"/>
  <c r="L696" i="3"/>
  <c r="L695" i="3" s="1"/>
  <c r="M695" i="3"/>
  <c r="M686" i="3" s="1"/>
  <c r="L28" i="3"/>
  <c r="L27" i="3" s="1"/>
  <c r="L26" i="3" l="1"/>
  <c r="L25" i="3" s="1"/>
  <c r="L24" i="3" s="1"/>
  <c r="L23" i="3" s="1"/>
  <c r="L16" i="3" s="1"/>
  <c r="L686" i="3"/>
  <c r="L672" i="3" s="1"/>
  <c r="L208" i="3"/>
  <c r="L207" i="3" s="1"/>
  <c r="L206" i="3" s="1"/>
  <c r="L205" i="3" s="1"/>
  <c r="L204" i="3" s="1"/>
  <c r="L203" i="3" s="1"/>
  <c r="L202" i="3" s="1"/>
  <c r="M201" i="3"/>
  <c r="L201" i="3" s="1"/>
  <c r="L200" i="3" s="1"/>
  <c r="L199" i="3" s="1"/>
  <c r="L198" i="3" s="1"/>
  <c r="L197" i="3" s="1"/>
  <c r="L196" i="3" s="1"/>
  <c r="L195" i="3" s="1"/>
  <c r="H462" i="7"/>
  <c r="H460" i="7"/>
  <c r="H459" i="7" s="1"/>
  <c r="H458" i="7"/>
  <c r="H457" i="7" s="1"/>
  <c r="M183" i="3"/>
  <c r="M185" i="3"/>
  <c r="M399" i="3" l="1"/>
  <c r="L399" i="3" s="1"/>
  <c r="L398" i="3" s="1"/>
  <c r="L397" i="3" s="1"/>
  <c r="L396" i="3" s="1"/>
  <c r="L395" i="3" s="1"/>
  <c r="L394" i="3" s="1"/>
  <c r="L393" i="3" s="1"/>
  <c r="L329" i="3" s="1"/>
  <c r="L607" i="3" l="1"/>
  <c r="L606" i="3" s="1"/>
  <c r="L601" i="3" s="1"/>
  <c r="L600" i="3" s="1"/>
  <c r="L595" i="3" s="1"/>
  <c r="L594" i="3" s="1"/>
  <c r="N456" i="19" l="1"/>
  <c r="M456" i="19"/>
  <c r="M172" i="3" l="1"/>
  <c r="L172" i="3" s="1"/>
  <c r="L171" i="3" s="1"/>
  <c r="L168" i="3" s="1"/>
  <c r="L167" i="3" l="1"/>
  <c r="L166" i="3" s="1"/>
  <c r="L147" i="3" s="1"/>
  <c r="L131" i="3" s="1"/>
  <c r="L15" i="3" s="1"/>
  <c r="H147" i="7"/>
  <c r="H149" i="7"/>
  <c r="M396" i="19"/>
  <c r="I114" i="18"/>
  <c r="H114" i="18"/>
  <c r="N409" i="19"/>
  <c r="M409" i="19"/>
  <c r="N408" i="19"/>
  <c r="N407" i="19" s="1"/>
  <c r="M408" i="19"/>
  <c r="I108" i="18"/>
  <c r="H108" i="18"/>
  <c r="N369" i="19"/>
  <c r="M369" i="19"/>
  <c r="I61" i="18"/>
  <c r="H61" i="18"/>
  <c r="N351" i="19"/>
  <c r="M351" i="19"/>
  <c r="I41" i="18"/>
  <c r="H41" i="18"/>
  <c r="N333" i="19"/>
  <c r="M333" i="19"/>
  <c r="M556" i="3"/>
  <c r="M407" i="19" l="1"/>
  <c r="M406" i="19" s="1"/>
  <c r="L408" i="19"/>
  <c r="L407" i="19" s="1"/>
  <c r="L406" i="19" s="1"/>
  <c r="L390" i="19" s="1"/>
  <c r="L389" i="19" s="1"/>
  <c r="L388" i="19" s="1"/>
  <c r="L303" i="19" s="1"/>
  <c r="L289" i="19" s="1"/>
  <c r="H112" i="18"/>
  <c r="I112" i="18"/>
  <c r="N406" i="19"/>
  <c r="M622" i="3"/>
  <c r="M619" i="3" s="1"/>
  <c r="M568" i="3"/>
  <c r="M529" i="3"/>
  <c r="H57" i="7"/>
  <c r="H55" i="7"/>
  <c r="H54" i="7"/>
  <c r="M506" i="3"/>
  <c r="H53" i="7" l="1"/>
  <c r="M581" i="3"/>
  <c r="M580" i="3" s="1"/>
  <c r="M579" i="3" s="1"/>
  <c r="L581" i="3" l="1"/>
  <c r="L580" i="3" s="1"/>
  <c r="L579" i="3" s="1"/>
  <c r="L552" i="3" s="1"/>
  <c r="L454" i="3" s="1"/>
  <c r="M326" i="3"/>
  <c r="M325" i="3" s="1"/>
  <c r="M324" i="3" s="1"/>
  <c r="M323" i="3" s="1"/>
  <c r="M322" i="3" s="1"/>
  <c r="L440" i="3" l="1"/>
  <c r="I412" i="18"/>
  <c r="I411" i="18" s="1"/>
  <c r="H412" i="18"/>
  <c r="H411" i="18" s="1"/>
  <c r="N154" i="19"/>
  <c r="N153" i="19" s="1"/>
  <c r="N152" i="19" s="1"/>
  <c r="N151" i="19" s="1"/>
  <c r="N150" i="19" s="1"/>
  <c r="N149" i="19" s="1"/>
  <c r="M154" i="19"/>
  <c r="M153" i="19" s="1"/>
  <c r="M152" i="19" s="1"/>
  <c r="M151" i="19" s="1"/>
  <c r="M150" i="19" s="1"/>
  <c r="I431" i="18"/>
  <c r="H431" i="18"/>
  <c r="I430" i="18"/>
  <c r="H430" i="18"/>
  <c r="N75" i="19"/>
  <c r="N74" i="19" s="1"/>
  <c r="M75" i="19"/>
  <c r="M74" i="19" s="1"/>
  <c r="M149" i="19" l="1"/>
  <c r="H429" i="18"/>
  <c r="H428" i="18" s="1"/>
  <c r="I429" i="18"/>
  <c r="I428" i="18" s="1"/>
  <c r="H334" i="7" l="1"/>
  <c r="H333" i="7" s="1"/>
  <c r="H332" i="7" s="1"/>
  <c r="H331" i="7" s="1"/>
  <c r="H561" i="7" l="1"/>
  <c r="H560" i="7"/>
  <c r="H559" i="7"/>
  <c r="H558" i="7" l="1"/>
  <c r="H557" i="7" s="1"/>
  <c r="M82" i="3"/>
  <c r="M81" i="3" s="1"/>
  <c r="H269" i="7" l="1"/>
  <c r="I145" i="18"/>
  <c r="I144" i="18" s="1"/>
  <c r="I143" i="18" s="1"/>
  <c r="H145" i="18"/>
  <c r="H144" i="18" s="1"/>
  <c r="H143" i="18" s="1"/>
  <c r="N444" i="19"/>
  <c r="N443" i="19" s="1"/>
  <c r="M444" i="19"/>
  <c r="M443" i="19" s="1"/>
  <c r="H200" i="7"/>
  <c r="M667" i="3"/>
  <c r="M666" i="3" s="1"/>
  <c r="I185" i="18" l="1"/>
  <c r="H185" i="18"/>
  <c r="M755" i="3" l="1"/>
  <c r="N500" i="19"/>
  <c r="M500" i="19"/>
  <c r="I200" i="18"/>
  <c r="H200" i="18"/>
  <c r="I199" i="18"/>
  <c r="H199" i="18"/>
  <c r="I198" i="18"/>
  <c r="H198" i="18"/>
  <c r="H202" i="18"/>
  <c r="H201" i="18" s="1"/>
  <c r="I202" i="18"/>
  <c r="I201" i="18" s="1"/>
  <c r="N494" i="19"/>
  <c r="M494" i="19"/>
  <c r="L486" i="19"/>
  <c r="L485" i="19" s="1"/>
  <c r="L477" i="19" s="1"/>
  <c r="M490" i="19"/>
  <c r="N490" i="19"/>
  <c r="N489" i="19" l="1"/>
  <c r="N488" i="19" s="1"/>
  <c r="N487" i="19" s="1"/>
  <c r="M489" i="19"/>
  <c r="M488" i="19" s="1"/>
  <c r="M487" i="19" s="1"/>
  <c r="H197" i="18"/>
  <c r="H196" i="18" s="1"/>
  <c r="I197" i="18"/>
  <c r="I196" i="18" s="1"/>
  <c r="L736" i="3" l="1"/>
  <c r="L731" i="3" s="1"/>
  <c r="L730" i="3" s="1"/>
  <c r="H232" i="7"/>
  <c r="H231" i="7" s="1"/>
  <c r="H230" i="7" s="1"/>
  <c r="L759" i="3"/>
  <c r="L758" i="3" s="1"/>
  <c r="L757" i="3" s="1"/>
  <c r="L753" i="3" s="1"/>
  <c r="M758" i="3"/>
  <c r="M757" i="3" s="1"/>
  <c r="L752" i="3" l="1"/>
  <c r="L751" i="3" s="1"/>
  <c r="L729" i="3" s="1"/>
  <c r="L721" i="3" s="1"/>
  <c r="N460" i="19"/>
  <c r="M460" i="19"/>
  <c r="N463" i="19"/>
  <c r="M463" i="19"/>
  <c r="L463" i="19" s="1"/>
  <c r="L462" i="19" s="1"/>
  <c r="L459" i="19" s="1"/>
  <c r="L458" i="19" s="1"/>
  <c r="L448" i="19" s="1"/>
  <c r="L447" i="19" s="1"/>
  <c r="L446" i="19" s="1"/>
  <c r="L420" i="19" s="1"/>
  <c r="L16" i="19" s="1"/>
  <c r="I139" i="18"/>
  <c r="I138" i="18" s="1"/>
  <c r="N453" i="19"/>
  <c r="M453" i="19"/>
  <c r="L703" i="3"/>
  <c r="L702" i="3" s="1"/>
  <c r="L698" i="3" s="1"/>
  <c r="L697" i="3" s="1"/>
  <c r="L671" i="3" s="1"/>
  <c r="L670" i="3" s="1"/>
  <c r="L669" i="3" s="1"/>
  <c r="L639" i="3" s="1"/>
  <c r="H178" i="7"/>
  <c r="H177" i="7" s="1"/>
  <c r="M676" i="3"/>
  <c r="L14" i="3" l="1"/>
  <c r="H139" i="18"/>
  <c r="H138" i="18" s="1"/>
  <c r="N268" i="19"/>
  <c r="I321" i="18"/>
  <c r="H321" i="18"/>
  <c r="N242" i="19"/>
  <c r="N241" i="19" s="1"/>
  <c r="N240" i="19" s="1"/>
  <c r="M242" i="19"/>
  <c r="M241" i="19" s="1"/>
  <c r="M240" i="19" s="1"/>
  <c r="N267" i="19" l="1"/>
  <c r="N266" i="19" s="1"/>
  <c r="N265" i="19" s="1"/>
  <c r="N264" i="19" s="1"/>
  <c r="I319" i="18"/>
  <c r="I318" i="18" s="1"/>
  <c r="H319" i="18"/>
  <c r="H318" i="18" s="1"/>
  <c r="N586" i="19"/>
  <c r="N585" i="19" s="1"/>
  <c r="M586" i="19"/>
  <c r="M585" i="19" s="1"/>
  <c r="H420" i="7"/>
  <c r="H419" i="7" s="1"/>
  <c r="M850" i="3"/>
  <c r="M849" i="3" s="1"/>
  <c r="I265" i="18" l="1"/>
  <c r="I264" i="18" s="1"/>
  <c r="H265" i="18"/>
  <c r="H264" i="18" s="1"/>
  <c r="N194" i="19"/>
  <c r="N193" i="19" s="1"/>
  <c r="N192" i="19" s="1"/>
  <c r="N191" i="19" s="1"/>
  <c r="N190" i="19" s="1"/>
  <c r="N636" i="19" s="1"/>
  <c r="M194" i="19"/>
  <c r="M193" i="19" s="1"/>
  <c r="M192" i="19" s="1"/>
  <c r="M191" i="19" s="1"/>
  <c r="M190" i="19" s="1"/>
  <c r="M636" i="19" s="1"/>
  <c r="N189" i="19" l="1"/>
  <c r="M189" i="19"/>
  <c r="H19" i="18" l="1"/>
  <c r="I19" i="18"/>
  <c r="I23" i="18"/>
  <c r="H25" i="18"/>
  <c r="I25" i="18"/>
  <c r="H26" i="18"/>
  <c r="I26" i="18"/>
  <c r="H28" i="18"/>
  <c r="I28" i="18"/>
  <c r="H30" i="18"/>
  <c r="I30" i="18"/>
  <c r="H33" i="18"/>
  <c r="I33" i="18"/>
  <c r="H34" i="18"/>
  <c r="I34" i="18"/>
  <c r="H35" i="18"/>
  <c r="I35" i="18"/>
  <c r="H36" i="18"/>
  <c r="I36" i="18"/>
  <c r="H42" i="18"/>
  <c r="I42" i="18"/>
  <c r="I43" i="18"/>
  <c r="H44" i="18"/>
  <c r="I44" i="18"/>
  <c r="H46" i="18"/>
  <c r="I46" i="18"/>
  <c r="H47" i="18"/>
  <c r="I47" i="18"/>
  <c r="H49" i="18"/>
  <c r="I49" i="18"/>
  <c r="H50" i="18"/>
  <c r="I50" i="18"/>
  <c r="H51" i="18"/>
  <c r="I51" i="18"/>
  <c r="H53" i="18"/>
  <c r="I53" i="18"/>
  <c r="H54" i="18"/>
  <c r="I54" i="18"/>
  <c r="H55" i="18"/>
  <c r="I55" i="18"/>
  <c r="H57" i="18"/>
  <c r="I57" i="18"/>
  <c r="H58" i="18"/>
  <c r="I58" i="18"/>
  <c r="H60" i="18"/>
  <c r="I60" i="18"/>
  <c r="H62" i="18"/>
  <c r="I62" i="18"/>
  <c r="H64" i="18"/>
  <c r="I64" i="18"/>
  <c r="H65" i="18"/>
  <c r="I65" i="18"/>
  <c r="H69" i="18"/>
  <c r="H68" i="18" s="1"/>
  <c r="I69" i="18"/>
  <c r="H71" i="18"/>
  <c r="I71" i="18"/>
  <c r="H72" i="18"/>
  <c r="I72" i="18"/>
  <c r="H73" i="18"/>
  <c r="I73" i="18"/>
  <c r="H80" i="18"/>
  <c r="I80" i="18"/>
  <c r="H81" i="18"/>
  <c r="I81" i="18"/>
  <c r="H82" i="18"/>
  <c r="I82" i="18"/>
  <c r="H83" i="18"/>
  <c r="I83" i="18"/>
  <c r="H88" i="18"/>
  <c r="I88" i="18"/>
  <c r="H90" i="18"/>
  <c r="I90" i="18"/>
  <c r="I94" i="18"/>
  <c r="H95" i="18"/>
  <c r="I95" i="18"/>
  <c r="H96" i="18"/>
  <c r="I96" i="18"/>
  <c r="I98" i="18"/>
  <c r="H99" i="18"/>
  <c r="I99" i="18"/>
  <c r="I100" i="18"/>
  <c r="H101" i="18"/>
  <c r="I101" i="18"/>
  <c r="H103" i="18"/>
  <c r="I103" i="18"/>
  <c r="H105" i="18"/>
  <c r="H104" i="18" s="1"/>
  <c r="I105" i="18"/>
  <c r="I104" i="18" s="1"/>
  <c r="H109" i="18"/>
  <c r="H107" i="18" s="1"/>
  <c r="I109" i="18"/>
  <c r="I107" i="18" s="1"/>
  <c r="H117" i="18"/>
  <c r="I117" i="18"/>
  <c r="H120" i="18"/>
  <c r="I120" i="18"/>
  <c r="H123" i="18"/>
  <c r="I123" i="18"/>
  <c r="H129" i="18"/>
  <c r="I129" i="18"/>
  <c r="H131" i="18"/>
  <c r="I131" i="18"/>
  <c r="H134" i="18"/>
  <c r="I134" i="18"/>
  <c r="H137" i="18"/>
  <c r="I137" i="18"/>
  <c r="I142" i="18"/>
  <c r="H149" i="18"/>
  <c r="H148" i="18" s="1"/>
  <c r="I149" i="18"/>
  <c r="I148" i="18" s="1"/>
  <c r="H151" i="18"/>
  <c r="H155" i="18"/>
  <c r="I155" i="18"/>
  <c r="H156" i="18"/>
  <c r="I156" i="18"/>
  <c r="H157" i="18"/>
  <c r="I157" i="18"/>
  <c r="H159" i="18"/>
  <c r="I159" i="18"/>
  <c r="H160" i="18"/>
  <c r="I160" i="18"/>
  <c r="H161" i="18"/>
  <c r="I161" i="18"/>
  <c r="H164" i="18"/>
  <c r="I164" i="18"/>
  <c r="H169" i="18"/>
  <c r="H168" i="18" s="1"/>
  <c r="I173" i="18"/>
  <c r="I172" i="18" s="1"/>
  <c r="H177" i="18"/>
  <c r="I177" i="18"/>
  <c r="H179" i="18"/>
  <c r="I179" i="18"/>
  <c r="H195" i="18"/>
  <c r="I195" i="18"/>
  <c r="H213" i="18"/>
  <c r="I213" i="18"/>
  <c r="H214" i="18"/>
  <c r="I214" i="18"/>
  <c r="H215" i="18"/>
  <c r="I215" i="18"/>
  <c r="H219" i="18"/>
  <c r="I219" i="18"/>
  <c r="H220" i="18"/>
  <c r="I220" i="18"/>
  <c r="H221" i="18"/>
  <c r="I221" i="18"/>
  <c r="H224" i="18"/>
  <c r="I224" i="18"/>
  <c r="H227" i="18"/>
  <c r="I227" i="18"/>
  <c r="H230" i="18"/>
  <c r="I230" i="18"/>
  <c r="H236" i="18"/>
  <c r="I236" i="18"/>
  <c r="H238" i="18"/>
  <c r="I238" i="18"/>
  <c r="H242" i="18"/>
  <c r="I242" i="18"/>
  <c r="H245" i="18"/>
  <c r="I245" i="18"/>
  <c r="H250" i="18"/>
  <c r="I250" i="18"/>
  <c r="H251" i="18"/>
  <c r="I251" i="18"/>
  <c r="H255" i="18"/>
  <c r="I255" i="18"/>
  <c r="H261" i="18"/>
  <c r="I261" i="18"/>
  <c r="H262" i="18"/>
  <c r="I262" i="18"/>
  <c r="H263" i="18"/>
  <c r="I263" i="18"/>
  <c r="H268" i="18"/>
  <c r="I268" i="18"/>
  <c r="H271" i="18"/>
  <c r="I271" i="18"/>
  <c r="H274" i="18"/>
  <c r="I274" i="18"/>
  <c r="H280" i="18"/>
  <c r="I280" i="18"/>
  <c r="I284" i="18"/>
  <c r="H285" i="18"/>
  <c r="I285" i="18"/>
  <c r="H286" i="18"/>
  <c r="I286" i="18"/>
  <c r="H290" i="18"/>
  <c r="I290" i="18"/>
  <c r="H292" i="18"/>
  <c r="I292" i="18"/>
  <c r="H295" i="18"/>
  <c r="I295" i="18"/>
  <c r="H298" i="18"/>
  <c r="I298" i="18"/>
  <c r="H304" i="18"/>
  <c r="I304" i="18"/>
  <c r="H305" i="18"/>
  <c r="I305" i="18"/>
  <c r="H307" i="18"/>
  <c r="I307" i="18"/>
  <c r="H308" i="18"/>
  <c r="I308" i="18"/>
  <c r="H312" i="18"/>
  <c r="I312" i="18"/>
  <c r="H313" i="18"/>
  <c r="I313" i="18"/>
  <c r="H315" i="18"/>
  <c r="I315" i="18"/>
  <c r="H316" i="18"/>
  <c r="I316" i="18"/>
  <c r="H324" i="18"/>
  <c r="I324" i="18"/>
  <c r="H328" i="18"/>
  <c r="I328" i="18"/>
  <c r="H331" i="18"/>
  <c r="I331" i="18"/>
  <c r="H334" i="18"/>
  <c r="I334" i="18"/>
  <c r="H337" i="18"/>
  <c r="I337" i="18"/>
  <c r="H353" i="18"/>
  <c r="I353" i="18"/>
  <c r="H356" i="18"/>
  <c r="I356" i="18"/>
  <c r="H362" i="18"/>
  <c r="I362" i="18"/>
  <c r="H368" i="18"/>
  <c r="I368" i="18"/>
  <c r="H372" i="18"/>
  <c r="I372" i="18"/>
  <c r="H384" i="18"/>
  <c r="I384" i="18"/>
  <c r="H390" i="18"/>
  <c r="I390" i="18"/>
  <c r="H395" i="18"/>
  <c r="I395" i="18"/>
  <c r="H399" i="18"/>
  <c r="I399" i="18"/>
  <c r="H404" i="18"/>
  <c r="I404" i="18"/>
  <c r="H410" i="18"/>
  <c r="H414" i="18"/>
  <c r="I414" i="18"/>
  <c r="H415" i="18"/>
  <c r="I415" i="18"/>
  <c r="H418" i="18"/>
  <c r="I418" i="18"/>
  <c r="H420" i="18"/>
  <c r="I420" i="18"/>
  <c r="H423" i="18"/>
  <c r="I423" i="18"/>
  <c r="H424" i="18"/>
  <c r="I424" i="18"/>
  <c r="H437" i="18"/>
  <c r="I437" i="18"/>
  <c r="H442" i="18"/>
  <c r="I442" i="18"/>
  <c r="H443" i="18"/>
  <c r="I443" i="18"/>
  <c r="H444" i="18"/>
  <c r="I444" i="18"/>
  <c r="H449" i="18"/>
  <c r="I449" i="18"/>
  <c r="I59" i="18" l="1"/>
  <c r="H59" i="18"/>
  <c r="I40" i="18"/>
  <c r="H284" i="18"/>
  <c r="H43" i="18"/>
  <c r="H40" i="18" s="1"/>
  <c r="H393" i="18" l="1"/>
  <c r="H378" i="18"/>
  <c r="H497" i="7" l="1"/>
  <c r="H496" i="7" s="1"/>
  <c r="M164" i="3"/>
  <c r="H173" i="18" l="1"/>
  <c r="H172" i="18" s="1"/>
  <c r="H23" i="18" l="1"/>
  <c r="H399" i="7" l="1"/>
  <c r="H396" i="7" s="1"/>
  <c r="M346" i="3"/>
  <c r="H422" i="7" l="1"/>
  <c r="M369" i="3"/>
  <c r="M368" i="3" s="1"/>
  <c r="M367" i="3" s="1"/>
  <c r="M366" i="3" s="1"/>
  <c r="M520" i="3" l="1"/>
  <c r="H98" i="18" l="1"/>
  <c r="M435" i="3" l="1"/>
  <c r="M434" i="3" l="1"/>
  <c r="M433" i="3" s="1"/>
  <c r="M432" i="3" s="1"/>
  <c r="M431" i="3" s="1"/>
  <c r="M430" i="3" s="1"/>
  <c r="H313" i="7"/>
  <c r="H312" i="7" s="1"/>
  <c r="I102" i="18" l="1"/>
  <c r="H102" i="18"/>
  <c r="N401" i="19" l="1"/>
  <c r="M401" i="19"/>
  <c r="H139" i="7"/>
  <c r="H138" i="7" s="1"/>
  <c r="M614" i="3"/>
  <c r="I403" i="18" l="1"/>
  <c r="H403" i="18"/>
  <c r="I401" i="18"/>
  <c r="H401" i="18"/>
  <c r="I406" i="18"/>
  <c r="H406" i="18"/>
  <c r="I407" i="18"/>
  <c r="H407" i="18"/>
  <c r="I333" i="18" l="1"/>
  <c r="H333" i="18"/>
  <c r="I330" i="18"/>
  <c r="H330" i="18"/>
  <c r="I327" i="18"/>
  <c r="H327" i="18"/>
  <c r="H254" i="7" l="1"/>
  <c r="I378" i="18" l="1"/>
  <c r="H330" i="7"/>
  <c r="H329" i="7" s="1"/>
  <c r="H328" i="7" s="1"/>
  <c r="M125" i="3"/>
  <c r="M124" i="3" s="1"/>
  <c r="H142" i="18" l="1"/>
  <c r="H141" i="18" s="1"/>
  <c r="H186" i="7" l="1"/>
  <c r="H185" i="7" s="1"/>
  <c r="M684" i="3" l="1"/>
  <c r="H289" i="18" l="1"/>
  <c r="H38" i="18" l="1"/>
  <c r="H100" i="18"/>
  <c r="H94" i="18"/>
  <c r="M749" i="3" l="1"/>
  <c r="H547" i="7" l="1"/>
  <c r="H546" i="7" s="1"/>
  <c r="M169" i="3"/>
  <c r="M745" i="3" l="1"/>
  <c r="M744" i="3" s="1"/>
  <c r="H265" i="7" l="1"/>
  <c r="H264" i="7" s="1"/>
  <c r="H263" i="7"/>
  <c r="H262" i="7"/>
  <c r="H261" i="7"/>
  <c r="H260" i="7" l="1"/>
  <c r="H259" i="7" s="1"/>
  <c r="M361" i="3" l="1"/>
  <c r="M360" i="3" s="1"/>
  <c r="H395" i="7" l="1"/>
  <c r="H394" i="7" s="1"/>
  <c r="M716" i="3"/>
  <c r="I323" i="18" l="1"/>
  <c r="H323" i="18"/>
  <c r="I322" i="18"/>
  <c r="I320" i="18" s="1"/>
  <c r="H322" i="18"/>
  <c r="H320" i="18" s="1"/>
  <c r="N279" i="19"/>
  <c r="M279" i="19"/>
  <c r="I68" i="18" l="1"/>
  <c r="N358" i="19"/>
  <c r="I410" i="18" l="1"/>
  <c r="H112" i="7" l="1"/>
  <c r="H111" i="7" l="1"/>
  <c r="H110" i="7" s="1"/>
  <c r="N462" i="19" l="1"/>
  <c r="I151" i="18"/>
  <c r="N40" i="19"/>
  <c r="M40" i="19"/>
  <c r="H527" i="7"/>
  <c r="H526" i="7"/>
  <c r="M39" i="3"/>
  <c r="H78" i="7"/>
  <c r="H77" i="7"/>
  <c r="H89" i="7"/>
  <c r="H88" i="7"/>
  <c r="H87" i="7"/>
  <c r="H76" i="7" l="1"/>
  <c r="H405" i="18"/>
  <c r="I405" i="18"/>
  <c r="H525" i="7"/>
  <c r="H70" i="18"/>
  <c r="I70" i="18"/>
  <c r="H86" i="7"/>
  <c r="H39" i="18"/>
  <c r="I39" i="18"/>
  <c r="M358" i="19"/>
  <c r="N360" i="19"/>
  <c r="M360" i="19"/>
  <c r="M538" i="3"/>
  <c r="M533" i="3" l="1"/>
  <c r="N592" i="19"/>
  <c r="M592" i="19"/>
  <c r="N598" i="19"/>
  <c r="M598" i="19"/>
  <c r="N574" i="19"/>
  <c r="M574" i="19"/>
  <c r="N579" i="19"/>
  <c r="M579" i="19"/>
  <c r="H432" i="7"/>
  <c r="H433" i="7"/>
  <c r="M856" i="3"/>
  <c r="M862" i="3"/>
  <c r="M838" i="3"/>
  <c r="M843" i="3"/>
  <c r="H383" i="7" l="1"/>
  <c r="H382" i="7" s="1"/>
  <c r="H344" i="7"/>
  <c r="H343" i="7" s="1"/>
  <c r="H532" i="7"/>
  <c r="H531" i="7" s="1"/>
  <c r="F39" i="6" l="1"/>
  <c r="E39" i="6"/>
  <c r="M421" i="3"/>
  <c r="M420" i="3" s="1"/>
  <c r="M419" i="3" s="1"/>
  <c r="M418" i="3" s="1"/>
  <c r="M417" i="3" s="1"/>
  <c r="M295" i="3"/>
  <c r="M294" i="3" s="1"/>
  <c r="M293" i="3" s="1"/>
  <c r="M292" i="3" s="1"/>
  <c r="M291" i="3" s="1"/>
  <c r="M290" i="3" s="1"/>
  <c r="M200" i="3"/>
  <c r="M199" i="3" s="1"/>
  <c r="M198" i="3" s="1"/>
  <c r="M197" i="3" s="1"/>
  <c r="M196" i="3" s="1"/>
  <c r="M899" i="3" l="1"/>
  <c r="D39" i="6" s="1"/>
  <c r="M195" i="3"/>
  <c r="I397" i="18"/>
  <c r="H397" i="18"/>
  <c r="I393" i="18" l="1"/>
  <c r="I22" i="18" l="1"/>
  <c r="N247" i="19"/>
  <c r="M247" i="19"/>
  <c r="H22" i="18"/>
  <c r="M338" i="3"/>
  <c r="M374" i="3"/>
  <c r="M859" i="3" l="1"/>
  <c r="M855" i="3" s="1"/>
  <c r="H59" i="7" l="1"/>
  <c r="N262" i="19" l="1"/>
  <c r="N261" i="19" s="1"/>
  <c r="M262" i="19"/>
  <c r="M261" i="19" s="1"/>
  <c r="M566" i="3" l="1"/>
  <c r="I436" i="18" l="1"/>
  <c r="I435" i="18" s="1"/>
  <c r="I434" i="18" s="1"/>
  <c r="I433" i="18" s="1"/>
  <c r="H436" i="18"/>
  <c r="H435" i="18" s="1"/>
  <c r="H434" i="18" s="1"/>
  <c r="H433" i="18" s="1"/>
  <c r="I86" i="18"/>
  <c r="H86" i="18"/>
  <c r="I85" i="18"/>
  <c r="H85" i="18"/>
  <c r="I38" i="18"/>
  <c r="N319" i="19"/>
  <c r="N318" i="19" s="1"/>
  <c r="N317" i="19" s="1"/>
  <c r="N316" i="19" s="1"/>
  <c r="M319" i="19"/>
  <c r="M318" i="19" s="1"/>
  <c r="M317" i="19" s="1"/>
  <c r="M316" i="19" s="1"/>
  <c r="H21" i="18"/>
  <c r="H58" i="7"/>
  <c r="H24" i="7"/>
  <c r="M511" i="3"/>
  <c r="M484" i="3"/>
  <c r="M479" i="3" s="1"/>
  <c r="I111" i="18" l="1"/>
  <c r="N310" i="19"/>
  <c r="I21" i="18"/>
  <c r="I20" i="18" s="1"/>
  <c r="M478" i="3"/>
  <c r="M477" i="3" s="1"/>
  <c r="M310" i="19"/>
  <c r="H111" i="18"/>
  <c r="M381" i="19"/>
  <c r="I37" i="18"/>
  <c r="H20" i="18"/>
  <c r="I171" i="18"/>
  <c r="H171" i="18"/>
  <c r="H167" i="18" s="1"/>
  <c r="I84" i="18"/>
  <c r="H37" i="18"/>
  <c r="N330" i="19"/>
  <c r="N381" i="19"/>
  <c r="M330" i="19"/>
  <c r="H84" i="18" l="1"/>
  <c r="M465" i="3"/>
  <c r="N499" i="19" l="1"/>
  <c r="N498" i="19" s="1"/>
  <c r="N497" i="19" s="1"/>
  <c r="M499" i="19"/>
  <c r="M498" i="19" s="1"/>
  <c r="M497" i="19" s="1"/>
  <c r="I178" i="18"/>
  <c r="H178" i="18"/>
  <c r="H176" i="18" s="1"/>
  <c r="F32" i="6" l="1"/>
  <c r="E32" i="6"/>
  <c r="I254" i="18" l="1"/>
  <c r="I253" i="18" s="1"/>
  <c r="I252" i="18" s="1"/>
  <c r="H254" i="18"/>
  <c r="H253" i="18" s="1"/>
  <c r="H252" i="18" s="1"/>
  <c r="H461" i="7" l="1"/>
  <c r="H456" i="7" s="1"/>
  <c r="H452" i="7" s="1"/>
  <c r="H503" i="7"/>
  <c r="N104" i="19"/>
  <c r="N103" i="19" s="1"/>
  <c r="N102" i="19" s="1"/>
  <c r="M104" i="19"/>
  <c r="M103" i="19" s="1"/>
  <c r="M102" i="19" s="1"/>
  <c r="I249" i="18"/>
  <c r="H249" i="18"/>
  <c r="I394" i="18" l="1"/>
  <c r="H394" i="18"/>
  <c r="M187" i="3"/>
  <c r="M182" i="3" s="1"/>
  <c r="M180" i="3" l="1"/>
  <c r="M179" i="3" s="1"/>
  <c r="M178" i="3" s="1"/>
  <c r="M181" i="3"/>
  <c r="M890" i="3" l="1"/>
  <c r="H371" i="7"/>
  <c r="D32" i="6" l="1"/>
  <c r="I289" i="18"/>
  <c r="I288" i="18"/>
  <c r="H288" i="18"/>
  <c r="I133" i="18" l="1"/>
  <c r="I132" i="18" s="1"/>
  <c r="H133" i="18"/>
  <c r="H132" i="18" s="1"/>
  <c r="N459" i="19"/>
  <c r="N458" i="19" s="1"/>
  <c r="N441" i="19"/>
  <c r="M441" i="19"/>
  <c r="N440" i="19" l="1"/>
  <c r="N439" i="19" s="1"/>
  <c r="N438" i="19" s="1"/>
  <c r="N437" i="19" s="1"/>
  <c r="M440" i="19"/>
  <c r="M439" i="19" s="1"/>
  <c r="M438" i="19" s="1"/>
  <c r="M437" i="19" s="1"/>
  <c r="D15" i="9"/>
  <c r="C15" i="9"/>
  <c r="C14" i="9" l="1"/>
  <c r="D14" i="9" l="1"/>
  <c r="D58" i="6" l="1"/>
  <c r="M699" i="3" l="1"/>
  <c r="M631" i="19" l="1"/>
  <c r="H204" i="7" l="1"/>
  <c r="H25" i="7" l="1"/>
  <c r="M268" i="19"/>
  <c r="M267" i="19" l="1"/>
  <c r="M266" i="19" s="1"/>
  <c r="M265" i="19" s="1"/>
  <c r="M264" i="19" s="1"/>
  <c r="H36" i="7"/>
  <c r="H35" i="7" s="1"/>
  <c r="N260" i="19" l="1"/>
  <c r="N259" i="19" s="1"/>
  <c r="N258" i="19" s="1"/>
  <c r="N257" i="19" s="1"/>
  <c r="M260" i="19"/>
  <c r="M259" i="19" s="1"/>
  <c r="M258" i="19" s="1"/>
  <c r="M257" i="19" s="1"/>
  <c r="M407" i="3"/>
  <c r="M835" i="3" l="1"/>
  <c r="N384" i="19" l="1"/>
  <c r="M384" i="19"/>
  <c r="M571" i="3" l="1"/>
  <c r="H23" i="7" l="1"/>
  <c r="M452" i="3"/>
  <c r="M342" i="3"/>
  <c r="M316" i="3"/>
  <c r="M70" i="3"/>
  <c r="M49" i="3"/>
  <c r="M43" i="3"/>
  <c r="M21" i="3"/>
  <c r="M54" i="3" l="1"/>
  <c r="M53" i="3" s="1"/>
  <c r="M65" i="3" l="1"/>
  <c r="M120" i="3" l="1"/>
  <c r="I87" i="18" l="1"/>
  <c r="H87" i="18"/>
  <c r="H114" i="7" l="1"/>
  <c r="H113" i="7" s="1"/>
  <c r="H146" i="7"/>
  <c r="H549" i="7" l="1"/>
  <c r="H548" i="7" s="1"/>
  <c r="H545" i="7" s="1"/>
  <c r="M171" i="3"/>
  <c r="M168" i="3" s="1"/>
  <c r="M129" i="3"/>
  <c r="M128" i="3" s="1"/>
  <c r="M127" i="3" s="1"/>
  <c r="M167" i="3" l="1"/>
  <c r="M446" i="3"/>
  <c r="H61" i="7" l="1"/>
  <c r="H62" i="7"/>
  <c r="N496" i="19" l="1"/>
  <c r="N651" i="19" s="1"/>
  <c r="H45" i="18"/>
  <c r="I45" i="18"/>
  <c r="H60" i="7"/>
  <c r="M496" i="19" l="1"/>
  <c r="M651" i="19" s="1"/>
  <c r="E52" i="6" s="1"/>
  <c r="F52" i="6"/>
  <c r="N337" i="19"/>
  <c r="M337" i="19"/>
  <c r="M513" i="3"/>
  <c r="I116" i="18" l="1"/>
  <c r="I115" i="18" s="1"/>
  <c r="H116" i="18"/>
  <c r="H115" i="18" s="1"/>
  <c r="I119" i="18"/>
  <c r="I118" i="18" s="1"/>
  <c r="H119" i="18"/>
  <c r="H118" i="18" s="1"/>
  <c r="I122" i="18"/>
  <c r="I121" i="18" s="1"/>
  <c r="H122" i="18"/>
  <c r="H121" i="18" s="1"/>
  <c r="N355" i="19"/>
  <c r="M355" i="19"/>
  <c r="N295" i="19"/>
  <c r="N294" i="19" s="1"/>
  <c r="M295" i="19"/>
  <c r="M294" i="19" s="1"/>
  <c r="N298" i="19"/>
  <c r="N297" i="19" s="1"/>
  <c r="M298" i="19"/>
  <c r="M297" i="19" s="1"/>
  <c r="N301" i="19"/>
  <c r="N300" i="19" s="1"/>
  <c r="M301" i="19"/>
  <c r="M300" i="19" s="1"/>
  <c r="H63" i="18" l="1"/>
  <c r="I63" i="18"/>
  <c r="N293" i="19"/>
  <c r="N292" i="19" s="1"/>
  <c r="N291" i="19" s="1"/>
  <c r="N290" i="19" s="1"/>
  <c r="M293" i="19"/>
  <c r="M292" i="19" s="1"/>
  <c r="M291" i="19" s="1"/>
  <c r="M290" i="19" s="1"/>
  <c r="H152" i="7" l="1"/>
  <c r="H151" i="7" s="1"/>
  <c r="H150" i="7" s="1"/>
  <c r="H155" i="7"/>
  <c r="H154" i="7" s="1"/>
  <c r="H153" i="7" s="1"/>
  <c r="H158" i="7"/>
  <c r="H157" i="7" s="1"/>
  <c r="H156" i="7" s="1"/>
  <c r="M445" i="3"/>
  <c r="M449" i="3"/>
  <c r="M448" i="3" s="1"/>
  <c r="M451" i="3"/>
  <c r="H136" i="7"/>
  <c r="H135" i="7" s="1"/>
  <c r="H148" i="7"/>
  <c r="H145" i="7" l="1"/>
  <c r="M444" i="3"/>
  <c r="M443" i="3" s="1"/>
  <c r="M442" i="3" s="1"/>
  <c r="M441" i="3" s="1"/>
  <c r="I194" i="18" l="1"/>
  <c r="I193" i="18" s="1"/>
  <c r="H194" i="18"/>
  <c r="H193" i="18" s="1"/>
  <c r="I191" i="18"/>
  <c r="H191" i="18"/>
  <c r="N483" i="19"/>
  <c r="N482" i="19" s="1"/>
  <c r="N481" i="19" s="1"/>
  <c r="N480" i="19" s="1"/>
  <c r="N479" i="19" s="1"/>
  <c r="N478" i="19" s="1"/>
  <c r="M483" i="19"/>
  <c r="M482" i="19" s="1"/>
  <c r="M481" i="19" s="1"/>
  <c r="M480" i="19" s="1"/>
  <c r="M479" i="19" s="1"/>
  <c r="M478" i="19" s="1"/>
  <c r="H268" i="7"/>
  <c r="H258" i="7"/>
  <c r="H257" i="7" s="1"/>
  <c r="H256" i="7" s="1"/>
  <c r="H267" i="7" l="1"/>
  <c r="H266" i="7" s="1"/>
  <c r="N435" i="19"/>
  <c r="I130" i="18" s="1"/>
  <c r="M435" i="19"/>
  <c r="H130" i="18" s="1"/>
  <c r="I163" i="18"/>
  <c r="I162" i="18" s="1"/>
  <c r="H163" i="18"/>
  <c r="H162" i="18" s="1"/>
  <c r="N426" i="19"/>
  <c r="N425" i="19" s="1"/>
  <c r="N424" i="19" s="1"/>
  <c r="M426" i="19"/>
  <c r="M425" i="19" s="1"/>
  <c r="M424" i="19" s="1"/>
  <c r="I383" i="18"/>
  <c r="I382" i="18" s="1"/>
  <c r="I381" i="18" s="1"/>
  <c r="I380" i="18" s="1"/>
  <c r="H383" i="18"/>
  <c r="H382" i="18" s="1"/>
  <c r="H381" i="18" s="1"/>
  <c r="H380" i="18" s="1"/>
  <c r="N167" i="19"/>
  <c r="N166" i="19" s="1"/>
  <c r="N165" i="19" s="1"/>
  <c r="N164" i="19" s="1"/>
  <c r="N163" i="19" s="1"/>
  <c r="M167" i="19"/>
  <c r="M166" i="19" s="1"/>
  <c r="M165" i="19" s="1"/>
  <c r="M164" i="19" s="1"/>
  <c r="M163" i="19" s="1"/>
  <c r="I377" i="18"/>
  <c r="I376" i="18" s="1"/>
  <c r="H377" i="18"/>
  <c r="H376" i="18" s="1"/>
  <c r="N135" i="19"/>
  <c r="N134" i="19" s="1"/>
  <c r="M135" i="19"/>
  <c r="M134" i="19" s="1"/>
  <c r="I367" i="18"/>
  <c r="I366" i="18" s="1"/>
  <c r="I365" i="18" s="1"/>
  <c r="H367" i="18"/>
  <c r="H366" i="18" s="1"/>
  <c r="H365" i="18" s="1"/>
  <c r="N126" i="19"/>
  <c r="N125" i="19" s="1"/>
  <c r="N124" i="19" s="1"/>
  <c r="M126" i="19"/>
  <c r="M125" i="19" s="1"/>
  <c r="M124" i="19" s="1"/>
  <c r="I244" i="18"/>
  <c r="I243" i="18" s="1"/>
  <c r="H244" i="18"/>
  <c r="H243" i="18" s="1"/>
  <c r="I241" i="18"/>
  <c r="I240" i="18" s="1"/>
  <c r="H241" i="18"/>
  <c r="H240" i="18" s="1"/>
  <c r="N94" i="19"/>
  <c r="N93" i="19" s="1"/>
  <c r="M94" i="19"/>
  <c r="M93" i="19" s="1"/>
  <c r="N91" i="19"/>
  <c r="N90" i="19" s="1"/>
  <c r="M91" i="19"/>
  <c r="M90" i="19" s="1"/>
  <c r="I417" i="18"/>
  <c r="H417" i="18"/>
  <c r="N72" i="19"/>
  <c r="I419" i="18" s="1"/>
  <c r="M72" i="19"/>
  <c r="H419" i="18" s="1"/>
  <c r="M70" i="19"/>
  <c r="N70" i="19"/>
  <c r="N66" i="19"/>
  <c r="N65" i="19" s="1"/>
  <c r="M66" i="19"/>
  <c r="M65" i="19" s="1"/>
  <c r="N61" i="19"/>
  <c r="N60" i="19" s="1"/>
  <c r="N59" i="19" s="1"/>
  <c r="N58" i="19" s="1"/>
  <c r="M61" i="19"/>
  <c r="M60" i="19" s="1"/>
  <c r="M59" i="19" s="1"/>
  <c r="M58" i="19" s="1"/>
  <c r="N37" i="19"/>
  <c r="M37" i="19"/>
  <c r="M423" i="19" l="1"/>
  <c r="M422" i="19" s="1"/>
  <c r="M421" i="19" s="1"/>
  <c r="N423" i="19"/>
  <c r="N422" i="19" s="1"/>
  <c r="N421" i="19" s="1"/>
  <c r="N89" i="19"/>
  <c r="M89" i="19"/>
  <c r="N69" i="19"/>
  <c r="N64" i="19" s="1"/>
  <c r="M69" i="19"/>
  <c r="M64" i="19" s="1"/>
  <c r="I416" i="18"/>
  <c r="H416" i="18"/>
  <c r="H413" i="18"/>
  <c r="I413" i="18"/>
  <c r="M738" i="3"/>
  <c r="M727" i="3"/>
  <c r="M726" i="3" s="1"/>
  <c r="M725" i="3" s="1"/>
  <c r="M724" i="3" s="1"/>
  <c r="M723" i="3" s="1"/>
  <c r="M722" i="3" s="1"/>
  <c r="M63" i="19" l="1"/>
  <c r="M57" i="19" s="1"/>
  <c r="N63" i="19"/>
  <c r="N57" i="19" s="1"/>
  <c r="H535" i="7"/>
  <c r="I291" i="18" l="1"/>
  <c r="H291" i="18"/>
  <c r="I294" i="18"/>
  <c r="I293" i="18" s="1"/>
  <c r="H294" i="18"/>
  <c r="H293" i="18" s="1"/>
  <c r="I297" i="18"/>
  <c r="I296" i="18" s="1"/>
  <c r="H297" i="18"/>
  <c r="H296" i="18" s="1"/>
  <c r="N238" i="19"/>
  <c r="N237" i="19" s="1"/>
  <c r="M238" i="19"/>
  <c r="M237" i="19" s="1"/>
  <c r="N235" i="19"/>
  <c r="N234" i="19" s="1"/>
  <c r="M235" i="19"/>
  <c r="M234" i="19" s="1"/>
  <c r="N232" i="19"/>
  <c r="M232" i="19"/>
  <c r="M358" i="3"/>
  <c r="H166" i="7" l="1"/>
  <c r="H165" i="7" s="1"/>
  <c r="M654" i="3"/>
  <c r="H199" i="7" l="1"/>
  <c r="H198" i="7" s="1"/>
  <c r="H220" i="7"/>
  <c r="H219" i="7" s="1"/>
  <c r="H218" i="7" s="1"/>
  <c r="I223" i="18"/>
  <c r="I222" i="18" s="1"/>
  <c r="H223" i="18"/>
  <c r="H222" i="18" s="1"/>
  <c r="I226" i="18"/>
  <c r="I225" i="18" s="1"/>
  <c r="H226" i="18"/>
  <c r="H225" i="18" s="1"/>
  <c r="I229" i="18"/>
  <c r="I228" i="18" s="1"/>
  <c r="H229" i="18"/>
  <c r="H228" i="18" s="1"/>
  <c r="H289" i="7"/>
  <c r="H288" i="7" s="1"/>
  <c r="H287" i="7" s="1"/>
  <c r="H292" i="7"/>
  <c r="H291" i="7" s="1"/>
  <c r="H290" i="7" s="1"/>
  <c r="H295" i="7"/>
  <c r="H294" i="7" s="1"/>
  <c r="H293" i="7" s="1"/>
  <c r="N552" i="19" l="1"/>
  <c r="M552" i="19"/>
  <c r="N545" i="19"/>
  <c r="N544" i="19" s="1"/>
  <c r="M545" i="19"/>
  <c r="M544" i="19" s="1"/>
  <c r="N542" i="19"/>
  <c r="N541" i="19" s="1"/>
  <c r="M542" i="19"/>
  <c r="M541" i="19" s="1"/>
  <c r="N539" i="19"/>
  <c r="N538" i="19" s="1"/>
  <c r="M539" i="19"/>
  <c r="M538" i="19" s="1"/>
  <c r="M807" i="3"/>
  <c r="M806" i="3" s="1"/>
  <c r="M804" i="3"/>
  <c r="M803" i="3" s="1"/>
  <c r="M801" i="3"/>
  <c r="M800" i="3" s="1"/>
  <c r="N537" i="19" l="1"/>
  <c r="N536" i="19" s="1"/>
  <c r="N535" i="19" s="1"/>
  <c r="N534" i="19" s="1"/>
  <c r="M537" i="19"/>
  <c r="M536" i="19" s="1"/>
  <c r="M535" i="19" s="1"/>
  <c r="M534" i="19" s="1"/>
  <c r="M799" i="3"/>
  <c r="M798" i="3" s="1"/>
  <c r="M797" i="3" s="1"/>
  <c r="M796" i="3" s="1"/>
  <c r="N209" i="19"/>
  <c r="N208" i="19" s="1"/>
  <c r="M209" i="19"/>
  <c r="M208" i="19" s="1"/>
  <c r="M645" i="3" l="1"/>
  <c r="M644" i="3" s="1"/>
  <c r="M643" i="3" s="1"/>
  <c r="M641" i="3" l="1"/>
  <c r="M640" i="3" s="1"/>
  <c r="M642" i="3"/>
  <c r="I273" i="18" l="1"/>
  <c r="I272" i="18" s="1"/>
  <c r="H273" i="18"/>
  <c r="H272" i="18" s="1"/>
  <c r="I270" i="18"/>
  <c r="I269" i="18" s="1"/>
  <c r="H270" i="18"/>
  <c r="H269" i="18" s="1"/>
  <c r="N187" i="19"/>
  <c r="N186" i="19" s="1"/>
  <c r="M187" i="19"/>
  <c r="M186" i="19" s="1"/>
  <c r="H360" i="7"/>
  <c r="H359" i="7" s="1"/>
  <c r="H358" i="7" s="1"/>
  <c r="M288" i="3"/>
  <c r="M287" i="3" s="1"/>
  <c r="N184" i="19" l="1"/>
  <c r="N183" i="19" s="1"/>
  <c r="N182" i="19" s="1"/>
  <c r="N181" i="19" s="1"/>
  <c r="N180" i="19" s="1"/>
  <c r="M184" i="19"/>
  <c r="M183" i="19" s="1"/>
  <c r="M182" i="19" s="1"/>
  <c r="M181" i="19" l="1"/>
  <c r="M180" i="19" s="1"/>
  <c r="M664" i="3" l="1"/>
  <c r="M663" i="3" s="1"/>
  <c r="M662" i="3" l="1"/>
  <c r="M661" i="3" s="1"/>
  <c r="M660" i="3" s="1"/>
  <c r="M595" i="19"/>
  <c r="M20" i="3" l="1"/>
  <c r="M19" i="3" s="1"/>
  <c r="M18" i="3" s="1"/>
  <c r="M17" i="3" s="1"/>
  <c r="M32" i="3"/>
  <c r="M34" i="3"/>
  <c r="M42" i="3"/>
  <c r="M48" i="3"/>
  <c r="M47" i="3" s="1"/>
  <c r="M46" i="3" s="1"/>
  <c r="M45" i="3" s="1"/>
  <c r="M875" i="3" s="1"/>
  <c r="M52" i="3"/>
  <c r="M51" i="3" s="1"/>
  <c r="M64" i="3"/>
  <c r="M63" i="3" s="1"/>
  <c r="M62" i="3" s="1"/>
  <c r="M69" i="3"/>
  <c r="M74" i="3"/>
  <c r="M76" i="3"/>
  <c r="M99" i="3"/>
  <c r="M101" i="3"/>
  <c r="M103" i="3"/>
  <c r="M105" i="3"/>
  <c r="M111" i="3"/>
  <c r="M113" i="3"/>
  <c r="M116" i="3"/>
  <c r="M115" i="3" s="1"/>
  <c r="M136" i="3"/>
  <c r="M135" i="3" s="1"/>
  <c r="M139" i="3"/>
  <c r="M138" i="3" s="1"/>
  <c r="M145" i="3"/>
  <c r="M144" i="3" s="1"/>
  <c r="M151" i="3"/>
  <c r="M150" i="3" s="1"/>
  <c r="M149" i="3" s="1"/>
  <c r="M155" i="3"/>
  <c r="M154" i="3" s="1"/>
  <c r="M153" i="3" s="1"/>
  <c r="M160" i="3"/>
  <c r="M162" i="3"/>
  <c r="M207" i="3"/>
  <c r="M206" i="3" s="1"/>
  <c r="M205" i="3" s="1"/>
  <c r="M204" i="3" s="1"/>
  <c r="M203" i="3" s="1"/>
  <c r="M219" i="3"/>
  <c r="M218" i="3" s="1"/>
  <c r="M217" i="3" s="1"/>
  <c r="M216" i="3" s="1"/>
  <c r="M215" i="3" s="1"/>
  <c r="M270" i="3"/>
  <c r="M285" i="3"/>
  <c r="M284" i="3" s="1"/>
  <c r="M283" i="3" s="1"/>
  <c r="M302" i="3"/>
  <c r="M320" i="3"/>
  <c r="M315" i="3" s="1"/>
  <c r="M335" i="3"/>
  <c r="M334" i="3" s="1"/>
  <c r="M350" i="3"/>
  <c r="M341" i="3" s="1"/>
  <c r="M355" i="3"/>
  <c r="M354" i="3" s="1"/>
  <c r="M373" i="3"/>
  <c r="M372" i="3" s="1"/>
  <c r="M371" i="3" s="1"/>
  <c r="M387" i="3"/>
  <c r="M386" i="3" s="1"/>
  <c r="M385" i="3" s="1"/>
  <c r="M398" i="3"/>
  <c r="M397" i="3" s="1"/>
  <c r="M405" i="3"/>
  <c r="M413" i="3"/>
  <c r="M428" i="3"/>
  <c r="M459" i="3"/>
  <c r="M461" i="3"/>
  <c r="M463" i="3"/>
  <c r="M467" i="3"/>
  <c r="M469" i="3"/>
  <c r="M489" i="3"/>
  <c r="M488" i="3" s="1"/>
  <c r="M516" i="3"/>
  <c r="M563" i="3"/>
  <c r="M652" i="3"/>
  <c r="M656" i="3"/>
  <c r="M674" i="3"/>
  <c r="M678" i="3"/>
  <c r="M680" i="3"/>
  <c r="M742" i="3"/>
  <c r="M737" i="3" s="1"/>
  <c r="M754" i="3"/>
  <c r="M790" i="3"/>
  <c r="M789" i="3" s="1"/>
  <c r="M788" i="3" s="1"/>
  <c r="M787" i="3" s="1"/>
  <c r="M786" i="3" s="1"/>
  <c r="M917" i="3" s="1"/>
  <c r="M824" i="3"/>
  <c r="M823" i="3" s="1"/>
  <c r="M822" i="3" s="1"/>
  <c r="M821" i="3" s="1"/>
  <c r="M820" i="3" s="1"/>
  <c r="M846" i="3"/>
  <c r="M23" i="19"/>
  <c r="M22" i="19" s="1"/>
  <c r="M21" i="19" s="1"/>
  <c r="M20" i="19" s="1"/>
  <c r="M19" i="19" s="1"/>
  <c r="M29" i="19"/>
  <c r="M33" i="19"/>
  <c r="M35" i="19"/>
  <c r="M44" i="19"/>
  <c r="M43" i="19" s="1"/>
  <c r="M50" i="19"/>
  <c r="M49" i="19" s="1"/>
  <c r="M48" i="19" s="1"/>
  <c r="M47" i="19" s="1"/>
  <c r="M46" i="19" s="1"/>
  <c r="M613" i="19" s="1"/>
  <c r="E20" i="6" s="1"/>
  <c r="M83" i="19"/>
  <c r="M85" i="19"/>
  <c r="M111" i="19"/>
  <c r="M110" i="19" s="1"/>
  <c r="M114" i="19"/>
  <c r="M113" i="19" s="1"/>
  <c r="M120" i="19"/>
  <c r="M119" i="19" s="1"/>
  <c r="M118" i="19" s="1"/>
  <c r="M117" i="19" s="1"/>
  <c r="M116" i="19" s="1"/>
  <c r="M624" i="19" s="1"/>
  <c r="E29" i="6" s="1"/>
  <c r="M130" i="19"/>
  <c r="M129" i="19" s="1"/>
  <c r="M128" i="19" s="1"/>
  <c r="M123" i="19" s="1"/>
  <c r="M161" i="19"/>
  <c r="M160" i="19" s="1"/>
  <c r="M159" i="19" s="1"/>
  <c r="M158" i="19" s="1"/>
  <c r="M157" i="19" s="1"/>
  <c r="M156" i="19" s="1"/>
  <c r="M176" i="19"/>
  <c r="M175" i="19" s="1"/>
  <c r="M174" i="19" s="1"/>
  <c r="M173" i="19" s="1"/>
  <c r="M172" i="19" s="1"/>
  <c r="M201" i="19"/>
  <c r="M200" i="19" s="1"/>
  <c r="M199" i="19" s="1"/>
  <c r="M198" i="19" s="1"/>
  <c r="M197" i="19" s="1"/>
  <c r="M220" i="19"/>
  <c r="M219" i="19" s="1"/>
  <c r="M224" i="19"/>
  <c r="M228" i="19"/>
  <c r="M246" i="19"/>
  <c r="M245" i="19" s="1"/>
  <c r="M244" i="19" s="1"/>
  <c r="M277" i="19"/>
  <c r="M276" i="19" s="1"/>
  <c r="M308" i="19"/>
  <c r="M312" i="19"/>
  <c r="M314" i="19"/>
  <c r="M325" i="19"/>
  <c r="M340" i="19"/>
  <c r="M344" i="19"/>
  <c r="M348" i="19"/>
  <c r="M368" i="19"/>
  <c r="M367" i="19" s="1"/>
  <c r="M386" i="19"/>
  <c r="M392" i="19"/>
  <c r="M416" i="19"/>
  <c r="M415" i="19" s="1"/>
  <c r="M414" i="19" s="1"/>
  <c r="M413" i="19" s="1"/>
  <c r="M412" i="19" s="1"/>
  <c r="M411" i="19" s="1"/>
  <c r="M433" i="19"/>
  <c r="M451" i="19"/>
  <c r="M450" i="19" s="1"/>
  <c r="M455" i="19"/>
  <c r="M462" i="19"/>
  <c r="M468" i="19"/>
  <c r="M472" i="19"/>
  <c r="M528" i="19"/>
  <c r="M527" i="19" s="1"/>
  <c r="M526" i="19" s="1"/>
  <c r="M525" i="19" s="1"/>
  <c r="M524" i="19" s="1"/>
  <c r="M653" i="19" s="1"/>
  <c r="M551" i="19"/>
  <c r="M550" i="19" s="1"/>
  <c r="M549" i="19" s="1"/>
  <c r="M548" i="19" s="1"/>
  <c r="M637" i="19" s="1"/>
  <c r="M560" i="19"/>
  <c r="M559" i="19" s="1"/>
  <c r="M558" i="19" s="1"/>
  <c r="M557" i="19" s="1"/>
  <c r="M556" i="19" s="1"/>
  <c r="M571" i="19"/>
  <c r="M582" i="19"/>
  <c r="M601" i="19"/>
  <c r="M662" i="19" s="1"/>
  <c r="E59" i="6" s="1"/>
  <c r="E58" i="6" s="1"/>
  <c r="M458" i="3" l="1"/>
  <c r="M834" i="3"/>
  <c r="M833" i="3" s="1"/>
  <c r="M570" i="19"/>
  <c r="M301" i="3"/>
  <c r="M300" i="3" s="1"/>
  <c r="M299" i="3" s="1"/>
  <c r="M298" i="3" s="1"/>
  <c r="M297" i="3" s="1"/>
  <c r="M384" i="3"/>
  <c r="M383" i="3" s="1"/>
  <c r="M382" i="3" s="1"/>
  <c r="M202" i="3"/>
  <c r="M555" i="3"/>
  <c r="M673" i="3"/>
  <c r="M651" i="3"/>
  <c r="M427" i="3"/>
  <c r="M426" i="3" s="1"/>
  <c r="M425" i="3" s="1"/>
  <c r="M424" i="3" s="1"/>
  <c r="M423" i="3" s="1"/>
  <c r="M412" i="3"/>
  <c r="M411" i="3" s="1"/>
  <c r="M410" i="3" s="1"/>
  <c r="M409" i="3" s="1"/>
  <c r="M171" i="19"/>
  <c r="M28" i="19"/>
  <c r="M27" i="19" s="1"/>
  <c r="M26" i="19" s="1"/>
  <c r="M25" i="19" s="1"/>
  <c r="M612" i="19" s="1"/>
  <c r="E19" i="6" s="1"/>
  <c r="M486" i="19"/>
  <c r="M650" i="19" s="1"/>
  <c r="M753" i="3"/>
  <c r="M736" i="3"/>
  <c r="M159" i="3"/>
  <c r="M158" i="3" s="1"/>
  <c r="M157" i="3" s="1"/>
  <c r="M143" i="3"/>
  <c r="M142" i="3" s="1"/>
  <c r="M141" i="3" s="1"/>
  <c r="M886" i="3" s="1"/>
  <c r="M324" i="19"/>
  <c r="M323" i="19" s="1"/>
  <c r="M873" i="3"/>
  <c r="M82" i="19"/>
  <c r="M81" i="19" s="1"/>
  <c r="M80" i="19" s="1"/>
  <c r="M79" i="19" s="1"/>
  <c r="M307" i="19"/>
  <c r="M306" i="19" s="1"/>
  <c r="E40" i="6"/>
  <c r="M404" i="3"/>
  <c r="M403" i="3" s="1"/>
  <c r="M402" i="3" s="1"/>
  <c r="M401" i="3" s="1"/>
  <c r="M487" i="3"/>
  <c r="M486" i="3" s="1"/>
  <c r="M166" i="3"/>
  <c r="E54" i="6"/>
  <c r="M459" i="19"/>
  <c r="M458" i="19" s="1"/>
  <c r="M432" i="19"/>
  <c r="M431" i="19" s="1"/>
  <c r="M430" i="19" s="1"/>
  <c r="M133" i="19"/>
  <c r="M132" i="19" s="1"/>
  <c r="M223" i="19"/>
  <c r="M222" i="19" s="1"/>
  <c r="M908" i="3"/>
  <c r="M877" i="3"/>
  <c r="M282" i="3"/>
  <c r="M281" i="3" s="1"/>
  <c r="M449" i="19"/>
  <c r="M98" i="3"/>
  <c r="M97" i="3" s="1"/>
  <c r="M96" i="3" s="1"/>
  <c r="M95" i="3" s="1"/>
  <c r="M591" i="19"/>
  <c r="M590" i="19" s="1"/>
  <c r="M589" i="19" s="1"/>
  <c r="M588" i="19" s="1"/>
  <c r="M647" i="19" s="1"/>
  <c r="M275" i="19"/>
  <c r="M274" i="19" s="1"/>
  <c r="M273" i="19" s="1"/>
  <c r="M218" i="19"/>
  <c r="M207" i="19"/>
  <c r="M206" i="19" s="1"/>
  <c r="M205" i="19" s="1"/>
  <c r="M204" i="19" s="1"/>
  <c r="M357" i="3"/>
  <c r="M854" i="3"/>
  <c r="M853" i="3" s="1"/>
  <c r="M852" i="3" s="1"/>
  <c r="M911" i="3" s="1"/>
  <c r="M635" i="3"/>
  <c r="M634" i="3" s="1"/>
  <c r="M633" i="3" s="1"/>
  <c r="M632" i="3" s="1"/>
  <c r="M631" i="3" s="1"/>
  <c r="M624" i="3" s="1"/>
  <c r="M314" i="3"/>
  <c r="M313" i="3" s="1"/>
  <c r="M312" i="3" s="1"/>
  <c r="M311" i="3" s="1"/>
  <c r="M134" i="3"/>
  <c r="M133" i="3" s="1"/>
  <c r="M132" i="3" s="1"/>
  <c r="M885" i="3" s="1"/>
  <c r="D28" i="6" s="1"/>
  <c r="M110" i="3"/>
  <c r="M109" i="3" s="1"/>
  <c r="M818" i="3"/>
  <c r="M814" i="3"/>
  <c r="M337" i="3"/>
  <c r="M333" i="3" s="1"/>
  <c r="M734" i="3"/>
  <c r="M733" i="3" s="1"/>
  <c r="M732" i="3" s="1"/>
  <c r="M712" i="3"/>
  <c r="M711" i="3" s="1"/>
  <c r="M708" i="3"/>
  <c r="M707" i="3" s="1"/>
  <c r="M706" i="3" s="1"/>
  <c r="M702" i="3"/>
  <c r="M606" i="3"/>
  <c r="M602" i="3"/>
  <c r="M598" i="3"/>
  <c r="M597" i="3" s="1"/>
  <c r="M596" i="3" s="1"/>
  <c r="M549" i="3"/>
  <c r="M548" i="3" s="1"/>
  <c r="M524" i="3"/>
  <c r="M503" i="3"/>
  <c r="M495" i="3"/>
  <c r="M396" i="3"/>
  <c r="M269" i="3"/>
  <c r="M268" i="3" s="1"/>
  <c r="M148" i="3"/>
  <c r="M119" i="3"/>
  <c r="M118" i="3" s="1"/>
  <c r="M73" i="3"/>
  <c r="M68" i="3" s="1"/>
  <c r="M36" i="3"/>
  <c r="M26" i="3" s="1"/>
  <c r="M196" i="19"/>
  <c r="M659" i="19"/>
  <c r="M645" i="19"/>
  <c r="E46" i="6" s="1"/>
  <c r="M547" i="19"/>
  <c r="M533" i="19" s="1"/>
  <c r="M611" i="19"/>
  <c r="E18" i="6" s="1"/>
  <c r="M467" i="19"/>
  <c r="M466" i="19" s="1"/>
  <c r="M465" i="19" s="1"/>
  <c r="M464" i="19" s="1"/>
  <c r="M642" i="19" s="1"/>
  <c r="E44" i="6" s="1"/>
  <c r="M376" i="19"/>
  <c r="M375" i="19" s="1"/>
  <c r="M55" i="19"/>
  <c r="M54" i="19" s="1"/>
  <c r="M53" i="19" s="1"/>
  <c r="M52" i="19" s="1"/>
  <c r="M615" i="19" s="1"/>
  <c r="E22" i="6" s="1"/>
  <c r="M109" i="19"/>
  <c r="M108" i="19" s="1"/>
  <c r="M107" i="19" s="1"/>
  <c r="M98" i="19"/>
  <c r="M97" i="19" s="1"/>
  <c r="M96" i="19" s="1"/>
  <c r="M88" i="19" s="1"/>
  <c r="M923" i="3" l="1"/>
  <c r="M926" i="3" s="1"/>
  <c r="M752" i="3"/>
  <c r="M751" i="3" s="1"/>
  <c r="M915" i="3" s="1"/>
  <c r="M122" i="19"/>
  <c r="M625" i="19" s="1"/>
  <c r="M485" i="19"/>
  <c r="M477" i="19" s="1"/>
  <c r="M494" i="3"/>
  <c r="M493" i="3" s="1"/>
  <c r="M492" i="3" s="1"/>
  <c r="M491" i="3" s="1"/>
  <c r="M400" i="3"/>
  <c r="M614" i="19"/>
  <c r="E21" i="6" s="1"/>
  <c r="M731" i="3"/>
  <c r="M730" i="3" s="1"/>
  <c r="M601" i="3"/>
  <c r="M600" i="3" s="1"/>
  <c r="M595" i="3" s="1"/>
  <c r="M594" i="3" s="1"/>
  <c r="M901" i="3" s="1"/>
  <c r="D41" i="6" s="1"/>
  <c r="M147" i="3"/>
  <c r="M887" i="3" s="1"/>
  <c r="D30" i="6" s="1"/>
  <c r="M170" i="19"/>
  <c r="M654" i="19"/>
  <c r="E49" i="6"/>
  <c r="M272" i="19"/>
  <c r="M108" i="3"/>
  <c r="M569" i="19"/>
  <c r="M568" i="19" s="1"/>
  <c r="M567" i="19" s="1"/>
  <c r="M646" i="19" s="1"/>
  <c r="M391" i="19"/>
  <c r="M448" i="19"/>
  <c r="M447" i="19" s="1"/>
  <c r="M395" i="3"/>
  <c r="M394" i="3" s="1"/>
  <c r="M457" i="3"/>
  <c r="M456" i="3" s="1"/>
  <c r="M455" i="3" s="1"/>
  <c r="M619" i="19"/>
  <c r="E25" i="6" s="1"/>
  <c r="M657" i="19"/>
  <c r="M660" i="19"/>
  <c r="E56" i="6"/>
  <c r="E55" i="6" s="1"/>
  <c r="M322" i="19"/>
  <c r="M832" i="3"/>
  <c r="M831" i="3" s="1"/>
  <c r="M374" i="19"/>
  <c r="M373" i="19" s="1"/>
  <c r="M372" i="19" s="1"/>
  <c r="M305" i="19"/>
  <c r="M304" i="19" s="1"/>
  <c r="M633" i="19" s="1"/>
  <c r="M429" i="19"/>
  <c r="M428" i="19" s="1"/>
  <c r="M87" i="19"/>
  <c r="M78" i="19" s="1"/>
  <c r="M18" i="19"/>
  <c r="M650" i="3"/>
  <c r="M649" i="3" s="1"/>
  <c r="M648" i="3" s="1"/>
  <c r="M647" i="3" s="1"/>
  <c r="M672" i="3"/>
  <c r="M710" i="3"/>
  <c r="M705" i="3" s="1"/>
  <c r="M704" i="3" s="1"/>
  <c r="M905" i="3" s="1"/>
  <c r="M217" i="19"/>
  <c r="M881" i="3"/>
  <c r="M67" i="3"/>
  <c r="M56" i="3" s="1"/>
  <c r="M340" i="3"/>
  <c r="M813" i="3"/>
  <c r="M812" i="3" s="1"/>
  <c r="M811" i="3" s="1"/>
  <c r="M810" i="3" s="1"/>
  <c r="M900" i="3" s="1"/>
  <c r="M921" i="3"/>
  <c r="M267" i="3"/>
  <c r="M266" i="3" s="1"/>
  <c r="M876" i="3"/>
  <c r="M698" i="3"/>
  <c r="M697" i="3" s="1"/>
  <c r="M25" i="3"/>
  <c r="M24" i="3" s="1"/>
  <c r="M23" i="3" s="1"/>
  <c r="M623" i="19"/>
  <c r="E28" i="6" s="1"/>
  <c r="M896" i="3" l="1"/>
  <c r="M729" i="3"/>
  <c r="M721" i="3" s="1"/>
  <c r="M635" i="19"/>
  <c r="E38" i="6" s="1"/>
  <c r="M914" i="3"/>
  <c r="M918" i="3" s="1"/>
  <c r="M390" i="19"/>
  <c r="M389" i="19" s="1"/>
  <c r="M388" i="19" s="1"/>
  <c r="M566" i="19"/>
  <c r="M565" i="19" s="1"/>
  <c r="E48" i="6"/>
  <c r="E45" i="6" s="1"/>
  <c r="M216" i="19"/>
  <c r="M616" i="19" s="1"/>
  <c r="E30" i="6"/>
  <c r="E27" i="6" s="1"/>
  <c r="M641" i="19"/>
  <c r="M446" i="19"/>
  <c r="M420" i="19" s="1"/>
  <c r="M16" i="3"/>
  <c r="M891" i="3"/>
  <c r="M894" i="3" s="1"/>
  <c r="M393" i="3"/>
  <c r="M332" i="3"/>
  <c r="M321" i="19"/>
  <c r="M634" i="19" s="1"/>
  <c r="E36" i="6"/>
  <c r="E51" i="6"/>
  <c r="E50" i="6" s="1"/>
  <c r="E33" i="6"/>
  <c r="E31" i="6" s="1"/>
  <c r="M910" i="3"/>
  <c r="M912" i="3" s="1"/>
  <c r="M830" i="3"/>
  <c r="M829" i="3" s="1"/>
  <c r="M897" i="3"/>
  <c r="D37" i="6" s="1"/>
  <c r="M106" i="19"/>
  <c r="M17" i="19" s="1"/>
  <c r="M620" i="19"/>
  <c r="M107" i="3"/>
  <c r="M882" i="3" s="1"/>
  <c r="D26" i="6" s="1"/>
  <c r="M809" i="3"/>
  <c r="M795" i="3" s="1"/>
  <c r="M671" i="3"/>
  <c r="M670" i="3" s="1"/>
  <c r="M904" i="3" s="1"/>
  <c r="M906" i="3" s="1"/>
  <c r="M131" i="3"/>
  <c r="M874" i="3"/>
  <c r="M331" i="3" l="1"/>
  <c r="M878" i="3" s="1"/>
  <c r="D23" i="6" s="1"/>
  <c r="M883" i="3"/>
  <c r="M638" i="19"/>
  <c r="E41" i="6" s="1"/>
  <c r="E37" i="6"/>
  <c r="M303" i="19"/>
  <c r="M289" i="19" s="1"/>
  <c r="M215" i="19"/>
  <c r="M214" i="19" s="1"/>
  <c r="M648" i="19"/>
  <c r="E23" i="6"/>
  <c r="E17" i="6" s="1"/>
  <c r="M617" i="19"/>
  <c r="M626" i="19"/>
  <c r="M888" i="3"/>
  <c r="E43" i="6"/>
  <c r="E42" i="6" s="1"/>
  <c r="M643" i="19"/>
  <c r="M621" i="19"/>
  <c r="E26" i="6"/>
  <c r="M94" i="3"/>
  <c r="M15" i="3" s="1"/>
  <c r="M669" i="3"/>
  <c r="M639" i="3" s="1"/>
  <c r="M330" i="3" l="1"/>
  <c r="M329" i="3" s="1"/>
  <c r="M639" i="19"/>
  <c r="M16" i="19"/>
  <c r="E35" i="6"/>
  <c r="M879" i="3"/>
  <c r="H109" i="7"/>
  <c r="H108" i="7" s="1"/>
  <c r="D23" i="8" l="1"/>
  <c r="D22" i="8" s="1"/>
  <c r="D21" i="8" s="1"/>
  <c r="D20" i="8" s="1"/>
  <c r="I279" i="18"/>
  <c r="I278" i="18" s="1"/>
  <c r="I277" i="18" s="1"/>
  <c r="H279" i="18"/>
  <c r="H278" i="18" s="1"/>
  <c r="H277" i="18" s="1"/>
  <c r="N220" i="19"/>
  <c r="N219" i="19" s="1"/>
  <c r="H80" i="7" l="1"/>
  <c r="H81" i="7"/>
  <c r="H79" i="7" l="1"/>
  <c r="H246" i="7" l="1"/>
  <c r="H244" i="7" l="1"/>
  <c r="H524" i="7" l="1"/>
  <c r="H278" i="7" l="1"/>
  <c r="H113" i="18" l="1"/>
  <c r="H110" i="18" s="1"/>
  <c r="I113" i="18"/>
  <c r="I110" i="18" s="1"/>
  <c r="H20" i="7" l="1"/>
  <c r="H19" i="7" s="1"/>
  <c r="H49" i="7"/>
  <c r="H47" i="7" s="1"/>
  <c r="H168" i="7" l="1"/>
  <c r="H167" i="7" s="1"/>
  <c r="H468" i="7" l="1"/>
  <c r="H467" i="7" s="1"/>
  <c r="I27" i="18" l="1"/>
  <c r="I29" i="18"/>
  <c r="I89" i="18"/>
  <c r="I136" i="18"/>
  <c r="I135" i="18" s="1"/>
  <c r="I150" i="18"/>
  <c r="I147" i="18" s="1"/>
  <c r="I169" i="18"/>
  <c r="I168" i="18" s="1"/>
  <c r="I167" i="18" s="1"/>
  <c r="I187" i="18"/>
  <c r="I235" i="18"/>
  <c r="I237" i="18"/>
  <c r="I267" i="18"/>
  <c r="I266" i="18" s="1"/>
  <c r="I317" i="18"/>
  <c r="I336" i="18"/>
  <c r="I335" i="18" s="1"/>
  <c r="I352" i="18"/>
  <c r="I351" i="18" s="1"/>
  <c r="I355" i="18"/>
  <c r="I354" i="18" s="1"/>
  <c r="I361" i="18"/>
  <c r="I360" i="18" s="1"/>
  <c r="I359" i="18" s="1"/>
  <c r="I358" i="18" s="1"/>
  <c r="I371" i="18"/>
  <c r="I370" i="18" s="1"/>
  <c r="I369" i="18" s="1"/>
  <c r="I364" i="18" s="1"/>
  <c r="I389" i="18"/>
  <c r="I388" i="18" s="1"/>
  <c r="I396" i="18"/>
  <c r="I398" i="18"/>
  <c r="I400" i="18"/>
  <c r="I402" i="18"/>
  <c r="I409" i="18"/>
  <c r="I408" i="18" s="1"/>
  <c r="I448" i="18"/>
  <c r="H89" i="18"/>
  <c r="N416" i="19"/>
  <c r="N415" i="19" s="1"/>
  <c r="N414" i="19" s="1"/>
  <c r="N413" i="19" s="1"/>
  <c r="N412" i="19" s="1"/>
  <c r="N411" i="19" s="1"/>
  <c r="N392" i="19"/>
  <c r="N386" i="19"/>
  <c r="N368" i="19"/>
  <c r="N367" i="19" s="1"/>
  <c r="N348" i="19"/>
  <c r="N340" i="19"/>
  <c r="N314" i="19"/>
  <c r="N312" i="19"/>
  <c r="I18" i="18"/>
  <c r="I234" i="18" l="1"/>
  <c r="I233" i="18" s="1"/>
  <c r="I422" i="18"/>
  <c r="I421" i="18" s="1"/>
  <c r="I146" i="18"/>
  <c r="I375" i="18"/>
  <c r="I374" i="18" s="1"/>
  <c r="I212" i="18"/>
  <c r="I211" i="18" s="1"/>
  <c r="I210" i="18" s="1"/>
  <c r="I441" i="18"/>
  <c r="I440" i="18" s="1"/>
  <c r="I447" i="18"/>
  <c r="I446" i="18" s="1"/>
  <c r="H97" i="18"/>
  <c r="N308" i="19"/>
  <c r="N307" i="19" s="1"/>
  <c r="N325" i="19"/>
  <c r="I303" i="18"/>
  <c r="I329" i="18"/>
  <c r="I306" i="18"/>
  <c r="I93" i="18"/>
  <c r="I248" i="18"/>
  <c r="I247" i="18" s="1"/>
  <c r="I246" i="18" s="1"/>
  <c r="I283" i="18"/>
  <c r="I176" i="18"/>
  <c r="I175" i="18" s="1"/>
  <c r="I260" i="18"/>
  <c r="I259" i="18" s="1"/>
  <c r="I218" i="18"/>
  <c r="I217" i="18" s="1"/>
  <c r="I216" i="18" s="1"/>
  <c r="I141" i="18"/>
  <c r="I140" i="18" s="1"/>
  <c r="I48" i="18"/>
  <c r="I32" i="18"/>
  <c r="I24" i="18"/>
  <c r="I17" i="18" s="1"/>
  <c r="I332" i="18"/>
  <c r="I326" i="18"/>
  <c r="I56" i="18"/>
  <c r="I392" i="18"/>
  <c r="I391" i="18" s="1"/>
  <c r="I287" i="18"/>
  <c r="I181" i="18"/>
  <c r="I180" i="18" s="1"/>
  <c r="I52" i="18"/>
  <c r="I311" i="18"/>
  <c r="I314" i="18"/>
  <c r="I154" i="18"/>
  <c r="I79" i="18"/>
  <c r="I78" i="18" s="1"/>
  <c r="I350" i="18"/>
  <c r="I349" i="18" s="1"/>
  <c r="N344" i="19"/>
  <c r="N376" i="19"/>
  <c r="N375" i="19" s="1"/>
  <c r="I97" i="18"/>
  <c r="I387" i="18" l="1"/>
  <c r="I302" i="18"/>
  <c r="I31" i="18"/>
  <c r="I16" i="18" s="1"/>
  <c r="I174" i="18"/>
  <c r="I166" i="18" s="1"/>
  <c r="I92" i="18"/>
  <c r="I91" i="18" s="1"/>
  <c r="N324" i="19"/>
  <c r="N323" i="19" s="1"/>
  <c r="I77" i="18"/>
  <c r="H239" i="18"/>
  <c r="N306" i="19"/>
  <c r="N305" i="19" s="1"/>
  <c r="N304" i="19" s="1"/>
  <c r="I239" i="18"/>
  <c r="I232" i="18" s="1"/>
  <c r="I282" i="18"/>
  <c r="I281" i="18" s="1"/>
  <c r="I276" i="18" s="1"/>
  <c r="I258" i="18"/>
  <c r="I257" i="18" s="1"/>
  <c r="I325" i="18"/>
  <c r="I209" i="18"/>
  <c r="N396" i="19"/>
  <c r="N391" i="19" l="1"/>
  <c r="N633" i="19"/>
  <c r="F36" i="6" s="1"/>
  <c r="I386" i="18"/>
  <c r="N374" i="19"/>
  <c r="N373" i="19" s="1"/>
  <c r="N372" i="19" s="1"/>
  <c r="N322" i="19"/>
  <c r="I301" i="18"/>
  <c r="I300" i="18" s="1"/>
  <c r="I15" i="18"/>
  <c r="H569" i="7"/>
  <c r="H144" i="7"/>
  <c r="H143" i="7" s="1"/>
  <c r="H141" i="7"/>
  <c r="H140" i="7" s="1"/>
  <c r="H133" i="7"/>
  <c r="H123" i="7"/>
  <c r="H117" i="7"/>
  <c r="H115" i="7" s="1"/>
  <c r="H107" i="7"/>
  <c r="H106" i="7"/>
  <c r="H73" i="7"/>
  <c r="H72" i="7"/>
  <c r="H70" i="7"/>
  <c r="H69" i="7"/>
  <c r="H68" i="7"/>
  <c r="H66" i="7"/>
  <c r="H65" i="7"/>
  <c r="H64" i="7"/>
  <c r="H43" i="7"/>
  <c r="H32" i="7"/>
  <c r="H30" i="7"/>
  <c r="H28" i="7"/>
  <c r="H27" i="7"/>
  <c r="H129" i="7"/>
  <c r="H101" i="7"/>
  <c r="H52" i="7"/>
  <c r="H51" i="7"/>
  <c r="H45" i="7"/>
  <c r="H44" i="7"/>
  <c r="N390" i="19" l="1"/>
  <c r="N389" i="19" s="1"/>
  <c r="N388" i="19" s="1"/>
  <c r="H105" i="7"/>
  <c r="N321" i="19"/>
  <c r="N634" i="19" s="1"/>
  <c r="F37" i="6" s="1"/>
  <c r="H102" i="7"/>
  <c r="H128" i="7"/>
  <c r="H134" i="7"/>
  <c r="H46" i="7"/>
  <c r="H42" i="7" s="1"/>
  <c r="H18" i="7"/>
  <c r="H22" i="7"/>
  <c r="H131" i="7"/>
  <c r="H127" i="7"/>
  <c r="N303" i="19" l="1"/>
  <c r="N289" i="19" s="1"/>
  <c r="H409" i="18"/>
  <c r="H408" i="18" s="1"/>
  <c r="H402" i="18"/>
  <c r="H371" i="18"/>
  <c r="H370" i="18" s="1"/>
  <c r="H369" i="18" s="1"/>
  <c r="H364" i="18" s="1"/>
  <c r="H336" i="18"/>
  <c r="H335" i="18" s="1"/>
  <c r="H422" i="18" l="1"/>
  <c r="H375" i="18"/>
  <c r="H374" i="18" s="1"/>
  <c r="H441" i="18"/>
  <c r="H440" i="18" s="1"/>
  <c r="D36" i="6"/>
  <c r="H392" i="18"/>
  <c r="H283" i="18"/>
  <c r="H237" i="18"/>
  <c r="H235" i="18"/>
  <c r="H187" i="18"/>
  <c r="H150" i="18"/>
  <c r="H147" i="18" s="1"/>
  <c r="H140" i="18" l="1"/>
  <c r="H234" i="18"/>
  <c r="H146" i="18"/>
  <c r="H212" i="18"/>
  <c r="H248" i="18"/>
  <c r="H158" i="18"/>
  <c r="H154" i="18"/>
  <c r="H632" i="7" l="1"/>
  <c r="H580" i="7"/>
  <c r="H579" i="7" s="1"/>
  <c r="H576" i="7"/>
  <c r="H575" i="7"/>
  <c r="H574" i="7"/>
  <c r="H544" i="7"/>
  <c r="H543" i="7"/>
  <c r="H540" i="7"/>
  <c r="H538" i="7"/>
  <c r="H534" i="7"/>
  <c r="H533" i="7" s="1"/>
  <c r="H530" i="7"/>
  <c r="H521" i="7"/>
  <c r="H519" i="7"/>
  <c r="H517" i="7"/>
  <c r="H515" i="7"/>
  <c r="H513" i="7"/>
  <c r="H512" i="7"/>
  <c r="H509" i="7"/>
  <c r="H493" i="7"/>
  <c r="H487" i="7"/>
  <c r="H483" i="7"/>
  <c r="H477" i="7"/>
  <c r="H471" i="7"/>
  <c r="H447" i="7"/>
  <c r="H436" i="7"/>
  <c r="H430" i="7"/>
  <c r="H429" i="7"/>
  <c r="H427" i="7"/>
  <c r="H426" i="7"/>
  <c r="H423" i="7"/>
  <c r="H421" i="7" s="1"/>
  <c r="H418" i="7" s="1"/>
  <c r="H417" i="7"/>
  <c r="H416" i="7"/>
  <c r="H414" i="7"/>
  <c r="H413" i="7"/>
  <c r="H409" i="7"/>
  <c r="H408" i="7"/>
  <c r="H406" i="7"/>
  <c r="H405" i="7"/>
  <c r="H393" i="7"/>
  <c r="H390" i="7"/>
  <c r="H389" i="7" s="1"/>
  <c r="H388" i="7" s="1"/>
  <c r="H385" i="7"/>
  <c r="H381" i="7"/>
  <c r="H380" i="7"/>
  <c r="H379" i="7"/>
  <c r="H377" i="7"/>
  <c r="H376" i="7"/>
  <c r="H375" i="7"/>
  <c r="H370" i="7"/>
  <c r="H368" i="7"/>
  <c r="H354" i="7"/>
  <c r="H349" i="7"/>
  <c r="H342" i="7"/>
  <c r="H341" i="7"/>
  <c r="H340" i="7"/>
  <c r="H327" i="7"/>
  <c r="H325" i="7"/>
  <c r="H321" i="7"/>
  <c r="H316" i="7"/>
  <c r="H307" i="7"/>
  <c r="H305" i="7"/>
  <c r="H303" i="7"/>
  <c r="H301" i="7"/>
  <c r="H286" i="7"/>
  <c r="H285" i="7"/>
  <c r="H284" i="7"/>
  <c r="H280" i="7"/>
  <c r="H279" i="7" s="1"/>
  <c r="H277" i="7"/>
  <c r="H276" i="7"/>
  <c r="H252" i="7"/>
  <c r="H238" i="7"/>
  <c r="H237" i="7"/>
  <c r="H236" i="7"/>
  <c r="H228" i="7"/>
  <c r="H217" i="7"/>
  <c r="H216" i="7"/>
  <c r="H215" i="7"/>
  <c r="H212" i="7"/>
  <c r="H213" i="7"/>
  <c r="H211" i="7"/>
  <c r="H207" i="7"/>
  <c r="H206" i="7" s="1"/>
  <c r="H191" i="7"/>
  <c r="H190" i="7"/>
  <c r="H189" i="7"/>
  <c r="H182" i="7"/>
  <c r="H181" i="7" s="1"/>
  <c r="H176" i="7"/>
  <c r="H173" i="7"/>
  <c r="H164" i="7"/>
  <c r="H573" i="7" l="1"/>
  <c r="H572" i="7" s="1"/>
  <c r="H511" i="7"/>
  <c r="H542" i="7"/>
  <c r="H240" i="7"/>
  <c r="H239" i="7" s="1"/>
  <c r="H392" i="7"/>
  <c r="H391" i="7" s="1"/>
  <c r="H275" i="7"/>
  <c r="B15" i="9"/>
  <c r="B14" i="9" s="1"/>
  <c r="I128" i="18" l="1"/>
  <c r="I127" i="18" l="1"/>
  <c r="I126" i="18" s="1"/>
  <c r="E48" i="5" l="1"/>
  <c r="E19" i="8" s="1"/>
  <c r="E18" i="8" s="1"/>
  <c r="E17" i="8" s="1"/>
  <c r="E16" i="8" s="1"/>
  <c r="N277" i="19"/>
  <c r="N276" i="19" s="1"/>
  <c r="N246" i="19"/>
  <c r="N245" i="19" s="1"/>
  <c r="N244" i="19" s="1"/>
  <c r="N228" i="19"/>
  <c r="N224" i="19"/>
  <c r="D48" i="5" l="1"/>
  <c r="D19" i="8" s="1"/>
  <c r="D18" i="8" s="1"/>
  <c r="D17" i="8" s="1"/>
  <c r="D16" i="8" s="1"/>
  <c r="D15" i="8" s="1"/>
  <c r="D14" i="8" s="1"/>
  <c r="M610" i="19"/>
  <c r="N223" i="19"/>
  <c r="N222" i="19" s="1"/>
  <c r="N218" i="19"/>
  <c r="F33" i="6"/>
  <c r="F31" i="6" s="1"/>
  <c r="H366" i="7"/>
  <c r="N275" i="19"/>
  <c r="N274" i="19" s="1"/>
  <c r="N273" i="19" s="1"/>
  <c r="I158" i="18"/>
  <c r="I153" i="18" s="1"/>
  <c r="N468" i="19"/>
  <c r="N455" i="19"/>
  <c r="N451" i="19"/>
  <c r="N450" i="19" s="1"/>
  <c r="N433" i="19"/>
  <c r="N432" i="19" l="1"/>
  <c r="N431" i="19" s="1"/>
  <c r="N430" i="19" s="1"/>
  <c r="I152" i="18"/>
  <c r="I125" i="18" s="1"/>
  <c r="N217" i="19"/>
  <c r="N272" i="19"/>
  <c r="N472" i="19"/>
  <c r="N467" i="19" s="1"/>
  <c r="N466" i="19" s="1"/>
  <c r="N465" i="19" s="1"/>
  <c r="N464" i="19" s="1"/>
  <c r="N642" i="19" s="1"/>
  <c r="F44" i="6" s="1"/>
  <c r="H180" i="7"/>
  <c r="H205" i="7"/>
  <c r="H203" i="7" s="1"/>
  <c r="N449" i="19"/>
  <c r="D44" i="6"/>
  <c r="C48" i="5" l="1"/>
  <c r="C19" i="8" s="1"/>
  <c r="I463" i="18"/>
  <c r="N216" i="19"/>
  <c r="N616" i="19" s="1"/>
  <c r="F23" i="6" s="1"/>
  <c r="N448" i="19"/>
  <c r="N447" i="19" s="1"/>
  <c r="N429" i="19"/>
  <c r="D33" i="6"/>
  <c r="D31" i="6" s="1"/>
  <c r="N161" i="19"/>
  <c r="N160" i="19" s="1"/>
  <c r="N159" i="19" s="1"/>
  <c r="N158" i="19" s="1"/>
  <c r="N157" i="19" s="1"/>
  <c r="N156" i="19" s="1"/>
  <c r="N130" i="19"/>
  <c r="N129" i="19" s="1"/>
  <c r="N128" i="19" s="1"/>
  <c r="N123" i="19" s="1"/>
  <c r="N120" i="19"/>
  <c r="N119" i="19" s="1"/>
  <c r="N118" i="19" s="1"/>
  <c r="N117" i="19" s="1"/>
  <c r="N116" i="19" s="1"/>
  <c r="N624" i="19" s="1"/>
  <c r="F29" i="6" s="1"/>
  <c r="N114" i="19"/>
  <c r="N113" i="19" s="1"/>
  <c r="N111" i="19"/>
  <c r="N110" i="19" s="1"/>
  <c r="N98" i="19"/>
  <c r="N97" i="19" s="1"/>
  <c r="N96" i="19" s="1"/>
  <c r="N88" i="19" s="1"/>
  <c r="N85" i="19"/>
  <c r="N83" i="19"/>
  <c r="N55" i="19"/>
  <c r="N50" i="19"/>
  <c r="N49" i="19" s="1"/>
  <c r="N48" i="19" s="1"/>
  <c r="N47" i="19" s="1"/>
  <c r="N46" i="19" s="1"/>
  <c r="N613" i="19" s="1"/>
  <c r="F20" i="6" s="1"/>
  <c r="N44" i="19"/>
  <c r="N43" i="19" s="1"/>
  <c r="N35" i="19"/>
  <c r="N33" i="19"/>
  <c r="N29" i="19"/>
  <c r="N23" i="19"/>
  <c r="N22" i="19" s="1"/>
  <c r="N21" i="19" s="1"/>
  <c r="N20" i="19" s="1"/>
  <c r="N19" i="19" s="1"/>
  <c r="D29" i="6"/>
  <c r="D27" i="6" s="1"/>
  <c r="D20" i="6"/>
  <c r="D18" i="6"/>
  <c r="N28" i="19" l="1"/>
  <c r="N27" i="19" s="1"/>
  <c r="N26" i="19" s="1"/>
  <c r="N25" i="19" s="1"/>
  <c r="N635" i="19"/>
  <c r="F38" i="6" s="1"/>
  <c r="N428" i="19"/>
  <c r="N215" i="19"/>
  <c r="N214" i="19" s="1"/>
  <c r="N641" i="19"/>
  <c r="F43" i="6" s="1"/>
  <c r="F42" i="6" s="1"/>
  <c r="N446" i="19"/>
  <c r="N82" i="19"/>
  <c r="N81" i="19" s="1"/>
  <c r="N80" i="19" s="1"/>
  <c r="N79" i="19" s="1"/>
  <c r="N133" i="19"/>
  <c r="N132" i="19" s="1"/>
  <c r="N87" i="19"/>
  <c r="N620" i="19" s="1"/>
  <c r="F26" i="6" s="1"/>
  <c r="N611" i="19"/>
  <c r="F18" i="6" s="1"/>
  <c r="N54" i="19"/>
  <c r="N53" i="19" s="1"/>
  <c r="N52" i="19" s="1"/>
  <c r="N615" i="19" s="1"/>
  <c r="F22" i="6" s="1"/>
  <c r="D22" i="6"/>
  <c r="D46" i="6"/>
  <c r="N645" i="19"/>
  <c r="F46" i="6" s="1"/>
  <c r="H326" i="7"/>
  <c r="H324" i="7" s="1"/>
  <c r="H495" i="7"/>
  <c r="N109" i="19"/>
  <c r="N108" i="19" s="1"/>
  <c r="N107" i="19" s="1"/>
  <c r="N623" i="19" s="1"/>
  <c r="F28" i="6" s="1"/>
  <c r="N122" i="19" l="1"/>
  <c r="N625" i="19" s="1"/>
  <c r="N420" i="19"/>
  <c r="N18" i="19"/>
  <c r="D25" i="6"/>
  <c r="D43" i="6"/>
  <c r="D42" i="6" s="1"/>
  <c r="N78" i="19"/>
  <c r="N619" i="19"/>
  <c r="F25" i="6" s="1"/>
  <c r="F24" i="6" s="1"/>
  <c r="N612" i="19"/>
  <c r="F19" i="6" s="1"/>
  <c r="F30" i="6" l="1"/>
  <c r="F27" i="6" s="1"/>
  <c r="N106" i="19"/>
  <c r="N17" i="19" s="1"/>
  <c r="E24" i="6"/>
  <c r="E15" i="6" s="1"/>
  <c r="N201" i="19"/>
  <c r="N200" i="19" s="1"/>
  <c r="N199" i="19" s="1"/>
  <c r="N198" i="19" s="1"/>
  <c r="N197" i="19" s="1"/>
  <c r="N176" i="19"/>
  <c r="N175" i="19" s="1"/>
  <c r="N174" i="19" s="1"/>
  <c r="N173" i="19" s="1"/>
  <c r="N172" i="19" s="1"/>
  <c r="N171" i="19" s="1"/>
  <c r="N196" i="19" l="1"/>
  <c r="N170" i="19" s="1"/>
  <c r="N659" i="19"/>
  <c r="F56" i="6" s="1"/>
  <c r="F55" i="6" s="1"/>
  <c r="I439" i="18"/>
  <c r="I467" i="18" l="1"/>
  <c r="N207" i="19"/>
  <c r="N206" i="19" s="1"/>
  <c r="N205" i="19" s="1"/>
  <c r="N204" i="19" s="1"/>
  <c r="N528" i="19"/>
  <c r="N527" i="19" s="1"/>
  <c r="N526" i="19" s="1"/>
  <c r="N525" i="19" s="1"/>
  <c r="N524" i="19" s="1"/>
  <c r="N486" i="19" l="1"/>
  <c r="N653" i="19"/>
  <c r="F54" i="6" s="1"/>
  <c r="N614" i="19"/>
  <c r="F21" i="6" s="1"/>
  <c r="F17" i="6" s="1"/>
  <c r="N485" i="19" l="1"/>
  <c r="N477" i="19" s="1"/>
  <c r="N650" i="19"/>
  <c r="F51" i="6" s="1"/>
  <c r="F50" i="6" s="1"/>
  <c r="N560" i="19"/>
  <c r="N559" i="19" s="1"/>
  <c r="N558" i="19" s="1"/>
  <c r="N557" i="19" s="1"/>
  <c r="N556" i="19" s="1"/>
  <c r="N638" i="19" s="1"/>
  <c r="N551" i="19"/>
  <c r="N550" i="19" s="1"/>
  <c r="N549" i="19" s="1"/>
  <c r="N548" i="19" s="1"/>
  <c r="N637" i="19" s="1"/>
  <c r="F41" i="6" l="1"/>
  <c r="N547" i="19"/>
  <c r="N533" i="19" s="1"/>
  <c r="N595" i="19"/>
  <c r="N582" i="19"/>
  <c r="N571" i="19"/>
  <c r="N570" i="19" l="1"/>
  <c r="F40" i="6"/>
  <c r="F35" i="6" s="1"/>
  <c r="N591" i="19"/>
  <c r="N590" i="19" s="1"/>
  <c r="N589" i="19" s="1"/>
  <c r="N588" i="19" s="1"/>
  <c r="N569" i="19" l="1"/>
  <c r="N568" i="19" s="1"/>
  <c r="N567" i="19" s="1"/>
  <c r="H15" i="6"/>
  <c r="N647" i="19"/>
  <c r="F49" i="6" s="1"/>
  <c r="N646" i="19" l="1"/>
  <c r="F48" i="6" s="1"/>
  <c r="F45" i="6" s="1"/>
  <c r="N566" i="19"/>
  <c r="N565" i="19" s="1"/>
  <c r="D49" i="6"/>
  <c r="D54" i="6" l="1"/>
  <c r="D52" i="6" l="1"/>
  <c r="D48" i="6"/>
  <c r="D45" i="6" s="1"/>
  <c r="D51" i="6" l="1"/>
  <c r="D50" i="6" s="1"/>
  <c r="D56" i="6" l="1"/>
  <c r="D55" i="6" s="1"/>
  <c r="D40" i="6"/>
  <c r="H568" i="7"/>
  <c r="H567" i="7" s="1"/>
  <c r="H566" i="7" s="1"/>
  <c r="H565" i="7" s="1"/>
  <c r="D21" i="6" l="1"/>
  <c r="H446" i="7"/>
  <c r="H445" i="7" s="1"/>
  <c r="H494" i="7" l="1"/>
  <c r="H396" i="18" l="1"/>
  <c r="H516" i="7" l="1"/>
  <c r="H21" i="7" l="1"/>
  <c r="H122" i="7" l="1"/>
  <c r="H121" i="7" s="1"/>
  <c r="H188" i="7" l="1"/>
  <c r="H187" i="7" s="1"/>
  <c r="N657" i="19" l="1"/>
  <c r="H367" i="7" l="1"/>
  <c r="H384" i="7"/>
  <c r="H444" i="7" l="1"/>
  <c r="H443" i="7" s="1"/>
  <c r="I452" i="18" l="1"/>
  <c r="I451" i="18" s="1"/>
  <c r="I14" i="18" s="1"/>
  <c r="H452" i="18"/>
  <c r="H451" i="18" s="1"/>
  <c r="H470" i="18" s="1"/>
  <c r="H317" i="18"/>
  <c r="H287" i="18"/>
  <c r="H282" i="18" s="1"/>
  <c r="H281" i="18" s="1"/>
  <c r="H260" i="18"/>
  <c r="H259" i="18" s="1"/>
  <c r="I470" i="18" l="1"/>
  <c r="H211" i="18" l="1"/>
  <c r="H56" i="18"/>
  <c r="H48" i="18"/>
  <c r="H29" i="18"/>
  <c r="H27" i="18"/>
  <c r="H18" i="18"/>
  <c r="H448" i="18"/>
  <c r="H421" i="18"/>
  <c r="H400" i="18"/>
  <c r="H398" i="18"/>
  <c r="H389" i="18"/>
  <c r="H388" i="18" s="1"/>
  <c r="H361" i="18"/>
  <c r="H360" i="18" s="1"/>
  <c r="H359" i="18" s="1"/>
  <c r="H358" i="18" s="1"/>
  <c r="H355" i="18"/>
  <c r="H354" i="18" s="1"/>
  <c r="H352" i="18"/>
  <c r="H351" i="18" s="1"/>
  <c r="H332" i="18"/>
  <c r="H329" i="18"/>
  <c r="H326" i="18"/>
  <c r="H314" i="18"/>
  <c r="H311" i="18"/>
  <c r="H306" i="18"/>
  <c r="H303" i="18"/>
  <c r="H267" i="18"/>
  <c r="H266" i="18" s="1"/>
  <c r="H247" i="18"/>
  <c r="H246" i="18" s="1"/>
  <c r="H218" i="18"/>
  <c r="H217" i="18" s="1"/>
  <c r="H216" i="18" s="1"/>
  <c r="H181" i="18"/>
  <c r="H180" i="18" s="1"/>
  <c r="H175" i="18"/>
  <c r="H136" i="18"/>
  <c r="H135" i="18" s="1"/>
  <c r="H128" i="18"/>
  <c r="H127" i="18" s="1"/>
  <c r="H302" i="18" l="1"/>
  <c r="H391" i="18"/>
  <c r="H387" i="18" s="1"/>
  <c r="H174" i="18"/>
  <c r="H166" i="18" s="1"/>
  <c r="H126" i="18"/>
  <c r="H258" i="18"/>
  <c r="H447" i="18"/>
  <c r="H446" i="18" s="1"/>
  <c r="H233" i="18"/>
  <c r="H232" i="18" s="1"/>
  <c r="H79" i="18"/>
  <c r="H78" i="18" s="1"/>
  <c r="H32" i="18"/>
  <c r="H439" i="18"/>
  <c r="H153" i="18"/>
  <c r="H152" i="18" s="1"/>
  <c r="H210" i="18"/>
  <c r="H209" i="18" s="1"/>
  <c r="H52" i="18"/>
  <c r="H93" i="18"/>
  <c r="H92" i="18" s="1"/>
  <c r="H24" i="18"/>
  <c r="H17" i="18" s="1"/>
  <c r="H350" i="18"/>
  <c r="H349" i="18" s="1"/>
  <c r="H276" i="18"/>
  <c r="H325" i="18"/>
  <c r="H31" i="18" l="1"/>
  <c r="H16" i="18" s="1"/>
  <c r="H467" i="18"/>
  <c r="H125" i="18"/>
  <c r="H77" i="18"/>
  <c r="H301" i="18"/>
  <c r="H300" i="18" s="1"/>
  <c r="H257" i="18"/>
  <c r="H91" i="18"/>
  <c r="H386" i="18"/>
  <c r="H15" i="18" l="1"/>
  <c r="H463" i="18" l="1"/>
  <c r="H472" i="18" s="1"/>
  <c r="H468" i="18" s="1"/>
  <c r="H14" i="18"/>
  <c r="K14" i="18" s="1"/>
  <c r="I472" i="18"/>
  <c r="I468" i="18" s="1"/>
  <c r="H353" i="7"/>
  <c r="H352" i="7" s="1"/>
  <c r="I465" i="18" l="1"/>
  <c r="I471" i="18"/>
  <c r="H471" i="18"/>
  <c r="H465" i="18"/>
  <c r="N601" i="19" l="1"/>
  <c r="N16" i="19" s="1"/>
  <c r="N610" i="19" s="1"/>
  <c r="L14" i="18" l="1"/>
  <c r="E23" i="8"/>
  <c r="E22" i="8" s="1"/>
  <c r="E21" i="8" s="1"/>
  <c r="E20" i="8" s="1"/>
  <c r="E15" i="8" s="1"/>
  <c r="E14" i="8" s="1"/>
  <c r="N662" i="19"/>
  <c r="F59" i="6" s="1"/>
  <c r="F58" i="6" s="1"/>
  <c r="F15" i="6" l="1"/>
  <c r="I15" i="6" s="1"/>
  <c r="N648" i="19"/>
  <c r="N660" i="19"/>
  <c r="N621" i="19"/>
  <c r="N631" i="19"/>
  <c r="N626" i="19" l="1"/>
  <c r="N643" i="19"/>
  <c r="N639" i="19"/>
  <c r="N654" i="19"/>
  <c r="N617" i="19"/>
  <c r="H631" i="7" l="1"/>
  <c r="H624" i="7" s="1"/>
  <c r="H623" i="7" l="1"/>
  <c r="H17" i="7"/>
  <c r="H369" i="7" l="1"/>
  <c r="H466" i="7" l="1"/>
  <c r="H304" i="7"/>
  <c r="H315" i="7"/>
  <c r="H309" i="7" s="1"/>
  <c r="H306" i="7"/>
  <c r="H539" i="7" l="1"/>
  <c r="H537" i="7"/>
  <c r="H529" i="7"/>
  <c r="H528" i="7" s="1"/>
  <c r="H518" i="7"/>
  <c r="H536" i="7" l="1"/>
  <c r="H435" i="7"/>
  <c r="H434" i="7" s="1"/>
  <c r="H502" i="7" l="1"/>
  <c r="H501" i="7" s="1"/>
  <c r="H500" i="7" s="1"/>
  <c r="H499" i="7" s="1"/>
  <c r="H492" i="7"/>
  <c r="H491" i="7" s="1"/>
  <c r="H486" i="7"/>
  <c r="H485" i="7" s="1"/>
  <c r="H484" i="7" s="1"/>
  <c r="H482" i="7"/>
  <c r="H476" i="7"/>
  <c r="H475" i="7" s="1"/>
  <c r="H470" i="7"/>
  <c r="H469" i="7" s="1"/>
  <c r="H415" i="7"/>
  <c r="H412" i="7"/>
  <c r="H407" i="7"/>
  <c r="H404" i="7"/>
  <c r="H403" i="7" l="1"/>
  <c r="H490" i="7"/>
  <c r="H489" i="7" s="1"/>
  <c r="H474" i="7"/>
  <c r="H428" i="7"/>
  <c r="H431" i="7"/>
  <c r="H425" i="7"/>
  <c r="H481" i="7"/>
  <c r="H480" i="7" s="1"/>
  <c r="H365" i="7"/>
  <c r="H364" i="7" s="1"/>
  <c r="H320" i="7"/>
  <c r="H225" i="7"/>
  <c r="H363" i="7" l="1"/>
  <c r="H235" i="7"/>
  <c r="H234" i="7" s="1"/>
  <c r="H214" i="7"/>
  <c r="H283" i="7"/>
  <c r="H282" i="7" s="1"/>
  <c r="H281" i="7" s="1"/>
  <c r="H323" i="7"/>
  <c r="H210" i="7"/>
  <c r="H424" i="7"/>
  <c r="H402" i="7" s="1"/>
  <c r="H339" i="7"/>
  <c r="H338" i="7" s="1"/>
  <c r="H179" i="7"/>
  <c r="H172" i="7"/>
  <c r="H171" i="7" s="1"/>
  <c r="H163" i="7"/>
  <c r="H162" i="7" s="1"/>
  <c r="H71" i="7"/>
  <c r="H63" i="7"/>
  <c r="H50" i="7"/>
  <c r="H31" i="7"/>
  <c r="H29" i="7"/>
  <c r="H300" i="7"/>
  <c r="H322" i="7" l="1"/>
  <c r="H209" i="7"/>
  <c r="H208" i="7" s="1"/>
  <c r="H202" i="7"/>
  <c r="H175" i="7"/>
  <c r="H174" i="7" s="1"/>
  <c r="H26" i="7"/>
  <c r="H16" i="7" s="1"/>
  <c r="H126" i="7"/>
  <c r="H161" i="7" l="1"/>
  <c r="H201" i="7"/>
  <c r="H160" i="7" l="1"/>
  <c r="H541" i="7"/>
  <c r="H374" i="7"/>
  <c r="H378" i="7"/>
  <c r="H373" i="7" l="1"/>
  <c r="H372" i="7" s="1"/>
  <c r="H362" i="7" s="1"/>
  <c r="H233" i="7"/>
  <c r="H67" i="7" l="1"/>
  <c r="H41" i="7" l="1"/>
  <c r="H15" i="7" s="1"/>
  <c r="H130" i="7"/>
  <c r="H125" i="7" s="1"/>
  <c r="H124" i="7" l="1"/>
  <c r="H520" i="7"/>
  <c r="H302" i="7"/>
  <c r="H299" i="7" s="1"/>
  <c r="H298" i="7" s="1"/>
  <c r="H571" i="7" l="1"/>
  <c r="H647" i="7" s="1"/>
  <c r="D24" i="6"/>
  <c r="H479" i="7"/>
  <c r="H473" i="7"/>
  <c r="H465" i="7"/>
  <c r="H464" i="7" s="1"/>
  <c r="H348" i="7"/>
  <c r="H347" i="7" s="1"/>
  <c r="H319" i="7"/>
  <c r="H274" i="7"/>
  <c r="H273" i="7" s="1"/>
  <c r="H227" i="7"/>
  <c r="H224" i="7"/>
  <c r="H308" i="7" l="1"/>
  <c r="H297" i="7" s="1"/>
  <c r="H223" i="7"/>
  <c r="H222" i="7" s="1"/>
  <c r="H337" i="7"/>
  <c r="H401" i="7"/>
  <c r="H336" i="7" l="1"/>
  <c r="H272" i="7" l="1"/>
  <c r="H508" i="7" l="1"/>
  <c r="H507" i="7" s="1"/>
  <c r="H523" i="7" l="1"/>
  <c r="C18" i="8" l="1"/>
  <c r="C17" i="8" s="1"/>
  <c r="C16" i="8" s="1"/>
  <c r="H522" i="7"/>
  <c r="H510" i="7" s="1"/>
  <c r="H506" i="7" s="1"/>
  <c r="D19" i="6"/>
  <c r="D17" i="6" s="1"/>
  <c r="H505" i="7" l="1"/>
  <c r="H99" i="7" l="1"/>
  <c r="H98" i="7" s="1"/>
  <c r="H97" i="7" s="1"/>
  <c r="M554" i="3"/>
  <c r="M553" i="3" s="1"/>
  <c r="M552" i="3" s="1"/>
  <c r="M454" i="3" l="1"/>
  <c r="M440" i="3" s="1"/>
  <c r="H96" i="7"/>
  <c r="H14" i="7" s="1"/>
  <c r="M898" i="3"/>
  <c r="D38" i="6" s="1"/>
  <c r="D35" i="6" s="1"/>
  <c r="D15" i="6" s="1"/>
  <c r="H643" i="7" l="1"/>
  <c r="H13" i="7"/>
  <c r="M14" i="3"/>
  <c r="M902" i="3"/>
  <c r="M927" i="3" s="1"/>
  <c r="C23" i="8" l="1"/>
  <c r="C22" i="8" s="1"/>
  <c r="C21" i="8" s="1"/>
  <c r="C20" i="8" s="1"/>
  <c r="H645" i="7"/>
  <c r="H649" i="7"/>
  <c r="H648" i="7" s="1"/>
  <c r="J13" i="7"/>
  <c r="G15" i="6"/>
  <c r="C15" i="8" l="1"/>
  <c r="C14" i="8" s="1"/>
</calcChain>
</file>

<file path=xl/sharedStrings.xml><?xml version="1.0" encoding="utf-8"?>
<sst xmlns="http://schemas.openxmlformats.org/spreadsheetml/2006/main" count="17366" uniqueCount="766">
  <si>
    <t>Администрация муниципального образования Апшеронский район</t>
  </si>
  <si>
    <t>902</t>
  </si>
  <si>
    <t>Финансовое управление администрации муниципального образования Апшеронский район</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</si>
  <si>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</si>
  <si>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</si>
  <si>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</si>
  <si>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Управление имущественных отношений администрации муниципального образования Апшеронский район</t>
  </si>
  <si>
    <t>Управление образования администрации муниципального образования Апшеронский район</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</si>
  <si>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</si>
  <si>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Отдел культуры администрации муниципального образования Апшеронский район</t>
  </si>
  <si>
    <t>Отдел по физической культуре и спорту администрации муниципального образования Апшеронский район</t>
  </si>
  <si>
    <t>Отдел по делам молодежи администрации муниципального образования Апшеронский район</t>
  </si>
  <si>
    <t>Отдел по вопросам семьи и детства администрации муниципального образования Апшеронский район</t>
  </si>
  <si>
    <t>Код</t>
  </si>
  <si>
    <t>Наименование дохода</t>
  </si>
  <si>
    <t>Сумма</t>
  </si>
  <si>
    <t>2 00 00000 00 0000 000</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</si>
  <si>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</si>
  <si>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</si>
  <si>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</si>
  <si>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местным бюджетам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</si>
  <si>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</si>
  <si>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(тыс. рублей)</t>
  </si>
  <si>
    <t>№ п\п</t>
  </si>
  <si>
    <t>Наименование</t>
  </si>
  <si>
    <t>Вед</t>
  </si>
  <si>
    <t>РЗ</t>
  </si>
  <si>
    <t>ПР</t>
  </si>
  <si>
    <t>ЦСР</t>
  </si>
  <si>
    <t>ВР</t>
  </si>
  <si>
    <t>3</t>
  </si>
  <si>
    <t>4</t>
  </si>
  <si>
    <t>5</t>
  </si>
  <si>
    <t>6</t>
  </si>
  <si>
    <t>7</t>
  </si>
  <si>
    <t>Контрольно-счетная палата муниципального образования Апшеронский район</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</si>
  <si>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</si>
  <si>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</si>
  <si>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</si>
  <si>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</si>
  <si>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муниципального образования Апшеронский район "Организация муниципального управления"</t>
  </si>
  <si>
    <t>17</t>
  </si>
  <si>
    <t>0</t>
  </si>
  <si>
    <t>00</t>
  </si>
  <si>
    <t>00000</t>
  </si>
  <si>
    <t>1</t>
  </si>
  <si>
    <t xml:space="preserve">Обеспечение деятельности высшего должностного лица муниципального образования </t>
  </si>
  <si>
    <t>Расходы на обеспечение функций органов местного самоуправления</t>
  </si>
  <si>
    <t>00190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</si>
  <si>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</si>
  <si>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</si>
  <si>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</si>
  <si>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</si>
  <si>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Муниципальная программа муниципального образования  Апшеронский район "Организация муниципального управления"</t>
  </si>
  <si>
    <t>Обеспечение деятельности администрации муниципального образования</t>
  </si>
  <si>
    <t>Закупка товаров, работ и услуг для обеспечения государственных (муниципальных) нужд</t>
  </si>
  <si>
    <t>200</t>
  </si>
  <si>
    <t>Иные бюджетные ассигнования</t>
  </si>
  <si>
    <t>800</t>
  </si>
  <si>
    <t>60870</t>
  </si>
  <si>
    <t>Осуществление отдельных государственных полномочий по созданию и организации деятельности комиссий по делам несовершеннолетних и защите их прав</t>
  </si>
  <si>
    <t>60910</t>
  </si>
  <si>
    <t>Развитие муниципального управления</t>
  </si>
  <si>
    <t>03</t>
  </si>
  <si>
    <t>Административная реформа</t>
  </si>
  <si>
    <t>05</t>
  </si>
  <si>
    <t>Резервные фонды</t>
  </si>
  <si>
    <t>11</t>
  </si>
  <si>
    <t>99</t>
  </si>
  <si>
    <t>90010</t>
  </si>
  <si>
    <t>Другие общегосударственные вопросы</t>
  </si>
  <si>
    <t>13</t>
  </si>
  <si>
    <t>Муниципальная программа муниципального образования Апшеронский район "Поддержка социально ориентированных некоммерческих организаций"</t>
  </si>
  <si>
    <t>15</t>
  </si>
  <si>
    <t>Субсидии на поддержку социально ориентированных некоммерческих организаций</t>
  </si>
  <si>
    <t>11600</t>
  </si>
  <si>
    <t>Предоставление субсидий бюджетным, автономным учреждениям и иным некоммерческим организациям</t>
  </si>
  <si>
    <t>600</t>
  </si>
  <si>
    <t>Национальная безопасность и правоохранительная деятельность</t>
  </si>
  <si>
    <t>09</t>
  </si>
  <si>
    <t>Муниципальная программа муниципального образования Апшеронский район "Обеспечение безопасности населения"</t>
  </si>
  <si>
    <t>06</t>
  </si>
  <si>
    <t>Предупреждение и ликвидация чрезвычайных ситуаций, стихийных бедствий и их последствий в муниципальном образовании</t>
  </si>
  <si>
    <t>Обеспечение защиты населения и территории муниципального образования Апшеронский район от чрезвычайных ситуаций природного и техногенного характера</t>
  </si>
  <si>
    <t>10600</t>
  </si>
  <si>
    <t>Реализация мероприятий муниципальной программы "Обеспечение безопасности населения"</t>
  </si>
  <si>
    <t>10660</t>
  </si>
  <si>
    <t>Другие вопросы в области национальной безопасности и правоохранительной деятельности</t>
  </si>
  <si>
    <t>14</t>
  </si>
  <si>
    <t>2</t>
  </si>
  <si>
    <t>10610</t>
  </si>
  <si>
    <t>00590</t>
  </si>
  <si>
    <t>Национальная экономика</t>
  </si>
  <si>
    <t>Сельское хозяйство и рыболовство</t>
  </si>
  <si>
    <t xml:space="preserve">Муниципальная программа муниципального образования  Апшеронский район "Развитие сельского хозяйства" </t>
  </si>
  <si>
    <t>Развитие малых форм хозяйствования в АПК в муниципальном образовании Апшеронский район</t>
  </si>
  <si>
    <t>Обеспечение эпизоотического, ветеринарно-санитарного благополучия в муниципальном образовании Апшеронский район</t>
  </si>
  <si>
    <t>61650</t>
  </si>
  <si>
    <t>Дорожное хозяйство (дорожные фонды)</t>
  </si>
  <si>
    <t>Муниципальная программа муниципального образования Апшеронский район "Поддержка дорожного хозяйства"</t>
  </si>
  <si>
    <t>12</t>
  </si>
  <si>
    <t>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</si>
  <si>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</si>
  <si>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11300</t>
  </si>
  <si>
    <t>10</t>
  </si>
  <si>
    <t>11820</t>
  </si>
  <si>
    <t>Другие вопросы в области национальной экономики</t>
  </si>
  <si>
    <t>Муниципальная программа муниципального образования Апшеронский район "Экономическое развитие муниципального образования"</t>
  </si>
  <si>
    <t>Развитие малого и среднего предпринимательства в муниципальном образовании</t>
  </si>
  <si>
    <t>Финансовая поддержка субъектов малого и среднего предпринимательства</t>
  </si>
  <si>
    <t>Развитие и поддержка малого и среднего предпринимательства</t>
  </si>
  <si>
    <t>11400</t>
  </si>
  <si>
    <t>Инвестиционное развитие муниципального образования</t>
  </si>
  <si>
    <t>Создание условий для инвестиционного развития муниципального образования Апшеронский район</t>
  </si>
  <si>
    <t>Формирование и продвижение экономически и инвестиционно привлекательного образа муниципального образования Апшеронский район за его пределами</t>
  </si>
  <si>
    <t>11410</t>
  </si>
  <si>
    <t>Муниципальная программа муниципального образования Апшеронский район "Развитие санаторно-курортного и туристского комплекса"</t>
  </si>
  <si>
    <t xml:space="preserve">Реализация мероприятий муниципальной программы "Развитие санаторно-курортного и туристского комплекса" </t>
  </si>
  <si>
    <t>11500</t>
  </si>
  <si>
    <t>Социальная политика</t>
  </si>
  <si>
    <t>Социальное обеспечение и иные выплаты населению</t>
  </si>
  <si>
    <t>300</t>
  </si>
  <si>
    <t>Другие  вопросы в области социальной политики</t>
  </si>
  <si>
    <t>Межбюджетные трансферты</t>
  </si>
  <si>
    <t>500</t>
  </si>
  <si>
    <t>Профилактика терроризма и экстремизма в муниципальном образовании</t>
  </si>
  <si>
    <t>Организация физической охраны в здании администрации муниципального образования Апшеронский район</t>
  </si>
  <si>
    <t>Мероприятия по профилактике терроризма и экстремизма</t>
  </si>
  <si>
    <t>910</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</si>
  <si>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</si>
  <si>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Контрольно-счетной палаты муниципального образования</t>
  </si>
  <si>
    <t>51</t>
  </si>
  <si>
    <t>Контрольно-счетная палата муниципального образования</t>
  </si>
  <si>
    <t>20010</t>
  </si>
  <si>
    <t>1 00 00000 00 0000 000</t>
  </si>
  <si>
    <t>Налоговые и неналоговые доходы</t>
  </si>
  <si>
    <t>1 01 01000 00 0000 110</t>
  </si>
  <si>
    <t>Налог на прибыль организаций*</t>
  </si>
  <si>
    <t>1 01 02000 01 0000 110</t>
  </si>
  <si>
    <t>Налог на доходы физических лиц*</t>
  </si>
  <si>
    <t>1 03 02230 01 0000 110
1 03 02240 01 0000 110
1 03 02250 01 0000 110
1 03 02260 01 0000 110</t>
  </si>
  <si>
    <t>1 05 02000 02 0000 110</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</si>
  <si>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</si>
  <si>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</si>
  <si>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</si>
  <si>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</si>
  <si>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1 08 00000 00 0000 000</t>
  </si>
  <si>
    <t>Государственная пошлина*</t>
  </si>
  <si>
    <t>1 11 01050 05 0000 120</t>
  </si>
  <si>
    <t>1 11 05010 00 0000 120</t>
  </si>
  <si>
    <t>1 11 07015 05 0000 120</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</si>
  <si>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</si>
  <si>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</si>
  <si>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</si>
  <si>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</si>
  <si>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</si>
  <si>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</si>
  <si>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Иные межбюджетные трансферты*</t>
  </si>
  <si>
    <t>Всего доходов</t>
  </si>
  <si>
    <t>Распределение бюджетных ассигнований по разделам и подразделам</t>
  </si>
  <si>
    <t>№ п/п</t>
  </si>
  <si>
    <t>Всего расходов</t>
  </si>
  <si>
    <t>в том числе:</t>
  </si>
  <si>
    <t>0100</t>
  </si>
  <si>
    <t>0102</t>
  </si>
  <si>
    <t xml:space="preserve">Функционирование высшего должностного лица субъекта Российской Федерации и муниципального образования   </t>
  </si>
  <si>
    <t>0104</t>
  </si>
  <si>
    <t>0106</t>
  </si>
  <si>
    <t>0111</t>
  </si>
  <si>
    <t>0113</t>
  </si>
  <si>
    <t>0300</t>
  </si>
  <si>
    <t>0314</t>
  </si>
  <si>
    <t>0400</t>
  </si>
  <si>
    <t>0405</t>
  </si>
  <si>
    <t>0409</t>
  </si>
  <si>
    <t>0412</t>
  </si>
  <si>
    <t>0500</t>
  </si>
  <si>
    <t>Жилищно-коммунальное хозяйство</t>
  </si>
  <si>
    <t>0700</t>
  </si>
  <si>
    <t>Образование</t>
  </si>
  <si>
    <t>0701</t>
  </si>
  <si>
    <t>Дошкольное образование</t>
  </si>
  <si>
    <t>0702</t>
  </si>
  <si>
    <t>Общее образование</t>
  </si>
  <si>
    <t>0707</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</si>
  <si>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</si>
  <si>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</si>
  <si>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</si>
  <si>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</si>
  <si>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</si>
  <si>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</si>
  <si>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</si>
  <si>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</si>
  <si>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Охрана семьи и детства</t>
  </si>
  <si>
    <t>Другие вопросы в области социальной политики</t>
  </si>
  <si>
    <t xml:space="preserve">Физическая культура и спорт </t>
  </si>
  <si>
    <t>1102</t>
  </si>
  <si>
    <t>Массовый спорт</t>
  </si>
  <si>
    <t>1105</t>
  </si>
  <si>
    <t>Другие вопросы в области физической культуры и спорта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</si>
  <si>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</si>
  <si>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</si>
  <si>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ВСЕГО</t>
  </si>
  <si>
    <t>Капитальные вложения в объекты государственной (муниципальной) собственности</t>
  </si>
  <si>
    <t>400</t>
  </si>
  <si>
    <t>Муниципальная программа муниципального образования Апшеронский район "Развитие образования"</t>
  </si>
  <si>
    <t>Развитие дошкольного и общего образования детей</t>
  </si>
  <si>
    <t>Мероприятия по повышению уровня безопасности  муниципальных образовательных учреждений</t>
  </si>
  <si>
    <t>Реализация мероприятий муниципальной программы "Развитие образования"</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</si>
  <si>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</si>
  <si>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Развитие дополнительного образования детей</t>
  </si>
  <si>
    <t>Стипендии главы муниципального образования Апшеронский район для одаренных детей</t>
  </si>
  <si>
    <t>Обеспечение реализации муниципальной программы и прочие мероприятия в области образования</t>
  </si>
  <si>
    <t>Муниципальная программа муниципального образования Апшеронский район "Развитие культуры"</t>
  </si>
  <si>
    <t>Совершенствование деятельности муниципальных учреждений отрасли "Культура и искусство" по предоставлению муниципальных услуг</t>
  </si>
  <si>
    <t>Организация библиотечного обслуживания населения, комплектование библиотечных фондов библиотек поселения</t>
  </si>
  <si>
    <t>Обеспечение реализации муниципальной программы и прочие мероприятия в сфере культуры и искусства</t>
  </si>
  <si>
    <t>Муниципальная программа муниципального образования Апшеронский район "Развитие физической культуры и спорта"</t>
  </si>
  <si>
    <t>Развитие физической культуры и массового спорта</t>
  </si>
  <si>
    <t>Реализация мероприятий муниципальной программы "Развитие физической культуры и спорта"</t>
  </si>
  <si>
    <t>Управление реализацией муниципальной программы</t>
  </si>
  <si>
    <t>Муниципальная программа муниципального образования Апшеронский район "Развитие молодежной политики"</t>
  </si>
  <si>
    <t>Молодежь Апшеронского района</t>
  </si>
  <si>
    <t>Муниципальная программа муниципального образования Апшеронский район "Управление муниципальными финансами"</t>
  </si>
  <si>
    <t>07</t>
  </si>
  <si>
    <t>Муниципальная программа муниципального образования Апшеронский район "Управление муниципальным имуществом"</t>
  </si>
  <si>
    <t>08</t>
  </si>
  <si>
    <t>Повышение эффективности управления муниципальным имуществом и приватизации</t>
  </si>
  <si>
    <t>Оценка недвижимости, признание прав и регулирование отношений по муниципальной собственности</t>
  </si>
  <si>
    <t>Управление реализацией муниципальной программы и прочие мероприятия</t>
  </si>
  <si>
    <t xml:space="preserve">Муниципальная программа муниципального образования Апшеронский район "Социальная поддержка граждан" </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</si>
  <si>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</si>
  <si>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</si>
  <si>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Муниципальная программа муниципального образования Апшеронский район "Доступная среда"</t>
  </si>
  <si>
    <t>20</t>
  </si>
  <si>
    <t>Реализация мероприятий муниципальной программы "Доступная среда"</t>
  </si>
  <si>
    <t>Осуществление внешнего муниципального финансового контроля</t>
  </si>
  <si>
    <t>программы</t>
  </si>
  <si>
    <t>непрограммные</t>
  </si>
  <si>
    <t>(тыс.рублей)</t>
  </si>
  <si>
    <t>000 01 00 00 00 00 0000 000</t>
  </si>
  <si>
    <t>Источники внутреннего финансирования дефицитов бюджетов, всего</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</si>
  <si>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</si>
  <si>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</si>
  <si>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</si>
  <si>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</si>
  <si>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</si>
  <si>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</si>
  <si>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Увеличение прочих остатков денежных средств бюджетов</t>
  </si>
  <si>
    <t>000 01 05 02 01 05 0000 510</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</si>
  <si>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</si>
  <si>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</si>
  <si>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</si>
  <si>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</si>
  <si>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</si>
  <si>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</si>
  <si>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000 01 05 02 01 05 0000 610</t>
  </si>
  <si>
    <t>Наименование межбюджетных трансфертов</t>
  </si>
  <si>
    <t>Дотации на выравнивание бюджетной обеспеченности поселений</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</si>
  <si>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</si>
  <si>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из них:</t>
  </si>
  <si>
    <t xml:space="preserve">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</si>
  <si>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муниципальные дошкольные образовательные организации</t>
  </si>
  <si>
    <t>муниципальные общеобразовательные организации</t>
  </si>
  <si>
    <t>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</si>
  <si>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60070</t>
  </si>
  <si>
    <t>Оказание финансовой поддержки социально ориентированным некоммерческим организациям</t>
  </si>
  <si>
    <t>Содействие развитию дошкольного образования</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</si>
  <si>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</si>
  <si>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60820</t>
  </si>
  <si>
    <t>60860</t>
  </si>
  <si>
    <t>Обеспечение мероприятий по противодействию терроризму и экстремизму</t>
  </si>
  <si>
    <t>Содействие развитию общего образования</t>
  </si>
  <si>
    <t>10200</t>
  </si>
  <si>
    <t>10210</t>
  </si>
  <si>
    <t>62370</t>
  </si>
  <si>
    <t>Содействие развитию дополнительного образования детей</t>
  </si>
  <si>
    <t>Выявление и поддержка одаренных детей</t>
  </si>
  <si>
    <t xml:space="preserve">Стипендии главы муниципального образования Апшеронский район для одаренных детей </t>
  </si>
  <si>
    <t>00300</t>
  </si>
  <si>
    <t>12100</t>
  </si>
  <si>
    <t>Создание условий для полноценного и безопасного отдыха детей в каникулярное время</t>
  </si>
  <si>
    <t>Совершенствование управления реализацией Программы</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</si>
  <si>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</si>
  <si>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60710</t>
  </si>
  <si>
    <t>Совершенствование социальной поддержки семьи и детей</t>
  </si>
  <si>
    <t>934</t>
  </si>
  <si>
    <t>Развитие и реализация потенциала молодежи в интересах Кубани, формирование благоприятной среды, обеспечивающей всестороннее развитие личности</t>
  </si>
  <si>
    <t xml:space="preserve">Реализация мероприятий муниципальной программы "Развитие молодежной политики" </t>
  </si>
  <si>
    <t>10500</t>
  </si>
  <si>
    <t>929</t>
  </si>
  <si>
    <t>Формирование здорового образа жизни и гармоничное воспитание здорового,  физически крепкого поколения</t>
  </si>
  <si>
    <t>10400</t>
  </si>
  <si>
    <t xml:space="preserve">Массовый спорт </t>
  </si>
  <si>
    <t>953</t>
  </si>
  <si>
    <t>Муниципальная программа муниципального образования Апшеронский район "Социальная поддержка граждан"</t>
  </si>
  <si>
    <t>Другие вопросы в области социальной политики</t>
  </si>
  <si>
    <t>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t>
  </si>
  <si>
    <t>10800</t>
  </si>
  <si>
    <t>Повышение эффективности осуществления закупок товаров, работ, услуг для муниципальных нужд и нужд бюджетных учреждений муниципального образования</t>
  </si>
  <si>
    <t>Государственная поддержка решения жилищной проблемы детей-сирот и детей, оставшихся без попечения родителей, лиц из числа детей-сирот и детей, оставшихся без попечения родителей</t>
  </si>
  <si>
    <t>Создание условий для эффективного управления в сфере развития системы управления муниципальным имуществом, находящимся в муниципальной собственности</t>
  </si>
  <si>
    <t>905</t>
  </si>
  <si>
    <t>Создание условий для эффективного и ответственного управления муниципальными финансами</t>
  </si>
  <si>
    <t xml:space="preserve">Выравнивание финансовых возможностей бюджетов </t>
  </si>
  <si>
    <t>Прочие субсидии</t>
  </si>
  <si>
    <t>Субсидии бюджетам бюджетной системы Российской Федерации (межбюджетные субсидии)*</t>
  </si>
  <si>
    <t>Создание условий для развития санаторно-курортного и туристского комплекса муниципального образования Апшеронский район</t>
  </si>
  <si>
    <t>1 11 05075 05 0000 120</t>
  </si>
  <si>
    <t>1 05 01000 00 0000 110</t>
  </si>
  <si>
    <t>Налог, взимаемый в связи с применением упрощенной системы налогообложения*</t>
  </si>
  <si>
    <t>Безвозмездные поступления</t>
  </si>
  <si>
    <t xml:space="preserve">* По видам и подвидам доходов, входящим в соответствующий группировочный код бюджетной классификации, зачисляемым в районный бюджет в соответствии с законодательством Российской Федерации.   </t>
  </si>
  <si>
    <t>Всего</t>
  </si>
  <si>
    <t>926</t>
  </si>
  <si>
    <t>Реализация мероприятий муниципальной программы  "Развитие культуры"</t>
  </si>
  <si>
    <t>10300</t>
  </si>
  <si>
    <t>Содействие развитию библиотечного дела</t>
  </si>
  <si>
    <t>20020</t>
  </si>
  <si>
    <t>Содействие развитию культурно-досуговых организаций</t>
  </si>
  <si>
    <t>Организация, проведение и участие в конкурсах, фестивалях, концертах, выставках, приемах, конференциях, форумах, акциях, праздниках, семинарах, экспедициях в рамках их организации и поддержки</t>
  </si>
  <si>
    <t xml:space="preserve">Другие вопросы в области культуры, кинематографии </t>
  </si>
  <si>
    <t>Физическая культура и спорт</t>
  </si>
  <si>
    <t>Обеспечение деятельности  муниципального казенного учреждения "Ситуационный центр "Комплексное обеспечение безопасности жизнедеятельности"</t>
  </si>
  <si>
    <t>Рз,Пр</t>
  </si>
  <si>
    <t>000 01 05 02 01 00 0000 510</t>
  </si>
  <si>
    <t>Сохранение и развитие традиционной народной культуры муниципального образования</t>
  </si>
  <si>
    <t xml:space="preserve">Сохранение и развитие традиционной народной культуры муниципального образования </t>
  </si>
  <si>
    <t>Единый налог на вмененный доход для отдельных видов деятельности</t>
  </si>
  <si>
    <t>10670</t>
  </si>
  <si>
    <t>10680</t>
  </si>
  <si>
    <t>Реализация полномочий в области строительства, архитектуры и градостроительства</t>
  </si>
  <si>
    <t xml:space="preserve">Муниципальная программа муниципального образования Апшеронский район "Развитие топливно-энергетического комплекса и жилищно-коммунального хозяйства" </t>
  </si>
  <si>
    <t>Коммунальное хозяйство</t>
  </si>
  <si>
    <t>Газификация населенных пунктов поселений муниципального образования Апшеронский район</t>
  </si>
  <si>
    <t>0502</t>
  </si>
  <si>
    <t>10820</t>
  </si>
  <si>
    <t>Выполнение других обязательств муниципального образования</t>
  </si>
  <si>
    <t>Содержание имущества, находящегося в муниципальной казне</t>
  </si>
  <si>
    <t>Основные мероприятия муниципальной программы</t>
  </si>
  <si>
    <t xml:space="preserve">Дотации бюджетам бюджетной системы Российской Федерации </t>
  </si>
  <si>
    <t>Субвенции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</si>
  <si>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</si>
  <si>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</si>
  <si>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</si>
  <si>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</si>
  <si>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62500</t>
  </si>
  <si>
    <t>1 11 09045 05 0000 120</t>
  </si>
  <si>
    <t>0703</t>
  </si>
  <si>
    <t>Дополнительное образование детей</t>
  </si>
  <si>
    <t xml:space="preserve">Молодежная политика </t>
  </si>
  <si>
    <t>Информатизация деятельности органов местного самоуправления</t>
  </si>
  <si>
    <t>Мероприятия по информатизации администрации муниципального образования, ее отраслевых (функциональных) органов</t>
  </si>
  <si>
    <t>11840</t>
  </si>
  <si>
    <t>Обеспечение информационной открытости и доступности информации о деятельности органов местного самоуправления</t>
  </si>
  <si>
    <t>Пенсионное обеспечение</t>
  </si>
  <si>
    <t>11850</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</si>
  <si>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</si>
  <si>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</si>
  <si>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</si>
  <si>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Физическая культура</t>
  </si>
  <si>
    <t>Содействие развитию спортивных организаций</t>
  </si>
  <si>
    <t>Условно утвержденные расходы</t>
  </si>
  <si>
    <t>% УУР</t>
  </si>
  <si>
    <t>УУР</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</si>
  <si>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</si>
  <si>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аппарат соцсферы</t>
  </si>
  <si>
    <t>соцкультсфера (без аппарата)</t>
  </si>
  <si>
    <t>Система комплексного обеспечения безопасности жизнедеятельности муниципального образования. Построение и развитие АПК "Безопасный город"</t>
  </si>
  <si>
    <t>Субсидии бюджетам бюджетной системы Российской Федерации (межбюджетные субсидии)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</si>
  <si>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</si>
  <si>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10810</t>
  </si>
  <si>
    <t>Мероприятия по землеустройству и землепользованию</t>
  </si>
  <si>
    <t>Обеспечение строительства газопроводов на территории муниципального образования Апшеронский район</t>
  </si>
  <si>
    <t>Прочие обязательства муниципального образования</t>
  </si>
  <si>
    <t xml:space="preserve">администрации муниципального образования </t>
  </si>
  <si>
    <t>Апшеронский район</t>
  </si>
  <si>
    <t>РУО</t>
  </si>
  <si>
    <t>11880</t>
  </si>
  <si>
    <t>Материально-техническое обеспечение деятельности органов местного самоуправления муниципального образования</t>
  </si>
  <si>
    <t>09020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</si>
  <si>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</si>
  <si>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</si>
  <si>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Судебная система</t>
  </si>
  <si>
    <t>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</si>
  <si>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</si>
  <si>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1 13 00000 00 0000 000</t>
  </si>
  <si>
    <t>0105</t>
  </si>
  <si>
    <t>60740</t>
  </si>
  <si>
    <t>2 02 29999 05 0000 150</t>
  </si>
  <si>
    <t>2 02 30024 05 0000 150</t>
  </si>
  <si>
    <t>2 02 35120 05 0000 150</t>
  </si>
  <si>
    <t>2 02 15001 05 0000 150</t>
  </si>
  <si>
    <t>2 02 40014 05 0000 150</t>
  </si>
  <si>
    <t>2 02 30029 05 0000 150</t>
  </si>
  <si>
    <t>2 02 10000 00 0000 150</t>
  </si>
  <si>
    <t>2 02 15001 00 0000 150</t>
  </si>
  <si>
    <t>2 02 20000 00 0000 150</t>
  </si>
  <si>
    <t>2 02 29999 00 0000 150</t>
  </si>
  <si>
    <t>2 02 30000 00 0000 150</t>
  </si>
  <si>
    <t>2 02 30024 00 0000 150</t>
  </si>
  <si>
    <t>2 02 30029 00 0000 150</t>
  </si>
  <si>
    <t>2 02 35120 00 0000 150</t>
  </si>
  <si>
    <t>Доходы от оказания платных услуг и компенсации затрат государства*</t>
  </si>
  <si>
    <t>10700</t>
  </si>
  <si>
    <t>2 02 40000 00 0000 150</t>
  </si>
  <si>
    <t>субсидии на обеспечение условий для развития физической культуры и массового спорта в части оплаты труда инструкторов по спорту</t>
  </si>
  <si>
    <t>Осуществление отдельных государственных полномочий Краснодарского края по поддержке сельскохозяйственного производства</t>
  </si>
  <si>
    <t>S2820</t>
  </si>
  <si>
    <t>Совершенствование спортивной инфраструктуры и материально-технической базы для занятий физической культурой и массовым спортом</t>
  </si>
  <si>
    <t>Создание условий для организации досуга и обеспечения жителей услугами организаций культуры</t>
  </si>
  <si>
    <t>S0560</t>
  </si>
  <si>
    <t>921</t>
  </si>
  <si>
    <t>S0620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</si>
  <si>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</si>
  <si>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С0820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</si>
  <si>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</si>
  <si>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</si>
  <si>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2 02 20077 00 0000 150</t>
  </si>
  <si>
    <t>Субсидии бюджетам на софинансирование капитальных вложений в объекты муниципальной собственности</t>
  </si>
  <si>
    <t>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</si>
  <si>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субвенции на осуществление отдельных государственных полномочий Краснодарского края по поддержке сельскохозяйственного производства</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</si>
  <si>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</si>
  <si>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925</t>
  </si>
  <si>
    <t>1 06 02000 02 0000 110</t>
  </si>
  <si>
    <t>Налог на имущество организаций*</t>
  </si>
  <si>
    <t>Дотации бюджетам муниципальных районов на выравнивание бюджетной обеспеченности из бюджета субъекта Российской Федерации</t>
  </si>
  <si>
    <t>Профилактика терроризма</t>
  </si>
  <si>
    <t>S0460</t>
  </si>
  <si>
    <t>Иные межбюджетные трансферты бюджетам бюджетной системы Российской Федерации</t>
  </si>
  <si>
    <t>Иные межбюджетные трансферты</t>
  </si>
  <si>
    <t xml:space="preserve">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</si>
  <si>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</si>
  <si>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</si>
  <si>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 xml:space="preserve">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</si>
  <si>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</si>
  <si>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Муниципальная программа муниципального образования Апшеронский район «Развитие образования»</t>
  </si>
  <si>
    <t>Обеспечение условий для развития физической культуры и массового спорта в части оплаты труда инструкторов по спорту</t>
  </si>
  <si>
    <t>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</si>
  <si>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</si>
  <si>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</si>
  <si>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 xml:space="preserve"> </t>
  </si>
  <si>
    <t xml:space="preserve">Выплата пенсии за выслугу лет лицам, замещавшим муниципальные должности и должности муниципальной службы в органах местного самоуправления </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</si>
  <si>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чрезвычайной ситуации</t>
  </si>
  <si>
    <t>Резервный фонд администрации муниципального образования</t>
  </si>
  <si>
    <t>Непрограммные расходы органов местного самоуправления</t>
  </si>
  <si>
    <t>Непрограммные расходы</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</si>
  <si>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</si>
  <si>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Меры государственной поддержки лиц, замещавших муниципальные должности и  должности муниципальной службы муниципального образования Апшеронский район</t>
  </si>
  <si>
    <t xml:space="preserve">Непрограммные расходы органов 
местного самоуправления
</t>
  </si>
  <si>
    <t>Мероприятия по предупреждению и ликвидации чрезвычайных ситуаций</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</si>
  <si>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</si>
  <si>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</si>
  <si>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</si>
  <si>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</si>
  <si>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</si>
  <si>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</si>
  <si>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t>
  </si>
  <si>
    <t>2023 год</t>
  </si>
  <si>
    <t>Осуществление отдельных государственных полномочий Краснодарского края по организации и обеспечению отдыха и оздоровления детей (за исключением организации отдыха детей в каникулярное время)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</si>
  <si>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</si>
  <si>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0310</t>
  </si>
  <si>
    <t>Защита населения и территории от чрезвычайных ситуаций природного и техногенного характера, пожарная безопасность</t>
  </si>
  <si>
    <t>субсидии на организацию газоснабжения населения (поселений) (строительство подводящих газопроводов, 
распределительных газопроводов)</t>
  </si>
  <si>
    <t>Расходы на обеспечение деятельности (оказание услуг) муниципальных учреждений</t>
  </si>
  <si>
    <t>Осуществление капитального ремонта</t>
  </si>
  <si>
    <t>Мероприятия по пожарной безопасности</t>
  </si>
  <si>
    <t>10640</t>
  </si>
  <si>
    <t>Пожарная безопасность в органах местного самоуправления</t>
  </si>
  <si>
    <t>00400</t>
  </si>
  <si>
    <t>Мероприятия по организации отдыха детей в каникулярное время</t>
  </si>
  <si>
    <t>Профилактика терроризма и экстремизма в органах местного самоуправления</t>
  </si>
  <si>
    <t xml:space="preserve">Мероприятия по информатизации администрации муниципального образования, ее отраслевых (функциональных) органов </t>
  </si>
  <si>
    <t xml:space="preserve">Мероприятия по пожарной безопасности </t>
  </si>
  <si>
    <t>F3</t>
  </si>
  <si>
    <t>Федеральный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</si>
  <si>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</si>
  <si>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Жилищное хозяйство</t>
  </si>
  <si>
    <t xml:space="preserve">Доходы от уплаты акцизов на дизельное топливо, моторные масла для дизельных и (или) карбюраторных (инжекторных) двигателей,  автомобильный бензин,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</si>
  <si>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Переселение граждан из аварийного жилищного фонда</t>
  </si>
  <si>
    <t>8</t>
  </si>
  <si>
    <t>Наименование кода группы, подгруппы, статьи, элемента, подвида, аналитической группы вида источников финансирования дефицитов бюджетов</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</si>
  <si>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</si>
  <si>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2 02 25228 00 0000 150</t>
  </si>
  <si>
    <t>Субсидии бюджетам на оснащение объектов спортивной инфраструктуры спортивно-технологическим оборудованием</t>
  </si>
  <si>
    <t>2 02 25228 05 0000 150</t>
  </si>
  <si>
    <t>Субсидии бюджетам муниципальных районов на оснащение объектов спортивной инфраструктуры спортивно-технологическим оборудованием</t>
  </si>
  <si>
    <t>P5</t>
  </si>
  <si>
    <t>Федеральный проект "Спорт – норма жизни"</t>
  </si>
  <si>
    <t>Оснащение объектов спортивной инфраструктуры спортивно-технологическим оборудованием</t>
  </si>
  <si>
    <t>Укрепление правопорядка, профилактика правонарушений, усиление борьбы с преступностью в муниципальном образовании</t>
  </si>
  <si>
    <t>Повышение эффективности мер, принимаемых для охраны общественного порядка и профилактики правонарушений  в муниципальном образовании</t>
  </si>
  <si>
    <t>1 11 00000 00 0000 000</t>
  </si>
  <si>
    <t>Доходы от использования имущества, находящегося в государственной и муниципальной собственности*, в том числе:</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</si>
  <si>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</si>
  <si>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</si>
  <si>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</si>
  <si>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</si>
  <si>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</si>
  <si>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52280</t>
  </si>
  <si>
    <t>Организация газоснабжения населения (поселений) (строительство подводящих газопроводов, распределительных газопроводов)</t>
  </si>
  <si>
    <t>субсидии на защиту населения и территории муниципального образования от чрезвычайных ситуаций природного характера на объектах туристского показа, находящихся в муниципальной собственности</t>
  </si>
  <si>
    <t>S0470</t>
  </si>
  <si>
    <t>Строительство, реконструкция (в том числе реконструкция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</si>
  <si>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2024 год</t>
  </si>
  <si>
    <t>субвенции на 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</si>
  <si>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2 02 35303 00 0000 150</t>
  </si>
  <si>
    <t>2 02 35303 05 0000 150</t>
  </si>
  <si>
    <t>субсидии на участие в профилактике терроризма в части обеспечения инженерно-технической защищенности муниципальных образовательных организаций</t>
  </si>
  <si>
    <t xml:space="preserve">                                Приложение 1 к решению Совета муниципального образования</t>
  </si>
  <si>
    <t xml:space="preserve">                                Приложение 2 к решению Совета муниципального образования</t>
  </si>
  <si>
    <t xml:space="preserve">                                Приложение 3 к решению Совета муниципального образования</t>
  </si>
  <si>
    <t xml:space="preserve">                                Приложение 4 к решению Совета муниципального образования</t>
  </si>
  <si>
    <t xml:space="preserve">                                Приложение 6 к решению Совета муниципального образования</t>
  </si>
  <si>
    <t xml:space="preserve">                                Приложение 7 к решению Совета муниципального образования</t>
  </si>
  <si>
    <t xml:space="preserve">                                Приложение 8 к решению Совета муниципального образования</t>
  </si>
  <si>
    <t xml:space="preserve">                                Приложение 9 к решению Совета муниципального образования</t>
  </si>
  <si>
    <t xml:space="preserve">                                Приложение 11 к решению Совета муниципального образования</t>
  </si>
  <si>
    <t>6748S</t>
  </si>
  <si>
    <t>0501</t>
  </si>
  <si>
    <t>Мероприятия по профилактике детского дорожно-транспортного травматизма в муниципальных образовательных учреждениях</t>
  </si>
  <si>
    <t>10220</t>
  </si>
  <si>
    <t>53032</t>
  </si>
  <si>
    <t>________________________</t>
  </si>
  <si>
    <t>S3350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</si>
  <si>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"Сириус"</t>
  </si>
  <si>
    <t>Защита населения и территории муниципальных образований от чрезвычайных ситуаций природного характера на объектах туристского показа, находящихся в муниципальной собственности</t>
  </si>
  <si>
    <t>10230</t>
  </si>
  <si>
    <t>Обеспечение функционирования системы персонифицированного финансирования дополнительного образования детей</t>
  </si>
  <si>
    <t>0705</t>
  </si>
  <si>
    <t>Профессиональная подготовка, переподготовка и повышение квалификации</t>
  </si>
  <si>
    <t>10240</t>
  </si>
  <si>
    <t>Мероприятия по переподготовке и повышению квалификации кадров</t>
  </si>
  <si>
    <t>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</si>
  <si>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</si>
  <si>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</si>
  <si>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субсидии на подготовку изменений в генеральные планы муниципальных образований Краснодарского края</t>
  </si>
  <si>
    <t>S2560</t>
  </si>
  <si>
    <t>Подготовка изменений в генеральные планы муниципальных образований Краснодарского края</t>
  </si>
  <si>
    <t>69200</t>
  </si>
  <si>
    <t>69180</t>
  </si>
  <si>
    <t>69190</t>
  </si>
  <si>
    <t>69100</t>
  </si>
  <si>
    <t>69130</t>
  </si>
  <si>
    <t>69110</t>
  </si>
  <si>
    <t>69140</t>
  </si>
  <si>
    <t>69170</t>
  </si>
  <si>
    <t>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</si>
  <si>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</si>
  <si>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субвенции на 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</si>
  <si>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63540</t>
  </si>
  <si>
    <t>Осуществление отдельных государственных полномочий по обеспечению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</si>
  <si>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</si>
  <si>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S3410</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</si>
  <si>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</si>
  <si>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</si>
  <si>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</si>
  <si>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</si>
  <si>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</si>
  <si>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Единая субвенция местным бюджетам из бюджета субъекта Российской Федерации</t>
  </si>
  <si>
    <t>2 02 36900 00 0000 150</t>
  </si>
  <si>
    <t>2 02 36900 05 0000 150</t>
  </si>
  <si>
    <t>Единая субвенция бюджетам муниципальных районов из бюджета субъекта Российской Федерации</t>
  </si>
  <si>
    <t xml:space="preserve">                                Приложение 5 к решению Совета муниципального образования</t>
  </si>
  <si>
    <t>Содействие развитию физической культуры и спорта</t>
  </si>
  <si>
    <t>Реализация мероприятий в области строительства, архитектуры и градостроительства</t>
  </si>
  <si>
    <t>11420</t>
  </si>
  <si>
    <t>L5190</t>
  </si>
  <si>
    <t>Государственная поддержка отрасли культуры</t>
  </si>
  <si>
    <t>2 02 25519 05 0000 150</t>
  </si>
  <si>
    <t>2 02 25519 00 0000 150</t>
  </si>
  <si>
    <t>Субсидии бюджетам на поддержку отрасли культуры</t>
  </si>
  <si>
    <t>Субсидии бюджетам муниципальных районов на поддержку отрасли культуры</t>
  </si>
  <si>
    <t>субсидии на реализацию мероприятий по модернизации библиотек в части комплектования книжных фондов библиотек муниципальных образований Краснодарского края</t>
  </si>
  <si>
    <t>Построение и развитие АПК "Безопасный город" и системы "112"</t>
  </si>
  <si>
    <t>субсидии на реализацию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</si>
  <si>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S3570</t>
  </si>
  <si>
    <t>Реализация мероприятий, направленных на развитие детско-юношеского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Краснодарского края (укрепление материально-технической базы муниципальных физкультурно-спортивных организаций)</t>
  </si>
  <si>
    <t>27000</t>
  </si>
  <si>
    <t>Организация подвоза обучающихся, проживающих на территории Туапсинского района</t>
  </si>
  <si>
    <t>2 02 29900 00 0000 150</t>
  </si>
  <si>
    <t>Субсидии бюджетам субъектов Российской Федерации (муниципальных образований) из бюджета субъекта Российской Федерации (местного бюджета)</t>
  </si>
  <si>
    <t>2 02 29900 05 0000 150</t>
  </si>
  <si>
    <t>Субсидии бюджетам муниципальных районов из местных бюджетов</t>
  </si>
  <si>
    <t>субсидии бюджету муниципального образования Апшеронский район в целях финансирования расходных обязательств, возникающих при выполнении полномочий органов местного самоуправления Апшеронского района по подвозу обучающихся из Туапсинского района к месту учебы в Апшеронский район и обратно, в соответствии с заключенными соглашениями</t>
  </si>
  <si>
    <t>субсидии на создание условий для массового отдыха и организации обустройства мест массового отдыха в границах туристского кластера "Курджипский"</t>
  </si>
  <si>
    <t>S3590</t>
  </si>
  <si>
    <t>Создание условий для массового отдыха и организации обустройства мест массового отдыха в границах туристского кластера "Курджипский"</t>
  </si>
  <si>
    <t>муниципальные дошкольные образовательные организации, общеобразовательные организации, организации дополнительного образования (в области образования)</t>
  </si>
  <si>
    <t xml:space="preserve">Создание условий для массового отдыха и организации обустройства мест массового отдыха в границах туристского кластера "Курджипский" </t>
  </si>
  <si>
    <t>19</t>
  </si>
  <si>
    <t>Объем поступлений доходов в районный бюджет по кодам видов (подвидов) доходов на 2023 год и плановый период 2024 и 2025 годов</t>
  </si>
  <si>
    <t>2025 год</t>
  </si>
  <si>
    <t>классификации расходов бюджетов на 2023 год и плановый период 2024 и 2025 годов</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</si>
  <si>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2023 год</t>
  </si>
  <si>
    <t>Распределение бюджетных ассигнований по целевым статьям (муниципальным программам муниципального образования Апшеронский район и непрограммным направлениям деятельности),  группам видов расходов классификации расходов бюджетов                                                                                                                                                                                                                                                                                  на 2024 и 2025 годы</t>
  </si>
  <si>
    <t>Ведомственная структура расходов районного бюджета на 2023 год</t>
  </si>
  <si>
    <t>Ведомственная структура расходов районного бюджета на 2024 и 2025 годы</t>
  </si>
  <si>
    <t>Источники финансирования дефицита районного бюджета,                                                                                                                                                                                                                                                                перечень статей источников финансирования дефицитов бюджетов на 2023 год и плановый период 2024 и 2025 годов</t>
  </si>
  <si>
    <t>Объем межбюджетных трансфертов, предоставляемых другим бюджетам бюджетной системы Российской Федерации, на 2023 год и плановый период 2024 и 2025 годов</t>
  </si>
  <si>
    <t>69160</t>
  </si>
  <si>
    <t>Обеспечение деятельности  муниципального казенного учреждения муниципального образования Апшеронский район «Служба комплексного обеспечения деятельности органов местного самоуправления"</t>
  </si>
  <si>
    <t xml:space="preserve">                                Приложение 10 к решению Совета муниципального образования</t>
  </si>
  <si>
    <t xml:space="preserve">                                Приложение 12 к решению Совета муниципального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</si>
  <si>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(субвенции на осуществление отдельных государственных полномочий Краснодарского края по обеспечению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</si>
  <si>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Безвозмездные поступления от других бюджетов бюджетной системы Российской Федерации
 в 2023 году</t>
  </si>
  <si>
    <t>Безвозмездные поступления от других бюджетов бюджетной системы Российской Федерации в
 2024 и 2025 годах</t>
  </si>
  <si>
    <t>Непрограммные расходы органов 
местного самоуправления</t>
  </si>
  <si>
    <t>2 02 20299 00 0000 150</t>
  </si>
  <si>
    <t>2 02 20299 05 0000 150</t>
  </si>
  <si>
    <t>субсидии на создание условий для организации досуга и обеспечения жителей поселения, городского округа услугами организаций культуры либо на создание условий для обеспечения поселений, входящих в состав муниципального района, услугами по организации досуга и услугами организаций культуры, а также на создание условий для развития местного традиционного народного художественного творчества, участию в сохранении, возрождении и развитии народных художественных промыслов в поселении, городском округе либо на 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</si>
  <si>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</si>
  <si>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</si>
  <si>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</si>
  <si>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и оснащение зданий муниципальных общеобразовательных организаций средствами обучения и воспитания, не требующими предварительной сборки, установки и закрепления на фундаментах или опорах)</t>
  </si>
  <si>
    <t>субсидии на 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</si>
  <si>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Субсидии бюджетам муниципальных районов на реализацию мероприятий по модернизации школьных систем образования</t>
  </si>
  <si>
    <t>2 02 25750 05 0000 150</t>
  </si>
  <si>
    <t>Субсидии бюджетам на реализацию мероприятий по модернизации школьных систем образования</t>
  </si>
  <si>
    <t>2 02 25750 00 0000 150</t>
  </si>
  <si>
    <t>2 02 20302 00 0000 150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</si>
  <si>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</si>
  <si>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</si>
  <si>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</si>
  <si>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67484</t>
  </si>
  <si>
    <t>67483</t>
  </si>
  <si>
    <t>Ремонт и укрепление материально-технической базы, техническое оснащение муниципальных учреждений культуры и (или) детских музыкальных школ, художественных школ, школ искусств, домов детского творчества</t>
  </si>
  <si>
    <t>S0640</t>
  </si>
  <si>
    <t>Реализация мероприятий по переселению граждан из аварийного жилищного фонда</t>
  </si>
  <si>
    <t xml:space="preserve">Реализация мероприятий муниципальной программы "Развитие топливно-энергетического комплекса и жилищно-коммунального хозяйства" </t>
  </si>
  <si>
    <t>12200</t>
  </si>
  <si>
    <t>Обращение с твердыми коммунальными отходами на территории сельских поселений Апшеронского района</t>
  </si>
  <si>
    <t>Обеспечение мероприятий в области обращения с твердыми коммунальными отходами</t>
  </si>
  <si>
    <t>Создание и содержание мест (площадок) накопления твердых коммунальных отходов</t>
  </si>
  <si>
    <t>11200</t>
  </si>
  <si>
    <t>Благоустройство</t>
  </si>
  <si>
    <t>Муниципальная программа муниципального образования Апшеронский район "Развитие топливно-энергетического комплекса и жилищно-коммунального хозяйства"</t>
  </si>
  <si>
    <t>0503</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</si>
  <si>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</si>
  <si>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2 02 25786 05 0000 150</t>
  </si>
  <si>
    <t>2 02 25786 00 0000 150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</si>
  <si>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</si>
  <si>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1 11 03050 05 0000 120</t>
  </si>
  <si>
    <t>проценты, полученные от предоставления бюджетных кредитов внутри страны за счет средств бюджетов муниципальных районов</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</si>
  <si>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</si>
  <si>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</si>
  <si>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</si>
  <si>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</si>
  <si>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</si>
  <si>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</si>
  <si>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</si>
  <si>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</si>
  <si>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</si>
  <si>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</si>
  <si>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Реализация мероприятий по модернизации школьных систем образования</t>
  </si>
  <si>
    <t>EB</t>
  </si>
  <si>
    <t>57860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</si>
  <si>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</si>
  <si>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Осуществление внутреннего муниципального финансового контроля</t>
  </si>
  <si>
    <t>Осуществление части полномочий по решению вопросов местного значения в соответствии с заключенными соглашениями</t>
  </si>
  <si>
    <t>20040</t>
  </si>
  <si>
    <t>Федеральный проект "Патриотическое воспитание граждан Российской Федерации"</t>
  </si>
  <si>
    <t>L7500</t>
  </si>
  <si>
    <r>
      <rPr>
        <i/>
        <sz val="14"/>
        <rFont val="Times New Roman"/>
        <family val="1"/>
        <charset val="204"/>
      </rPr>
      <t xml:space="preserve">субсидии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"Патриотическое воспитание граждан Российской Федерации"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t>
    </r>
    <r>
      <rPr>
        <sz val="14"/>
        <rFont val="Times New Roman"/>
        <family val="1"/>
        <charset val="204"/>
      </rPr>
      <t xml:space="preserve">
</t>
    </r>
  </si>
  <si>
    <t>до изменений (скрыть)</t>
  </si>
  <si>
    <t>изменения</t>
  </si>
  <si>
    <t>с учетом изменений</t>
  </si>
  <si>
    <t>Апшеронский район от 22.12.2022 № 163</t>
  </si>
  <si>
    <t>2 02 35179 00 0000 150</t>
  </si>
  <si>
    <t>2 02 35179 05 0000 150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</si>
  <si>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</si>
  <si>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</si>
  <si>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18</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</si>
  <si>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</si>
  <si>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</si>
  <si>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Иные межбюджетные трансферты, передаваемые бюджетам сельских поселений Апшеронского района на осуществление части полномочий по решению вопросов местного значения</t>
  </si>
  <si>
    <t>Иные межбюджетные трансферты, передаваемые бюджету Апшеронского городского поселения Апшеронского района на осуществление части полномочий по созданию, содержанию и организации деятельности аварийно-спасательных служб и (или) аварийно-спасательных формирований на территории поселения</t>
  </si>
  <si>
    <t>63690</t>
  </si>
  <si>
    <t>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</si>
  <si>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Прочие межбюджетные трансферты общего характера</t>
  </si>
  <si>
    <t>Финансовое обеспечение непредвиденных расходов, в том числе связанных с предупреждением и ликвидацией чрезвычайных ситуаций и их последствий, а также иных мероприятий (неотложных расходов)</t>
  </si>
  <si>
    <t>98</t>
  </si>
  <si>
    <t>Мероприятия, направленные на предупреждение и ликвидацию чрезвычайных ситуаций и их последствий, а также на иные мероприятия (неотложные расходы), не относящиеся к публичным нормативным обязательствам</t>
  </si>
  <si>
    <t>90020</t>
  </si>
  <si>
    <t>Иные межбюджетные трансферты бюджетам поселений за счет средств резервного фонда администрации муниципального образования Апшеронский район</t>
  </si>
  <si>
    <t>Софинансирование расходных обязательств по объекту «Реконструкция дороги общего пользования местного значения по улице Мостовая включая «Автомобильный мост 1», «Автомобильный мост 2» в станице Куринской Куринского сельского поселения Апшеронского района</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</si>
  <si>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</si>
  <si>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</si>
  <si>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</si>
  <si>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</si>
  <si>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</si>
  <si>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</si>
  <si>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</si>
  <si>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</si>
  <si>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62980</t>
  </si>
  <si>
    <t>Дополнительная помощь местным бюджетам для решения социально значимых вопросов местного значения</t>
  </si>
  <si>
    <t>2 18 05010 05 0000 150</t>
  </si>
  <si>
    <t>Доходы бюджетов муниципальных районов от возврата бюджетными учреждениями остатков субсидий прошлых лет</t>
  </si>
  <si>
    <t>2 19 25304 05 0000 150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</si>
  <si>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</si>
  <si>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2 19 35303 05 0000 150</t>
  </si>
  <si>
    <t>2 19 60010 05 0000 150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</si>
  <si>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</si>
  <si>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</si>
  <si>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</si>
  <si>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</si>
  <si>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Спорт высших достижений</t>
  </si>
  <si>
    <t>1103</t>
  </si>
  <si>
    <t>Текущий ремонт моста в ст-це Нефтяной по ул. Заречной (через р. Туха) Нефтегорского городского поселения Апшеронского района</t>
  </si>
  <si>
    <t>Поддержка местных инициатив по итогам краевого конкурса</t>
  </si>
  <si>
    <t>62950</t>
  </si>
  <si>
    <t>2 02 19999 00 0000 150</t>
  </si>
  <si>
    <t>Прочие дотации</t>
  </si>
  <si>
    <t>2 02 19999 05 0000 150</t>
  </si>
  <si>
    <t>Прочие дотации бюджетам муниципальных районов</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</si>
  <si>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</si>
  <si>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</si>
  <si>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</si>
  <si>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</si>
  <si>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Оплата исполнительных листов Арбитражного суда Краснодарского края, в части расходов по оплате стоимости фактических потерь электроэнергии и расходов по оплате государственной пошлины в пользу акционерного общества «Независимая энергосбытовая компания Краснодарского края»</t>
  </si>
  <si>
    <t>62590</t>
  </si>
  <si>
    <t>Средства резервного фонда администрации Краснодарского края</t>
  </si>
  <si>
    <t>Капитальный ремонт автомобильной дороги по ул. Социалистической в г. Апшеронске (устройство недостающего тротуара от ул. Пролетарской до парковки возле ГБУЗ «ЦРБ Апшеронского района» МЗ КК)</t>
  </si>
  <si>
    <t>субсидии на подготовку изменений в правила землепользования и застройки муниципальных образований Краснодарского края</t>
  </si>
  <si>
    <t>S2570</t>
  </si>
  <si>
    <t>Подготовка изменений в правила землепользования и застройки муниципальных образований Краснодарского края</t>
  </si>
  <si>
    <t>10140</t>
  </si>
  <si>
    <t>Меры социальной поддержки отдельным категориям работников здравоохранения</t>
  </si>
  <si>
    <t>Единовременная выплата отдельным категориям работников, являющихся работниками учреждений здравоохранения</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</si>
  <si>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бюджета Краснодарского края</t>
  </si>
  <si>
    <t>10150</t>
  </si>
  <si>
    <t>Меры социальной поддержки отдельным категориям работников общеобразовательных организаций</t>
  </si>
  <si>
    <t>Единовременная выплата отдельным категориям работников, являющихся работниками общеобразовательных организаций</t>
  </si>
  <si>
    <t>Социальное обеспечение населения</t>
  </si>
  <si>
    <t>Приобретение товаров, работ (услуг) в целях реализации мер, направленных на обеспечение инженерно-технической защищенности административных зданий органов внутренних дел</t>
  </si>
  <si>
    <t>Текущий ремонт подвесного моста через реку Пшиш по улице Пионерской в станице Кабардинской Кабардинского сельского поселения Апшеронского района</t>
  </si>
  <si>
    <t xml:space="preserve">cубсидии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</si>
  <si>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S0340</t>
  </si>
  <si>
    <t>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t>
  </si>
  <si>
    <t xml:space="preserve">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 </t>
  </si>
  <si>
    <t xml:space="preserve">субсидии на капитальный ремонт муниципальных спортивных объектов в целях обеспечения условий для занятий физической культурой и массовым спортом в муниципальном образовании </t>
  </si>
  <si>
    <t>Проведение мероприятий по формированию в муниципальном образовании Апшеронский район сети образовательных организаций, в которых созданы условия для инклюзивного образования детей-инвалидов. Создание в муниципальных образовательных организациях условий для получения детьми-инвалидами качественного образования</t>
  </si>
  <si>
    <t>Установка уличного освещения в поселке Новый Режет Отдаленного сельского поселения Апшеронского района по улицам: Железнодорожная, Заречная, Клубная, Коммунаров</t>
  </si>
  <si>
    <t>иные межбюджетные трансферты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Краснодарского края</t>
  </si>
  <si>
    <t>иные межбюджетные трансферты бюджетам муниципальных образований Краснодарского края за счет средств резервного фонда администрации Краснодарского края</t>
  </si>
  <si>
    <t xml:space="preserve">иные межбюджетные трансферты на дополнительную помощь местным бюджетам для решения социально значимых вопросов местного значения </t>
  </si>
  <si>
    <t>Разработка схемы газоснабжения поселка Асфальтовая Гора Апшеронского района Краснодарского края</t>
  </si>
  <si>
    <t>Ремонт строений из 3-х нежилых помещений, в том числе 2 раздевалки на футбольном поле по адресу г. Апшеронск, пересечение улиц Лесозаводская – Стадионная – Заводская (район ФЗО)</t>
  </si>
  <si>
    <t>Иные межбюджетные трансферты на поддержку мер по обеспечению сбалансированности бюджетов поселений</t>
  </si>
  <si>
    <t>10720</t>
  </si>
  <si>
    <t>Устройство контейнерных площадок на территории Нефтегорского городского поселения Апшеронского района</t>
  </si>
  <si>
    <t>Устройство тротуара, парковки и остановочной площадки общественного транспорта по ул. Красной (от ул. Кузнечной до ул. Комсомольской) в станице Кубанской Апшеронского района</t>
  </si>
  <si>
    <t>S3490</t>
  </si>
  <si>
    <t>Создание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в муниципальных образовательных организациях, в том числе для размещения детей в возрасте до 3 лет)</t>
  </si>
  <si>
    <t>субсидии на создание условий для содержания детей дошкольного возраста в муниципальных образовательных организациях (приобретение движимого имущества, необходимого для обеспечения функционирования вновь созданных и (или) создаваемых мест в муниципальных образовательных организациях, в том числе для размещения детей в возрасте до 3 лет)</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</si>
  <si>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</si>
  <si>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69120</t>
  </si>
  <si>
    <t xml:space="preserve">Субсидии на строительство, реконструкцию (в том числе реконструкцию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 </t>
  </si>
  <si>
    <t>Капитальный ремонт котла ДКВр-2,5-13 котельной, расположенной по адресу: Краснодарский край, г. Апшеронск, ул. Пролетарская, 204</t>
  </si>
  <si>
    <t>Устройство кабельной линии освещения на общественной территории «Бульвар по ул. Коммунистической от ул. Комарова до ул. Партизанской; по пер. Транспортному от ул. Коммунистической до парка культуры и отдыха «Юность» в г. Апшеронске Краснодарского края»</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</si>
  <si>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</si>
  <si>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</si>
  <si>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Исполняющий обязанности  </t>
  </si>
  <si>
    <t>начальника Финансового управления</t>
  </si>
  <si>
    <t>Е.В. Гаврияшева</t>
  </si>
  <si>
    <t>Апшеронский район от 28.09.2023 № 205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</si>
</sst>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_р_._-;\-* #,##0_р_._-;_-* &quot;-&quot;_р_._-;_-@_-"/>
    <numFmt numFmtId="165" formatCode="_-* #,##0.00_р_._-;\-* #,##0.00_р_._-;_-* &quot;-&quot;??_р_._-;_-@_-"/>
    <numFmt numFmtId="166" formatCode="0.0"/>
    <numFmt numFmtId="167" formatCode="#,##0.0"/>
    <numFmt numFmtId="168" formatCode="0.00000"/>
    <numFmt numFmtId="169" formatCode="0.0_ ;[Red]\-0.0\ "/>
    <numFmt numFmtId="170" formatCode="#,##0.00000"/>
    <numFmt numFmtId="171" formatCode="0.000000"/>
    <numFmt numFmtId="172" formatCode="0.00000_ ;[Red]\-0.00000\ "/>
    <numFmt numFmtId="173" formatCode="_-* #,##0.00000_р_._-;\-* #,##0.00000_р_._-;_-* &quot;-&quot;?????_р_._-;_-@_-"/>
    <numFmt numFmtId="174" formatCode="#,##0.0_ ;\-#,##0.0\ "/>
    <numFmt numFmtId="175" formatCode="#,##0.0_ ;[Red]\-#,##0.0\ "/>
    <numFmt numFmtId="176" formatCode="0.000"/>
  </numFmts>
  <fonts count="32" x14ac:knownFonts="1">
    <font>
      <sz val="11"/>
      <color theme="1"/>
      <name val="Calibri"/>
      <family val="2"/>
      <scheme val="minor"/>
    </font>
    <font>
      <sz val="14"/>
      <name val="Times New Roman"/>
      <family val="1"/>
    </font>
    <font>
      <b/>
      <sz val="14"/>
      <name val="Times New Roman"/>
      <family val="1"/>
    </font>
    <font>
      <sz val="14"/>
      <name val="Times New Roman"/>
      <family val="1"/>
      <charset val="204"/>
    </font>
    <font>
      <b/>
      <sz val="14"/>
      <name val="Times New Roman"/>
      <family val="1"/>
      <charset val="204"/>
    </font>
    <font>
      <sz val="10"/>
      <name val="Arial"/>
      <family val="2"/>
      <charset val="204"/>
    </font>
    <font>
      <i/>
      <sz val="14"/>
      <name val="Times New Roman"/>
      <family val="1"/>
      <charset val="204"/>
    </font>
    <font>
      <sz val="10"/>
      <name val="Arial Cyr"/>
      <charset val="204"/>
    </font>
    <font>
      <sz val="12"/>
      <name val="Times New Roman"/>
      <family val="1"/>
    </font>
    <font>
      <sz val="10"/>
      <name val="Arial Cyr"/>
      <family val="2"/>
      <charset val="204"/>
    </font>
    <font>
      <b/>
      <sz val="12"/>
      <name val="Times New Roman"/>
      <family val="1"/>
      <charset val="204"/>
    </font>
    <font>
      <sz val="12"/>
      <name val="Times New Roman"/>
      <family val="1"/>
      <charset val="204"/>
    </font>
    <font>
      <i/>
      <sz val="14"/>
      <name val="Times New Roman"/>
      <family val="1"/>
    </font>
    <font>
      <sz val="14"/>
      <name val="Arial"/>
      <family val="2"/>
      <charset val="204"/>
    </font>
    <font>
      <b/>
      <sz val="12"/>
      <name val="Times New Roman"/>
      <family val="1"/>
    </font>
    <font>
      <sz val="14"/>
      <name val="Arial Cyr"/>
      <charset val="204"/>
    </font>
    <font>
      <sz val="11"/>
      <name val="Calibri"/>
      <family val="2"/>
      <scheme val="minor"/>
    </font>
    <font>
      <sz val="11"/>
      <color theme="1"/>
      <name val="Calibri"/>
      <family val="2"/>
      <scheme val="minor"/>
    </font>
    <font>
      <sz val="12"/>
      <name val="Calibri"/>
      <family val="2"/>
      <scheme val="minor"/>
    </font>
    <font>
      <sz val="11"/>
      <name val="Times New Roman"/>
      <family val="1"/>
      <charset val="204"/>
    </font>
    <font>
      <b/>
      <sz val="11"/>
      <name val="Times New Roman"/>
      <family val="1"/>
      <charset val="204"/>
    </font>
    <font>
      <i/>
      <sz val="14"/>
      <color rgb="FF0000FF"/>
      <name val="Times New Roman"/>
      <family val="1"/>
      <charset val="204"/>
    </font>
    <font>
      <sz val="14"/>
      <color rgb="FF0000FF"/>
      <name val="Times New Roman"/>
      <family val="1"/>
      <charset val="204"/>
    </font>
    <font>
      <sz val="11"/>
      <name val="Calibri"/>
      <family val="2"/>
    </font>
    <font>
      <i/>
      <sz val="12"/>
      <name val="Times New Roman"/>
      <family val="1"/>
      <charset val="204"/>
    </font>
    <font>
      <sz val="14"/>
      <color rgb="FFFF0000"/>
      <name val="Times New Roman"/>
      <family val="1"/>
      <charset val="204"/>
    </font>
    <font>
      <i/>
      <sz val="12"/>
      <color rgb="FF0000FF"/>
      <name val="Times New Roman"/>
      <family val="1"/>
      <charset val="204"/>
    </font>
    <font>
      <sz val="14"/>
      <color rgb="FFFF0000"/>
      <name val="Times New Roman"/>
      <family val="1"/>
    </font>
    <font>
      <b/>
      <i/>
      <sz val="12"/>
      <name val="Times New Roman"/>
      <family val="1"/>
      <charset val="204"/>
    </font>
    <font>
      <sz val="14"/>
      <color rgb="FF8A0000"/>
      <name val="Times New Roman"/>
      <family val="1"/>
    </font>
    <font>
      <sz val="14"/>
      <color rgb="FF8A0000"/>
      <name val="Calibri"/>
      <family val="2"/>
      <scheme val="minor"/>
    </font>
    <font>
      <b/>
      <sz val="11"/>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6"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0">
    <xf numFmtId="0" fontId="0" fillId="0" borderId="0"/>
    <xf numFmtId="0" fontId="5" fillId="0" borderId="0"/>
    <xf numFmtId="0" fontId="7" fillId="0" borderId="0"/>
    <xf numFmtId="0" fontId="5" fillId="0" borderId="0"/>
    <xf numFmtId="0" fontId="5" fillId="0" borderId="0"/>
    <xf numFmtId="0" fontId="9" fillId="0" borderId="0"/>
    <xf numFmtId="0" fontId="7" fillId="0" borderId="0"/>
    <xf numFmtId="0" fontId="7" fillId="0" borderId="0"/>
    <xf numFmtId="0" fontId="5" fillId="0" borderId="0"/>
    <xf numFmtId="0" fontId="7" fillId="0" borderId="0"/>
    <xf numFmtId="165" fontId="7" fillId="0" borderId="0" applyFont="0" applyFill="0" applyBorder="0" applyAlignment="0" applyProtection="0"/>
    <xf numFmtId="0" fontId="9" fillId="0" borderId="0"/>
    <xf numFmtId="0" fontId="9" fillId="0" borderId="0"/>
    <xf numFmtId="164" fontId="17" fillId="0" borderId="0" applyFont="0" applyFill="0" applyBorder="0" applyAlignment="0" applyProtection="0"/>
    <xf numFmtId="0" fontId="9" fillId="0" borderId="0"/>
    <xf numFmtId="0" fontId="5" fillId="0" borderId="0"/>
    <xf numFmtId="0" fontId="9" fillId="0" borderId="0"/>
    <xf numFmtId="0" fontId="17" fillId="0" borderId="0"/>
    <xf numFmtId="0" fontId="7" fillId="0" borderId="0"/>
    <xf numFmtId="43" fontId="17" fillId="0" borderId="0" applyFont="0" applyFill="0" applyBorder="0" applyAlignment="0" applyProtection="0"/>
  </cellStyleXfs>
  <cellXfs count="782">
    <xf numFmtId="0" fontId="0" fillId="0" borderId="0" xfId="0"/>
    <xf numFmtId="0" fontId="16" fillId="2" borderId="0" xfId="0" applyFont="1" applyFill="1"/>
    <xf numFmtId="0" fontId="8" fillId="2" borderId="0" xfId="0" applyFont="1" applyFill="1" applyBorder="1" applyAlignment="1">
      <alignment horizontal="center"/>
    </xf>
    <xf numFmtId="49" fontId="8" fillId="2" borderId="0" xfId="0" applyNumberFormat="1" applyFont="1" applyFill="1" applyBorder="1" applyAlignment="1">
      <alignment horizontal="center" vertical="top" wrapText="1"/>
    </xf>
    <xf numFmtId="49" fontId="8" fillId="2" borderId="0" xfId="0" applyNumberFormat="1" applyFont="1" applyFill="1" applyBorder="1" applyAlignment="1">
      <alignment horizontal="center"/>
    </xf>
    <xf numFmtId="168" fontId="16" fillId="2" borderId="0" xfId="0" applyNumberFormat="1" applyFont="1" applyFill="1" applyBorder="1" applyAlignment="1"/>
    <xf numFmtId="168" fontId="8" fillId="2" borderId="0" xfId="0" applyNumberFormat="1" applyFont="1" applyFill="1" applyAlignment="1">
      <alignment horizontal="center"/>
    </xf>
    <xf numFmtId="0" fontId="8" fillId="2" borderId="0" xfId="0" applyFont="1" applyFill="1"/>
    <xf numFmtId="0" fontId="1" fillId="2" borderId="1" xfId="0" applyFont="1" applyFill="1" applyBorder="1" applyAlignment="1">
      <alignment horizontal="center"/>
    </xf>
    <xf numFmtId="49" fontId="1" fillId="2" borderId="1" xfId="0" applyNumberFormat="1" applyFont="1" applyFill="1" applyBorder="1" applyAlignment="1">
      <alignment horizontal="center" vertical="top" wrapText="1"/>
    </xf>
    <xf numFmtId="49" fontId="1" fillId="2" borderId="1" xfId="0" applyNumberFormat="1" applyFont="1" applyFill="1" applyBorder="1" applyAlignment="1">
      <alignment horizontal="center"/>
    </xf>
    <xf numFmtId="0" fontId="1" fillId="2" borderId="1" xfId="0" applyFont="1" applyFill="1" applyBorder="1" applyAlignment="1">
      <alignment horizontal="center" vertical="top"/>
    </xf>
    <xf numFmtId="49" fontId="2" fillId="2" borderId="3" xfId="0" applyNumberFormat="1" applyFont="1" applyFill="1" applyBorder="1" applyAlignment="1">
      <alignment vertical="top" wrapText="1"/>
    </xf>
    <xf numFmtId="49" fontId="1" fillId="2" borderId="1" xfId="6" applyNumberFormat="1" applyFont="1" applyFill="1" applyBorder="1" applyAlignment="1">
      <alignment horizontal="center" vertical="top" wrapText="1"/>
    </xf>
    <xf numFmtId="49" fontId="1" fillId="2" borderId="1" xfId="6" applyNumberFormat="1" applyFont="1" applyFill="1" applyBorder="1" applyAlignment="1">
      <alignment horizontal="center" vertical="top"/>
    </xf>
    <xf numFmtId="49" fontId="1" fillId="2" borderId="2" xfId="6" applyNumberFormat="1" applyFont="1" applyFill="1" applyBorder="1" applyAlignment="1">
      <alignment horizontal="center" vertical="top"/>
    </xf>
    <xf numFmtId="49" fontId="1" fillId="2" borderId="9" xfId="6" applyNumberFormat="1" applyFont="1" applyFill="1" applyBorder="1" applyAlignment="1">
      <alignment horizontal="center" vertical="top"/>
    </xf>
    <xf numFmtId="49" fontId="1" fillId="2" borderId="3" xfId="6" applyNumberFormat="1" applyFont="1" applyFill="1" applyBorder="1" applyAlignment="1">
      <alignment horizontal="center" vertical="top"/>
    </xf>
    <xf numFmtId="49" fontId="2" fillId="2" borderId="1" xfId="0" applyNumberFormat="1" applyFont="1" applyFill="1" applyBorder="1" applyAlignment="1">
      <alignment horizont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9" xfId="0" applyNumberFormat="1" applyFont="1" applyFill="1" applyBorder="1" applyAlignment="1">
      <alignment horizontal="center"/>
    </xf>
    <xf numFmtId="49" fontId="2" fillId="2" borderId="3" xfId="0" applyNumberFormat="1" applyFont="1" applyFill="1" applyBorder="1" applyAlignment="1">
      <alignment horizontal="center"/>
    </xf>
    <xf numFmtId="49" fontId="1" fillId="2" borderId="1" xfId="0" applyNumberFormat="1" applyFont="1" applyFill="1" applyBorder="1" applyAlignment="1">
      <alignment horizontal="center" wrapText="1"/>
    </xf>
    <xf numFmtId="166" fontId="1" fillId="2" borderId="1" xfId="0" applyNumberFormat="1" applyFont="1" applyFill="1" applyBorder="1" applyAlignment="1">
      <alignment horizontal="right"/>
    </xf>
    <xf numFmtId="49" fontId="1" fillId="2" borderId="14"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2" xfId="6" applyNumberFormat="1" applyFont="1" applyFill="1" applyBorder="1" applyAlignment="1">
      <alignment horizontal="center"/>
    </xf>
    <xf numFmtId="49" fontId="3" fillId="2" borderId="1" xfId="0" applyNumberFormat="1" applyFont="1" applyFill="1" applyBorder="1" applyAlignment="1">
      <alignment horizontal="center"/>
    </xf>
    <xf numFmtId="0" fontId="3" fillId="2" borderId="1" xfId="0" applyFont="1" applyFill="1" applyBorder="1"/>
    <xf numFmtId="166" fontId="16" fillId="2" borderId="0" xfId="0" applyNumberFormat="1" applyFont="1" applyFill="1"/>
    <xf numFmtId="1" fontId="1" fillId="2" borderId="1" xfId="0" applyNumberFormat="1" applyFont="1" applyFill="1" applyBorder="1" applyAlignment="1">
      <alignment horizontal="center"/>
    </xf>
    <xf numFmtId="166" fontId="2" fillId="2" borderId="1" xfId="0" applyNumberFormat="1" applyFont="1" applyFill="1" applyBorder="1" applyAlignment="1">
      <alignment horizontal="right"/>
    </xf>
    <xf numFmtId="0" fontId="3" fillId="2" borderId="0" xfId="0" applyFont="1" applyFill="1" applyBorder="1"/>
    <xf numFmtId="0" fontId="3" fillId="2" borderId="0" xfId="0" applyFont="1" applyFill="1"/>
    <xf numFmtId="0" fontId="19" fillId="2" borderId="0" xfId="0" applyFont="1" applyFill="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xf>
    <xf numFmtId="0" fontId="3" fillId="2" borderId="1" xfId="0" applyFont="1" applyFill="1" applyBorder="1" applyAlignment="1">
      <alignment horizontal="center" vertical="top"/>
    </xf>
    <xf numFmtId="0" fontId="3" fillId="2" borderId="0" xfId="0" applyFont="1" applyFill="1" applyAlignment="1">
      <alignment horizontal="right"/>
    </xf>
    <xf numFmtId="0" fontId="4" fillId="2" borderId="1" xfId="0" applyFont="1" applyFill="1" applyBorder="1" applyAlignment="1">
      <alignment horizontal="center" vertical="top"/>
    </xf>
    <xf numFmtId="49" fontId="10" fillId="2" borderId="0" xfId="7" applyNumberFormat="1" applyFont="1" applyFill="1" applyBorder="1" applyAlignment="1">
      <alignment vertical="top" wrapText="1"/>
    </xf>
    <xf numFmtId="49" fontId="11" fillId="2" borderId="0" xfId="7" applyNumberFormat="1" applyFont="1" applyFill="1" applyBorder="1" applyAlignment="1">
      <alignment horizontal="center"/>
    </xf>
    <xf numFmtId="166" fontId="4" fillId="2" borderId="0" xfId="7" applyNumberFormat="1" applyFont="1" applyFill="1" applyBorder="1" applyAlignment="1"/>
    <xf numFmtId="168" fontId="11" fillId="2" borderId="0" xfId="7" applyNumberFormat="1" applyFont="1" applyFill="1"/>
    <xf numFmtId="0" fontId="11" fillId="2" borderId="0" xfId="7" applyFont="1" applyFill="1"/>
    <xf numFmtId="0" fontId="6" fillId="2" borderId="0" xfId="0" applyFont="1" applyFill="1"/>
    <xf numFmtId="166" fontId="4" fillId="2" borderId="0" xfId="0" applyNumberFormat="1" applyFont="1" applyFill="1" applyAlignment="1">
      <alignment horizontal="center"/>
    </xf>
    <xf numFmtId="166" fontId="3" fillId="2" borderId="0" xfId="1" applyNumberFormat="1" applyFont="1" applyFill="1" applyAlignment="1">
      <alignment horizontal="right"/>
    </xf>
    <xf numFmtId="166"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1" fontId="3" fillId="2" borderId="1" xfId="0" applyNumberFormat="1" applyFont="1" applyFill="1" applyBorder="1" applyAlignment="1">
      <alignment horizontal="center"/>
    </xf>
    <xf numFmtId="0" fontId="4" fillId="2" borderId="1" xfId="7" applyFont="1" applyFill="1" applyBorder="1" applyAlignment="1">
      <alignment vertical="top" wrapText="1"/>
    </xf>
    <xf numFmtId="166" fontId="4" fillId="2" borderId="1" xfId="0" applyNumberFormat="1" applyFont="1" applyFill="1" applyBorder="1" applyAlignment="1">
      <alignment horizontal="right" vertical="top"/>
    </xf>
    <xf numFmtId="0" fontId="6" fillId="2" borderId="1" xfId="1" applyFont="1" applyFill="1" applyBorder="1" applyAlignment="1">
      <alignment horizontal="center" vertical="top"/>
    </xf>
    <xf numFmtId="0" fontId="3" fillId="2" borderId="0" xfId="1" applyFont="1" applyFill="1"/>
    <xf numFmtId="49" fontId="3" fillId="2" borderId="0" xfId="5" applyNumberFormat="1" applyFont="1" applyFill="1" applyBorder="1" applyAlignment="1">
      <alignment horizontal="center" vertical="top" wrapText="1"/>
    </xf>
    <xf numFmtId="0" fontId="3" fillId="2" borderId="0" xfId="5" applyNumberFormat="1" applyFont="1" applyFill="1" applyBorder="1" applyAlignment="1">
      <alignment horizontal="left" wrapText="1"/>
    </xf>
    <xf numFmtId="166" fontId="3" fillId="2" borderId="0" xfId="5" applyNumberFormat="1" applyFont="1" applyFill="1" applyBorder="1" applyAlignment="1">
      <alignment horizontal="right" wrapText="1"/>
    </xf>
    <xf numFmtId="49" fontId="24" fillId="2" borderId="0" xfId="7" applyNumberFormat="1" applyFont="1" applyFill="1" applyBorder="1" applyAlignment="1">
      <alignment horizontal="center"/>
    </xf>
    <xf numFmtId="166" fontId="3" fillId="2" borderId="0" xfId="0" applyNumberFormat="1" applyFont="1" applyFill="1"/>
    <xf numFmtId="0" fontId="3" fillId="2" borderId="0" xfId="0" applyFont="1" applyFill="1" applyAlignment="1">
      <alignment vertical="top"/>
    </xf>
    <xf numFmtId="0" fontId="4" fillId="2" borderId="0" xfId="0" applyFont="1" applyFill="1" applyAlignment="1">
      <alignment horizontal="center" vertical="top"/>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6" fillId="2" borderId="1" xfId="0" applyFont="1" applyFill="1" applyBorder="1" applyAlignment="1">
      <alignment horizontal="center" vertical="top"/>
    </xf>
    <xf numFmtId="166" fontId="3" fillId="2" borderId="1" xfId="0" applyNumberFormat="1" applyFont="1" applyFill="1" applyBorder="1" applyAlignment="1">
      <alignment horizontal="right" vertical="top"/>
    </xf>
    <xf numFmtId="166" fontId="6" fillId="2" borderId="1" xfId="0" applyNumberFormat="1" applyFont="1" applyFill="1" applyBorder="1" applyAlignment="1">
      <alignment vertical="top"/>
    </xf>
    <xf numFmtId="166" fontId="6" fillId="2" borderId="1" xfId="0" applyNumberFormat="1" applyFont="1" applyFill="1" applyBorder="1" applyAlignment="1">
      <alignment horizontal="right" vertical="top"/>
    </xf>
    <xf numFmtId="166" fontId="3" fillId="2" borderId="1" xfId="1" applyNumberFormat="1" applyFont="1" applyFill="1" applyBorder="1" applyAlignment="1">
      <alignment vertical="top"/>
    </xf>
    <xf numFmtId="0" fontId="21" fillId="2" borderId="0" xfId="0" applyFont="1" applyFill="1" applyAlignment="1">
      <alignment horizontal="center" vertical="top"/>
    </xf>
    <xf numFmtId="0" fontId="22" fillId="2" borderId="0" xfId="0" applyFont="1" applyFill="1" applyAlignment="1">
      <alignment horizontal="center" vertical="top"/>
    </xf>
    <xf numFmtId="0" fontId="3" fillId="2" borderId="0"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left" vertical="top"/>
    </xf>
    <xf numFmtId="0" fontId="3" fillId="2" borderId="1" xfId="0" applyFont="1" applyFill="1" applyBorder="1" applyAlignment="1">
      <alignment vertical="top"/>
    </xf>
    <xf numFmtId="166" fontId="1" fillId="2" borderId="1" xfId="0" applyNumberFormat="1" applyFont="1" applyFill="1" applyBorder="1" applyAlignment="1">
      <alignment vertical="top" wrapText="1"/>
    </xf>
    <xf numFmtId="49" fontId="3" fillId="2" borderId="5" xfId="0" applyNumberFormat="1" applyFont="1" applyFill="1" applyBorder="1" applyAlignment="1">
      <alignment horizontal="center"/>
    </xf>
    <xf numFmtId="49" fontId="3" fillId="2" borderId="0" xfId="0" applyNumberFormat="1" applyFont="1" applyFill="1" applyBorder="1" applyAlignment="1">
      <alignment horizontal="center"/>
    </xf>
    <xf numFmtId="0" fontId="16" fillId="2" borderId="0" xfId="0" applyFont="1" applyFill="1" applyBorder="1"/>
    <xf numFmtId="0" fontId="8" fillId="2" borderId="0" xfId="7" applyFont="1" applyFill="1"/>
    <xf numFmtId="49" fontId="14" fillId="2" borderId="0" xfId="7" applyNumberFormat="1" applyFont="1" applyFill="1" applyBorder="1" applyAlignment="1">
      <alignment vertical="top" wrapText="1"/>
    </xf>
    <xf numFmtId="49" fontId="8" fillId="2" borderId="0" xfId="7" applyNumberFormat="1" applyFont="1" applyFill="1" applyBorder="1" applyAlignment="1">
      <alignment horizontal="center"/>
    </xf>
    <xf numFmtId="49" fontId="1" fillId="2" borderId="1" xfId="7" applyNumberFormat="1" applyFont="1" applyFill="1" applyBorder="1" applyAlignment="1">
      <alignment horizontal="center"/>
    </xf>
    <xf numFmtId="0" fontId="1" fillId="2" borderId="1" xfId="7" applyFont="1" applyFill="1" applyBorder="1" applyAlignment="1">
      <alignment horizontal="center" vertical="top"/>
    </xf>
    <xf numFmtId="49" fontId="2" fillId="2" borderId="1" xfId="7" applyNumberFormat="1" applyFont="1" applyFill="1" applyBorder="1" applyAlignment="1">
      <alignment horizontal="center"/>
    </xf>
    <xf numFmtId="49" fontId="1" fillId="2" borderId="17" xfId="11" applyNumberFormat="1" applyFont="1" applyFill="1" applyBorder="1" applyAlignment="1">
      <alignment horizontal="center"/>
    </xf>
    <xf numFmtId="49" fontId="1" fillId="2" borderId="18" xfId="16" applyNumberFormat="1" applyFont="1" applyFill="1" applyBorder="1" applyAlignment="1">
      <alignment horizontal="center"/>
    </xf>
    <xf numFmtId="49" fontId="1" fillId="2" borderId="19" xfId="16" applyNumberFormat="1" applyFont="1" applyFill="1" applyBorder="1" applyAlignment="1">
      <alignment horizontal="center"/>
    </xf>
    <xf numFmtId="49" fontId="1" fillId="2" borderId="16" xfId="16" applyNumberFormat="1" applyFont="1" applyFill="1" applyBorder="1" applyAlignment="1">
      <alignment horizontal="center"/>
    </xf>
    <xf numFmtId="0" fontId="2" fillId="2" borderId="1" xfId="7" applyFont="1" applyFill="1" applyBorder="1" applyAlignment="1">
      <alignment horizontal="center" vertical="top"/>
    </xf>
    <xf numFmtId="49" fontId="2" fillId="2" borderId="9" xfId="7" applyNumberFormat="1" applyFont="1" applyFill="1" applyBorder="1" applyAlignment="1">
      <alignment horizontal="center"/>
    </xf>
    <xf numFmtId="49" fontId="2" fillId="2" borderId="3" xfId="7" applyNumberFormat="1" applyFont="1" applyFill="1" applyBorder="1" applyAlignment="1">
      <alignment horizontal="center"/>
    </xf>
    <xf numFmtId="49" fontId="1" fillId="2" borderId="9" xfId="6" applyNumberFormat="1" applyFont="1" applyFill="1" applyBorder="1" applyAlignment="1">
      <alignment horizontal="center"/>
    </xf>
    <xf numFmtId="49" fontId="1" fillId="2" borderId="3" xfId="6" applyNumberFormat="1" applyFont="1" applyFill="1" applyBorder="1" applyAlignment="1">
      <alignment horizontal="center"/>
    </xf>
    <xf numFmtId="49" fontId="1" fillId="2" borderId="1" xfId="6" applyNumberFormat="1" applyFont="1" applyFill="1" applyBorder="1" applyAlignment="1">
      <alignment horizontal="center"/>
    </xf>
    <xf numFmtId="49" fontId="1" fillId="2" borderId="0" xfId="7" applyNumberFormat="1" applyFont="1" applyFill="1" applyBorder="1" applyAlignment="1">
      <alignment horizontal="center"/>
    </xf>
    <xf numFmtId="49" fontId="1" fillId="2" borderId="17" xfId="6" applyNumberFormat="1" applyFont="1" applyFill="1" applyBorder="1" applyAlignment="1">
      <alignment horizontal="center"/>
    </xf>
    <xf numFmtId="49" fontId="1" fillId="2" borderId="18" xfId="14" applyNumberFormat="1" applyFont="1" applyFill="1" applyBorder="1" applyAlignment="1">
      <alignment horizontal="center"/>
    </xf>
    <xf numFmtId="49" fontId="1" fillId="2" borderId="19" xfId="14" applyNumberFormat="1" applyFont="1" applyFill="1" applyBorder="1" applyAlignment="1">
      <alignment horizontal="center"/>
    </xf>
    <xf numFmtId="49" fontId="1" fillId="2" borderId="21" xfId="14" applyNumberFormat="1" applyFont="1" applyFill="1" applyBorder="1" applyAlignment="1">
      <alignment horizontal="center"/>
    </xf>
    <xf numFmtId="49" fontId="1" fillId="2" borderId="16" xfId="14" applyNumberFormat="1" applyFont="1" applyFill="1" applyBorder="1" applyAlignment="1">
      <alignment horizontal="center"/>
    </xf>
    <xf numFmtId="49" fontId="1" fillId="2" borderId="20" xfId="6" applyNumberFormat="1" applyFont="1" applyFill="1" applyBorder="1" applyAlignment="1">
      <alignment horizontal="center"/>
    </xf>
    <xf numFmtId="49" fontId="1" fillId="2" borderId="20" xfId="14" applyNumberFormat="1" applyFont="1" applyFill="1" applyBorder="1" applyAlignment="1">
      <alignment horizontal="center"/>
    </xf>
    <xf numFmtId="49" fontId="1" fillId="2" borderId="17" xfId="5" applyNumberFormat="1" applyFont="1" applyFill="1" applyBorder="1" applyAlignment="1">
      <alignment horizontal="center"/>
    </xf>
    <xf numFmtId="49" fontId="1" fillId="2" borderId="18" xfId="5" applyNumberFormat="1" applyFont="1" applyFill="1" applyBorder="1" applyAlignment="1">
      <alignment horizontal="center"/>
    </xf>
    <xf numFmtId="49" fontId="1" fillId="2" borderId="19" xfId="5" applyNumberFormat="1" applyFont="1" applyFill="1" applyBorder="1" applyAlignment="1">
      <alignment horizontal="center"/>
    </xf>
    <xf numFmtId="49" fontId="1" fillId="2" borderId="16" xfId="5" applyNumberFormat="1" applyFont="1" applyFill="1" applyBorder="1" applyAlignment="1">
      <alignment horizontal="center"/>
    </xf>
    <xf numFmtId="49" fontId="1" fillId="2" borderId="19" xfId="16" applyNumberFormat="1" applyFont="1" applyFill="1" applyBorder="1" applyAlignment="1">
      <alignment horizontal="center" wrapText="1"/>
    </xf>
    <xf numFmtId="49" fontId="1" fillId="2" borderId="0" xfId="0" applyNumberFormat="1" applyFont="1" applyFill="1" applyBorder="1" applyAlignment="1">
      <alignment horizontal="center"/>
    </xf>
    <xf numFmtId="166" fontId="2" fillId="2" borderId="0" xfId="7" applyNumberFormat="1" applyFont="1" applyFill="1" applyBorder="1" applyAlignment="1"/>
    <xf numFmtId="168" fontId="1" fillId="2" borderId="0" xfId="7" applyNumberFormat="1" applyFont="1" applyFill="1" applyAlignment="1">
      <alignment horizontal="right"/>
    </xf>
    <xf numFmtId="166" fontId="2" fillId="2" borderId="1" xfId="0" applyNumberFormat="1" applyFont="1" applyFill="1" applyBorder="1" applyAlignment="1">
      <alignment horizontal="right" vertical="top"/>
    </xf>
    <xf numFmtId="0" fontId="3" fillId="2" borderId="0" xfId="5" applyFont="1" applyFill="1" applyBorder="1" applyAlignment="1">
      <alignment horizontal="left" vertical="top" wrapText="1"/>
    </xf>
    <xf numFmtId="166" fontId="3" fillId="2" borderId="0" xfId="0" applyNumberFormat="1" applyFont="1" applyFill="1" applyBorder="1" applyAlignment="1">
      <alignment horizontal="right" vertical="top"/>
    </xf>
    <xf numFmtId="0" fontId="2" fillId="2" borderId="1" xfId="0" applyFont="1" applyFill="1" applyBorder="1" applyAlignment="1">
      <alignment horizontal="center" vertical="top"/>
    </xf>
    <xf numFmtId="0" fontId="14" fillId="2" borderId="0" xfId="0" applyFont="1" applyFill="1"/>
    <xf numFmtId="168" fontId="16" fillId="2" borderId="0" xfId="0" applyNumberFormat="1" applyFont="1" applyFill="1"/>
    <xf numFmtId="168" fontId="3" fillId="2" borderId="0" xfId="0" applyNumberFormat="1" applyFont="1" applyFill="1" applyBorder="1" applyAlignment="1">
      <alignment horizontal="right"/>
    </xf>
    <xf numFmtId="49" fontId="2" fillId="2" borderId="1" xfId="0" applyNumberFormat="1" applyFont="1" applyFill="1" applyBorder="1" applyAlignment="1">
      <alignment vertical="top" wrapText="1"/>
    </xf>
    <xf numFmtId="0" fontId="10" fillId="2" borderId="0" xfId="0" applyFont="1" applyFill="1"/>
    <xf numFmtId="0" fontId="11" fillId="2" borderId="0" xfId="0" applyFont="1" applyFill="1"/>
    <xf numFmtId="0" fontId="23" fillId="2" borderId="0" xfId="0" applyFont="1" applyFill="1"/>
    <xf numFmtId="0" fontId="2" fillId="2" borderId="16" xfId="16" applyFont="1" applyFill="1" applyBorder="1" applyAlignment="1">
      <alignment horizontal="center" vertical="top"/>
    </xf>
    <xf numFmtId="49" fontId="2" fillId="2" borderId="16" xfId="16" applyNumberFormat="1" applyFont="1" applyFill="1" applyBorder="1" applyAlignment="1">
      <alignment horizontal="center" wrapText="1"/>
    </xf>
    <xf numFmtId="49" fontId="2" fillId="2" borderId="16" xfId="16" applyNumberFormat="1" applyFont="1" applyFill="1" applyBorder="1" applyAlignment="1">
      <alignment horizontal="center"/>
    </xf>
    <xf numFmtId="49" fontId="2" fillId="2" borderId="25" xfId="16" applyNumberFormat="1" applyFont="1" applyFill="1" applyBorder="1" applyAlignment="1">
      <alignment horizontal="center"/>
    </xf>
    <xf numFmtId="49" fontId="2" fillId="2" borderId="20" xfId="16" applyNumberFormat="1" applyFont="1" applyFill="1" applyBorder="1" applyAlignment="1">
      <alignment horizontal="center"/>
    </xf>
    <xf numFmtId="49" fontId="2" fillId="2" borderId="26" xfId="16" applyNumberFormat="1" applyFont="1" applyFill="1" applyBorder="1" applyAlignment="1">
      <alignment horizontal="center"/>
    </xf>
    <xf numFmtId="166" fontId="2" fillId="2" borderId="16" xfId="16" applyNumberFormat="1" applyFont="1" applyFill="1" applyBorder="1" applyAlignment="1">
      <alignment horizontal="right"/>
    </xf>
    <xf numFmtId="0" fontId="14" fillId="2" borderId="0" xfId="16" applyFont="1" applyFill="1"/>
    <xf numFmtId="0" fontId="1" fillId="2" borderId="16" xfId="16" applyFont="1" applyFill="1" applyBorder="1" applyAlignment="1">
      <alignment horizontal="center" vertical="top"/>
    </xf>
    <xf numFmtId="49" fontId="1" fillId="2" borderId="16" xfId="11" applyNumberFormat="1" applyFont="1" applyFill="1" applyBorder="1" applyAlignment="1">
      <alignment horizontal="center" wrapText="1"/>
    </xf>
    <xf numFmtId="49" fontId="1" fillId="2" borderId="16" xfId="11" applyNumberFormat="1" applyFont="1" applyFill="1" applyBorder="1" applyAlignment="1">
      <alignment horizontal="center"/>
    </xf>
    <xf numFmtId="49" fontId="1" fillId="2" borderId="17" xfId="16" applyNumberFormat="1" applyFont="1" applyFill="1" applyBorder="1" applyAlignment="1">
      <alignment horizontal="center"/>
    </xf>
    <xf numFmtId="166" fontId="1" fillId="2" borderId="16" xfId="16" applyNumberFormat="1" applyFont="1" applyFill="1" applyBorder="1" applyAlignment="1">
      <alignment horizontal="right"/>
    </xf>
    <xf numFmtId="0" fontId="8" fillId="2" borderId="0" xfId="16" applyFont="1" applyFill="1"/>
    <xf numFmtId="49" fontId="1" fillId="2" borderId="25" xfId="11" applyNumberFormat="1" applyFont="1" applyFill="1" applyBorder="1" applyAlignment="1">
      <alignment horizontal="center"/>
    </xf>
    <xf numFmtId="49" fontId="1" fillId="2" borderId="20" xfId="16" applyNumberFormat="1" applyFont="1" applyFill="1" applyBorder="1" applyAlignment="1">
      <alignment horizontal="center"/>
    </xf>
    <xf numFmtId="49" fontId="1" fillId="2" borderId="26" xfId="16" applyNumberFormat="1" applyFont="1" applyFill="1" applyBorder="1" applyAlignment="1">
      <alignment horizontal="center"/>
    </xf>
    <xf numFmtId="49" fontId="1" fillId="2" borderId="25" xfId="6" applyNumberFormat="1" applyFont="1" applyFill="1" applyBorder="1" applyAlignment="1">
      <alignment horizontal="center"/>
    </xf>
    <xf numFmtId="49" fontId="1" fillId="2" borderId="18" xfId="6" applyNumberFormat="1" applyFont="1" applyFill="1" applyBorder="1" applyAlignment="1">
      <alignment horizontal="center"/>
    </xf>
    <xf numFmtId="0" fontId="1" fillId="2" borderId="16" xfId="5" applyFont="1" applyFill="1" applyBorder="1" applyAlignment="1">
      <alignment horizontal="center" vertical="top"/>
    </xf>
    <xf numFmtId="49" fontId="1" fillId="2" borderId="16" xfId="5" applyNumberFormat="1" applyFont="1" applyFill="1" applyBorder="1" applyAlignment="1">
      <alignment horizontal="center" wrapText="1"/>
    </xf>
    <xf numFmtId="0" fontId="8" fillId="2" borderId="0" xfId="5" applyFont="1" applyFill="1"/>
    <xf numFmtId="0" fontId="14" fillId="2" borderId="0" xfId="5" applyFont="1" applyFill="1"/>
    <xf numFmtId="166" fontId="10" fillId="2" borderId="0" xfId="0" applyNumberFormat="1" applyFont="1" applyFill="1"/>
    <xf numFmtId="166" fontId="11" fillId="2" borderId="0" xfId="0" applyNumberFormat="1" applyFont="1" applyFill="1"/>
    <xf numFmtId="49" fontId="1" fillId="2" borderId="1" xfId="6" applyNumberFormat="1" applyFont="1" applyFill="1" applyBorder="1" applyAlignment="1">
      <alignment horizontal="center" wrapText="1"/>
    </xf>
    <xf numFmtId="168" fontId="8" fillId="2" borderId="0" xfId="7" applyNumberFormat="1" applyFont="1" applyFill="1"/>
    <xf numFmtId="0" fontId="18" fillId="2" borderId="0" xfId="0" applyFont="1" applyFill="1"/>
    <xf numFmtId="168" fontId="18" fillId="2" borderId="0" xfId="0" applyNumberFormat="1" applyFont="1" applyFill="1"/>
    <xf numFmtId="166" fontId="11" fillId="2" borderId="1" xfId="0" applyNumberFormat="1" applyFont="1" applyFill="1" applyBorder="1"/>
    <xf numFmtId="49" fontId="4" fillId="2" borderId="1" xfId="0" applyNumberFormat="1" applyFont="1" applyFill="1" applyBorder="1" applyAlignment="1">
      <alignment horizontal="center"/>
    </xf>
    <xf numFmtId="166" fontId="10" fillId="2" borderId="1" xfId="0" applyNumberFormat="1" applyFont="1" applyFill="1" applyBorder="1"/>
    <xf numFmtId="49" fontId="3" fillId="2" borderId="1" xfId="0" applyNumberFormat="1" applyFont="1" applyFill="1" applyBorder="1" applyAlignment="1">
      <alignment horizontal="left"/>
    </xf>
    <xf numFmtId="168" fontId="3" fillId="2" borderId="1" xfId="0" applyNumberFormat="1" applyFont="1" applyFill="1" applyBorder="1"/>
    <xf numFmtId="172" fontId="8" fillId="2" borderId="0" xfId="0" applyNumberFormat="1" applyFont="1" applyFill="1"/>
    <xf numFmtId="166" fontId="3" fillId="2" borderId="0" xfId="0" applyNumberFormat="1" applyFont="1" applyFill="1" applyAlignment="1">
      <alignment horizontal="right"/>
    </xf>
    <xf numFmtId="49" fontId="1" fillId="2" borderId="16" xfId="12" applyNumberFormat="1" applyFont="1" applyFill="1" applyBorder="1" applyAlignment="1">
      <alignment horizontal="center" wrapText="1"/>
    </xf>
    <xf numFmtId="49" fontId="1" fillId="2" borderId="16" xfId="12" applyNumberFormat="1" applyFont="1" applyFill="1" applyBorder="1" applyAlignment="1">
      <alignment horizontal="center"/>
    </xf>
    <xf numFmtId="49" fontId="1" fillId="2" borderId="17" xfId="12" applyNumberFormat="1" applyFont="1" applyFill="1" applyBorder="1" applyAlignment="1">
      <alignment horizontal="center"/>
    </xf>
    <xf numFmtId="49" fontId="1" fillId="2" borderId="18" xfId="12" applyNumberFormat="1" applyFont="1" applyFill="1" applyBorder="1" applyAlignment="1">
      <alignment horizontal="center"/>
    </xf>
    <xf numFmtId="49" fontId="1" fillId="2" borderId="19" xfId="12" applyNumberFormat="1" applyFont="1" applyFill="1" applyBorder="1" applyAlignment="1">
      <alignment horizontal="center"/>
    </xf>
    <xf numFmtId="172" fontId="8" fillId="2" borderId="0" xfId="16" applyNumberFormat="1" applyFont="1" applyFill="1"/>
    <xf numFmtId="49" fontId="1" fillId="2" borderId="0" xfId="16" applyNumberFormat="1" applyFont="1" applyFill="1" applyBorder="1" applyAlignment="1">
      <alignment horizontal="center"/>
    </xf>
    <xf numFmtId="0" fontId="1" fillId="2" borderId="21" xfId="14" applyFont="1" applyFill="1" applyBorder="1" applyAlignment="1">
      <alignment horizontal="center" vertical="top"/>
    </xf>
    <xf numFmtId="49" fontId="1" fillId="2" borderId="27" xfId="11" applyNumberFormat="1" applyFont="1" applyFill="1" applyBorder="1" applyAlignment="1">
      <alignment horizontal="center" wrapText="1"/>
    </xf>
    <xf numFmtId="49" fontId="1" fillId="2" borderId="27" xfId="11" applyNumberFormat="1" applyFont="1" applyFill="1" applyBorder="1" applyAlignment="1">
      <alignment horizontal="center"/>
    </xf>
    <xf numFmtId="166" fontId="1" fillId="2" borderId="21" xfId="14" applyNumberFormat="1" applyFont="1" applyFill="1" applyBorder="1" applyAlignment="1">
      <alignment horizontal="right"/>
    </xf>
    <xf numFmtId="172" fontId="8" fillId="2" borderId="0" xfId="14" applyNumberFormat="1" applyFont="1" applyFill="1"/>
    <xf numFmtId="0" fontId="8" fillId="2" borderId="0" xfId="14" applyFont="1" applyFill="1"/>
    <xf numFmtId="0" fontId="1" fillId="2" borderId="16" xfId="14" applyFont="1" applyFill="1" applyBorder="1" applyAlignment="1">
      <alignment horizontal="center" vertical="top"/>
    </xf>
    <xf numFmtId="166" fontId="1" fillId="2" borderId="16" xfId="14" applyNumberFormat="1" applyFont="1" applyFill="1" applyBorder="1" applyAlignment="1">
      <alignment horizontal="right"/>
    </xf>
    <xf numFmtId="49" fontId="1" fillId="2" borderId="26" xfId="14" applyNumberFormat="1" applyFont="1" applyFill="1" applyBorder="1" applyAlignment="1">
      <alignment horizontal="center"/>
    </xf>
    <xf numFmtId="49" fontId="1" fillId="2" borderId="23" xfId="14" applyNumberFormat="1" applyFont="1" applyFill="1" applyBorder="1" applyAlignment="1">
      <alignment horizontal="center"/>
    </xf>
    <xf numFmtId="0" fontId="1" fillId="2" borderId="23" xfId="14" applyFont="1" applyFill="1" applyBorder="1" applyAlignment="1">
      <alignment horizontal="center" vertical="top"/>
    </xf>
    <xf numFmtId="49" fontId="1" fillId="2" borderId="23" xfId="11" applyNumberFormat="1" applyFont="1" applyFill="1" applyBorder="1" applyAlignment="1">
      <alignment horizontal="center" wrapText="1"/>
    </xf>
    <xf numFmtId="166" fontId="1" fillId="2" borderId="16" xfId="5" applyNumberFormat="1" applyFont="1" applyFill="1" applyBorder="1" applyAlignment="1">
      <alignment horizontal="right"/>
    </xf>
    <xf numFmtId="169" fontId="10" fillId="2" borderId="0" xfId="0" applyNumberFormat="1" applyFont="1" applyFill="1"/>
    <xf numFmtId="169" fontId="14" fillId="2" borderId="0" xfId="0" applyNumberFormat="1" applyFont="1" applyFill="1"/>
    <xf numFmtId="0" fontId="1" fillId="2" borderId="0" xfId="0" applyFont="1" applyFill="1" applyBorder="1" applyAlignment="1">
      <alignment horizontal="center" vertical="top"/>
    </xf>
    <xf numFmtId="49" fontId="1" fillId="2" borderId="0" xfId="0" applyNumberFormat="1" applyFont="1" applyFill="1" applyBorder="1" applyAlignment="1">
      <alignment horizontal="center" wrapText="1"/>
    </xf>
    <xf numFmtId="166" fontId="1" fillId="2" borderId="0" xfId="0" applyNumberFormat="1" applyFont="1" applyFill="1" applyBorder="1" applyAlignment="1">
      <alignment horizontal="right"/>
    </xf>
    <xf numFmtId="0" fontId="23" fillId="2" borderId="0" xfId="0" applyFont="1" applyFill="1" applyBorder="1"/>
    <xf numFmtId="166" fontId="11" fillId="2" borderId="0" xfId="0" applyNumberFormat="1" applyFont="1" applyFill="1" applyBorder="1"/>
    <xf numFmtId="166" fontId="10" fillId="2" borderId="0" xfId="0" applyNumberFormat="1" applyFont="1" applyFill="1" applyBorder="1"/>
    <xf numFmtId="170" fontId="1" fillId="2" borderId="0" xfId="1" applyNumberFormat="1" applyFont="1" applyFill="1" applyAlignment="1">
      <alignment horizontal="right"/>
    </xf>
    <xf numFmtId="170" fontId="1" fillId="2" borderId="1"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67" fontId="2" fillId="2" borderId="1" xfId="1" applyNumberFormat="1" applyFont="1" applyFill="1" applyBorder="1" applyAlignment="1">
      <alignment horizontal="right"/>
    </xf>
    <xf numFmtId="167" fontId="1" fillId="2" borderId="1" xfId="1" applyNumberFormat="1" applyFont="1" applyFill="1" applyBorder="1" applyAlignment="1"/>
    <xf numFmtId="167" fontId="2" fillId="2" borderId="1" xfId="10" applyNumberFormat="1" applyFont="1" applyFill="1" applyBorder="1" applyAlignment="1">
      <alignment vertical="top"/>
    </xf>
    <xf numFmtId="170" fontId="1" fillId="2" borderId="0" xfId="1" applyNumberFormat="1" applyFont="1" applyFill="1"/>
    <xf numFmtId="170" fontId="1" fillId="2" borderId="0" xfId="7" applyNumberFormat="1" applyFont="1" applyFill="1" applyBorder="1"/>
    <xf numFmtId="0" fontId="1" fillId="2" borderId="0" xfId="1" applyFont="1" applyFill="1"/>
    <xf numFmtId="167" fontId="1" fillId="2" borderId="1" xfId="1" applyNumberFormat="1" applyFont="1" applyFill="1" applyBorder="1" applyAlignment="1">
      <alignment horizontal="right" vertical="top"/>
    </xf>
    <xf numFmtId="49" fontId="26" fillId="2" borderId="0" xfId="7" applyNumberFormat="1" applyFont="1" applyFill="1" applyBorder="1" applyAlignment="1">
      <alignment horizontal="center" vertical="top"/>
    </xf>
    <xf numFmtId="0" fontId="6" fillId="2" borderId="0" xfId="0" applyFont="1" applyFill="1" applyAlignment="1">
      <alignment vertical="top"/>
    </xf>
    <xf numFmtId="0" fontId="6" fillId="2" borderId="0" xfId="0" applyFont="1" applyFill="1" applyAlignment="1">
      <alignment horizontal="center" vertical="top"/>
    </xf>
    <xf numFmtId="0" fontId="3" fillId="2" borderId="0" xfId="0" applyFont="1" applyFill="1" applyAlignment="1">
      <alignment horizontal="center" vertical="top"/>
    </xf>
    <xf numFmtId="166" fontId="1" fillId="2" borderId="23" xfId="16" applyNumberFormat="1" applyFont="1" applyFill="1" applyBorder="1" applyAlignment="1">
      <alignment horizontal="right"/>
    </xf>
    <xf numFmtId="166" fontId="1" fillId="2" borderId="1" xfId="3" applyNumberFormat="1" applyFont="1" applyFill="1" applyBorder="1" applyAlignment="1">
      <alignment horizontal="right" wrapText="1"/>
    </xf>
    <xf numFmtId="0" fontId="2" fillId="2" borderId="1" xfId="3" applyFont="1" applyFill="1" applyBorder="1" applyAlignment="1">
      <alignment wrapText="1"/>
    </xf>
    <xf numFmtId="0" fontId="1" fillId="2" borderId="1" xfId="3" applyFont="1" applyFill="1" applyBorder="1" applyAlignment="1">
      <alignment wrapText="1"/>
    </xf>
    <xf numFmtId="49" fontId="3" fillId="2" borderId="1" xfId="3" applyNumberFormat="1" applyFont="1" applyFill="1" applyBorder="1" applyAlignment="1">
      <alignment horizontal="center" vertical="top"/>
    </xf>
    <xf numFmtId="0" fontId="3" fillId="2" borderId="1" xfId="3" applyFont="1" applyFill="1" applyBorder="1" applyAlignment="1">
      <alignment wrapText="1"/>
    </xf>
    <xf numFmtId="166" fontId="3" fillId="2" borderId="1" xfId="3" applyNumberFormat="1" applyFont="1" applyFill="1" applyBorder="1" applyAlignment="1">
      <alignment horizontal="right" wrapText="1"/>
    </xf>
    <xf numFmtId="0" fontId="13" fillId="2" borderId="0" xfId="3" applyFont="1" applyFill="1"/>
    <xf numFmtId="2" fontId="16" fillId="2" borderId="0" xfId="0" applyNumberFormat="1" applyFont="1" applyFill="1"/>
    <xf numFmtId="0" fontId="3" fillId="2" borderId="1" xfId="0" applyFont="1" applyFill="1" applyBorder="1" applyAlignment="1">
      <alignment wrapText="1"/>
    </xf>
    <xf numFmtId="0" fontId="1" fillId="2" borderId="1" xfId="0" applyFont="1" applyFill="1" applyBorder="1" applyAlignment="1">
      <alignment vertical="top" wrapText="1"/>
    </xf>
    <xf numFmtId="49" fontId="3" fillId="2" borderId="2"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3" xfId="0" applyNumberFormat="1" applyFont="1" applyFill="1" applyBorder="1" applyAlignment="1">
      <alignment horizontal="center"/>
    </xf>
    <xf numFmtId="166" fontId="3" fillId="2" borderId="1" xfId="0" applyNumberFormat="1" applyFont="1" applyFill="1" applyBorder="1" applyAlignment="1">
      <alignment horizontal="right"/>
    </xf>
    <xf numFmtId="49" fontId="1" fillId="2" borderId="0" xfId="12" applyNumberFormat="1" applyFont="1" applyFill="1" applyBorder="1" applyAlignment="1">
      <alignment horizontal="center"/>
    </xf>
    <xf numFmtId="49" fontId="1" fillId="2" borderId="1" xfId="12" applyNumberFormat="1" applyFont="1" applyFill="1" applyBorder="1" applyAlignment="1">
      <alignment horizontal="center"/>
    </xf>
    <xf numFmtId="0" fontId="1" fillId="2" borderId="1" xfId="16" applyFont="1" applyFill="1" applyBorder="1" applyAlignment="1">
      <alignment horizontal="center" vertical="top"/>
    </xf>
    <xf numFmtId="49" fontId="3" fillId="2" borderId="3" xfId="0" applyNumberFormat="1" applyFont="1" applyFill="1" applyBorder="1" applyAlignment="1">
      <alignment wrapText="1"/>
    </xf>
    <xf numFmtId="49" fontId="3" fillId="2" borderId="1" xfId="0" applyNumberFormat="1" applyFont="1" applyFill="1" applyBorder="1" applyAlignment="1">
      <alignment horizontal="center" wrapText="1"/>
    </xf>
    <xf numFmtId="166" fontId="3" fillId="2" borderId="1" xfId="7" applyNumberFormat="1" applyFont="1" applyFill="1" applyBorder="1" applyAlignment="1">
      <alignment horizontal="right"/>
    </xf>
    <xf numFmtId="0" fontId="3" fillId="2" borderId="1" xfId="5" applyFont="1" applyFill="1" applyBorder="1" applyAlignment="1">
      <alignment horizontal="left" vertical="top" wrapText="1"/>
    </xf>
    <xf numFmtId="0" fontId="2" fillId="2" borderId="1" xfId="7" applyFont="1" applyFill="1" applyBorder="1" applyAlignment="1">
      <alignment vertical="top" wrapText="1"/>
    </xf>
    <xf numFmtId="0" fontId="1" fillId="2" borderId="1" xfId="7" applyFont="1" applyFill="1" applyBorder="1" applyAlignment="1">
      <alignment vertical="top" wrapText="1"/>
    </xf>
    <xf numFmtId="0" fontId="1" fillId="2" borderId="1" xfId="0" applyFont="1" applyFill="1" applyBorder="1" applyAlignment="1">
      <alignment horizontal="left" wrapText="1"/>
    </xf>
    <xf numFmtId="0" fontId="12" fillId="2" borderId="0" xfId="1" applyFont="1" applyFill="1"/>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1" fillId="2" borderId="0" xfId="3" applyFont="1" applyFill="1"/>
    <xf numFmtId="0" fontId="3" fillId="2" borderId="1" xfId="7" applyFont="1" applyFill="1" applyBorder="1" applyAlignment="1">
      <alignment horizontal="center"/>
    </xf>
    <xf numFmtId="1" fontId="3" fillId="2" borderId="1" xfId="7" applyNumberFormat="1" applyFont="1" applyFill="1" applyBorder="1" applyAlignment="1">
      <alignment horizontal="center"/>
    </xf>
    <xf numFmtId="0" fontId="2" fillId="2" borderId="1" xfId="3" applyFont="1" applyFill="1" applyBorder="1" applyAlignment="1">
      <alignment horizontal="center" vertical="top" wrapText="1"/>
    </xf>
    <xf numFmtId="0" fontId="4" fillId="2" borderId="1" xfId="3" applyFont="1" applyFill="1" applyBorder="1" applyAlignment="1">
      <alignment horizontal="center" vertical="top" wrapText="1"/>
    </xf>
    <xf numFmtId="0" fontId="2" fillId="2" borderId="1" xfId="3" applyFont="1" applyFill="1" applyBorder="1" applyAlignment="1">
      <alignment horizontal="center" vertical="top"/>
    </xf>
    <xf numFmtId="166" fontId="4" fillId="2" borderId="1" xfId="3" applyNumberFormat="1" applyFont="1" applyFill="1" applyBorder="1" applyAlignment="1">
      <alignment horizontal="right" wrapText="1"/>
    </xf>
    <xf numFmtId="0" fontId="3" fillId="2" borderId="1" xfId="3" applyFont="1" applyFill="1" applyBorder="1" applyAlignment="1">
      <alignment horizontal="center" vertical="top" wrapText="1"/>
    </xf>
    <xf numFmtId="0" fontId="1" fillId="2" borderId="1" xfId="3" applyFont="1" applyFill="1" applyBorder="1" applyAlignment="1">
      <alignment horizontal="center" vertical="top"/>
    </xf>
    <xf numFmtId="49" fontId="3" fillId="2" borderId="1" xfId="9" applyNumberFormat="1" applyFont="1" applyFill="1" applyBorder="1" applyAlignment="1">
      <alignment wrapText="1"/>
    </xf>
    <xf numFmtId="166" fontId="2" fillId="2" borderId="1" xfId="3" applyNumberFormat="1" applyFont="1" applyFill="1" applyBorder="1" applyAlignment="1"/>
    <xf numFmtId="0" fontId="13" fillId="2" borderId="1" xfId="3" applyFont="1" applyFill="1" applyBorder="1" applyAlignment="1">
      <alignment vertical="top"/>
    </xf>
    <xf numFmtId="166" fontId="1" fillId="2" borderId="1" xfId="3" applyNumberFormat="1" applyFont="1" applyFill="1" applyBorder="1" applyAlignment="1"/>
    <xf numFmtId="49" fontId="3" fillId="2" borderId="1" xfId="7" applyNumberFormat="1" applyFont="1" applyFill="1" applyBorder="1" applyAlignment="1">
      <alignment horizontal="center"/>
    </xf>
    <xf numFmtId="49" fontId="3" fillId="2" borderId="1" xfId="7" applyNumberFormat="1" applyFont="1" applyFill="1" applyBorder="1" applyAlignment="1">
      <alignment horizontal="left" wrapText="1"/>
    </xf>
    <xf numFmtId="49" fontId="3" fillId="2" borderId="1" xfId="7" applyNumberFormat="1" applyFont="1" applyFill="1" applyBorder="1" applyAlignment="1">
      <alignment horizontal="center" wrapText="1"/>
    </xf>
    <xf numFmtId="49" fontId="2" fillId="2" borderId="2" xfId="7" applyNumberFormat="1" applyFont="1" applyFill="1" applyBorder="1" applyAlignment="1">
      <alignment horizontal="center"/>
    </xf>
    <xf numFmtId="49" fontId="1" fillId="2" borderId="1" xfId="7" applyNumberFormat="1" applyFont="1" applyFill="1" applyBorder="1" applyAlignment="1">
      <alignment horizontal="center" wrapText="1"/>
    </xf>
    <xf numFmtId="170" fontId="1" fillId="2" borderId="0" xfId="7" applyNumberFormat="1" applyFont="1" applyFill="1" applyBorder="1" applyAlignment="1">
      <alignment horizontal="right"/>
    </xf>
    <xf numFmtId="0" fontId="3" fillId="2" borderId="9" xfId="3" applyFont="1" applyFill="1" applyBorder="1" applyAlignment="1">
      <alignment horizontal="center" wrapText="1"/>
    </xf>
    <xf numFmtId="0" fontId="3" fillId="2" borderId="1" xfId="3" applyFont="1" applyFill="1" applyBorder="1" applyAlignment="1">
      <alignment horizontal="center" wrapText="1"/>
    </xf>
    <xf numFmtId="0" fontId="4" fillId="2" borderId="5" xfId="3" applyFont="1" applyFill="1" applyBorder="1" applyAlignment="1">
      <alignment horizontal="center" vertical="top"/>
    </xf>
    <xf numFmtId="174" fontId="4" fillId="2" borderId="5" xfId="13" applyNumberFormat="1" applyFont="1" applyFill="1" applyBorder="1" applyAlignment="1">
      <alignment horizontal="right" vertical="center"/>
    </xf>
    <xf numFmtId="0" fontId="4" fillId="2" borderId="12" xfId="3" applyFont="1" applyFill="1" applyBorder="1" applyAlignment="1">
      <alignment horizontal="center" vertical="top"/>
    </xf>
    <xf numFmtId="0" fontId="3" fillId="2" borderId="12" xfId="3" applyFont="1" applyFill="1" applyBorder="1" applyAlignment="1">
      <alignment horizontal="center" vertical="top"/>
    </xf>
    <xf numFmtId="0" fontId="3" fillId="2" borderId="13" xfId="3" applyFont="1" applyFill="1" applyBorder="1" applyAlignment="1">
      <alignment horizontal="center" vertical="top"/>
    </xf>
    <xf numFmtId="0" fontId="3" fillId="2" borderId="0" xfId="3" applyFont="1" applyFill="1" applyBorder="1" applyAlignment="1">
      <alignment horizontal="center" vertical="top"/>
    </xf>
    <xf numFmtId="0" fontId="1" fillId="2" borderId="0" xfId="3" applyFont="1" applyFill="1" applyBorder="1" applyAlignment="1">
      <alignment wrapText="1"/>
    </xf>
    <xf numFmtId="174" fontId="1" fillId="2" borderId="0" xfId="3" applyNumberFormat="1" applyFont="1" applyFill="1" applyBorder="1" applyAlignment="1"/>
    <xf numFmtId="166" fontId="4" fillId="2" borderId="1" xfId="7" applyNumberFormat="1" applyFont="1" applyFill="1" applyBorder="1" applyAlignment="1">
      <alignment horizontal="right"/>
    </xf>
    <xf numFmtId="166" fontId="3" fillId="2" borderId="1" xfId="0" applyNumberFormat="1" applyFont="1" applyFill="1" applyBorder="1"/>
    <xf numFmtId="166" fontId="2" fillId="2" borderId="1" xfId="19" applyNumberFormat="1" applyFont="1" applyFill="1" applyBorder="1" applyAlignment="1">
      <alignment horizontal="right" vertical="top"/>
    </xf>
    <xf numFmtId="166" fontId="1" fillId="2" borderId="1" xfId="19" applyNumberFormat="1" applyFont="1" applyFill="1" applyBorder="1" applyAlignment="1">
      <alignment horizontal="right"/>
    </xf>
    <xf numFmtId="166" fontId="1" fillId="2" borderId="23" xfId="14" applyNumberFormat="1" applyFont="1" applyFill="1" applyBorder="1" applyAlignment="1">
      <alignment horizontal="right"/>
    </xf>
    <xf numFmtId="166" fontId="1" fillId="2" borderId="1" xfId="16" applyNumberFormat="1" applyFont="1" applyFill="1" applyBorder="1" applyAlignment="1">
      <alignment horizontal="right"/>
    </xf>
    <xf numFmtId="0" fontId="1" fillId="2" borderId="0" xfId="1" applyFont="1" applyFill="1" applyBorder="1" applyAlignment="1">
      <alignment wrapText="1"/>
    </xf>
    <xf numFmtId="0" fontId="1" fillId="2" borderId="1" xfId="1" applyFont="1" applyFill="1" applyBorder="1" applyAlignment="1">
      <alignment horizontal="center" vertical="top"/>
    </xf>
    <xf numFmtId="0" fontId="1" fillId="2" borderId="1" xfId="1" applyFont="1" applyFill="1" applyBorder="1" applyAlignment="1">
      <alignment vertical="top"/>
    </xf>
    <xf numFmtId="0" fontId="1" fillId="2" borderId="0" xfId="7" applyFont="1" applyFill="1" applyBorder="1"/>
    <xf numFmtId="0" fontId="1" fillId="2" borderId="0" xfId="7" applyFont="1" applyFill="1" applyAlignment="1">
      <alignment wrapText="1"/>
    </xf>
    <xf numFmtId="166" fontId="1" fillId="2" borderId="21" xfId="16" applyNumberFormat="1" applyFont="1" applyFill="1" applyBorder="1" applyAlignment="1">
      <alignment horizontal="right"/>
    </xf>
    <xf numFmtId="0" fontId="3" fillId="2" borderId="0" xfId="0" applyFont="1" applyFill="1" applyAlignment="1"/>
    <xf numFmtId="0" fontId="4" fillId="2" borderId="1" xfId="0" applyFont="1" applyFill="1" applyBorder="1" applyAlignment="1">
      <alignment vertical="top"/>
    </xf>
    <xf numFmtId="166" fontId="4" fillId="2" borderId="1" xfId="0" applyNumberFormat="1" applyFont="1" applyFill="1" applyBorder="1" applyAlignment="1">
      <alignment vertical="top"/>
    </xf>
    <xf numFmtId="0" fontId="1" fillId="2" borderId="1" xfId="1" applyFont="1" applyFill="1" applyBorder="1" applyAlignment="1">
      <alignment wrapText="1"/>
    </xf>
    <xf numFmtId="0" fontId="1" fillId="2" borderId="0" xfId="7" applyFont="1" applyFill="1"/>
    <xf numFmtId="166" fontId="1" fillId="2" borderId="19" xfId="16" applyNumberFormat="1" applyFont="1" applyFill="1" applyBorder="1" applyAlignment="1">
      <alignment horizontal="right"/>
    </xf>
    <xf numFmtId="0" fontId="1" fillId="2" borderId="1" xfId="0" applyFont="1" applyFill="1" applyBorder="1"/>
    <xf numFmtId="49" fontId="1" fillId="2" borderId="31" xfId="16" applyNumberFormat="1" applyFont="1" applyFill="1" applyBorder="1" applyAlignment="1">
      <alignment horizontal="center"/>
    </xf>
    <xf numFmtId="49" fontId="1" fillId="2" borderId="23" xfId="11" applyNumberFormat="1" applyFont="1" applyFill="1" applyBorder="1" applyAlignment="1">
      <alignment horizontal="center"/>
    </xf>
    <xf numFmtId="49" fontId="1" fillId="2" borderId="33" xfId="12" applyNumberFormat="1" applyFont="1" applyFill="1" applyBorder="1" applyAlignment="1">
      <alignment horizontal="center"/>
    </xf>
    <xf numFmtId="166" fontId="1" fillId="2" borderId="32" xfId="16" applyNumberFormat="1" applyFont="1" applyFill="1" applyBorder="1" applyAlignment="1">
      <alignment horizontal="right"/>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wrapText="1"/>
    </xf>
    <xf numFmtId="0" fontId="1" fillId="2" borderId="1" xfId="1" applyFont="1" applyFill="1" applyBorder="1" applyAlignment="1">
      <alignment horizontal="center"/>
    </xf>
    <xf numFmtId="0" fontId="3" fillId="2" borderId="0" xfId="3" applyFont="1" applyFill="1"/>
    <xf numFmtId="168" fontId="3" fillId="2" borderId="0" xfId="3" applyNumberFormat="1" applyFont="1" applyFill="1"/>
    <xf numFmtId="170" fontId="3" fillId="2" borderId="0" xfId="1" applyNumberFormat="1" applyFont="1" applyFill="1" applyAlignment="1">
      <alignment horizontal="right"/>
    </xf>
    <xf numFmtId="0" fontId="3" fillId="2" borderId="1" xfId="3" applyFont="1" applyFill="1" applyBorder="1"/>
    <xf numFmtId="0" fontId="4" fillId="2" borderId="1" xfId="3" applyFont="1" applyFill="1" applyBorder="1" applyAlignment="1"/>
    <xf numFmtId="166" fontId="4" fillId="2" borderId="1" xfId="10" applyNumberFormat="1" applyFont="1" applyFill="1" applyBorder="1" applyAlignment="1">
      <alignment horizontal="right" wrapText="1"/>
    </xf>
    <xf numFmtId="166" fontId="3" fillId="2" borderId="0" xfId="3" applyNumberFormat="1" applyFont="1" applyFill="1"/>
    <xf numFmtId="0" fontId="3" fillId="2" borderId="1" xfId="3" applyFont="1" applyFill="1" applyBorder="1" applyAlignment="1">
      <alignment horizontal="left"/>
    </xf>
    <xf numFmtId="49" fontId="4" fillId="2" borderId="1" xfId="3" applyNumberFormat="1" applyFont="1" applyFill="1" applyBorder="1" applyAlignment="1">
      <alignment horizontal="center" vertical="top"/>
    </xf>
    <xf numFmtId="0" fontId="4" fillId="2" borderId="1" xfId="3" applyFont="1" applyFill="1" applyBorder="1" applyAlignment="1">
      <alignment wrapText="1"/>
    </xf>
    <xf numFmtId="0" fontId="4" fillId="2" borderId="0" xfId="3" applyFont="1" applyFill="1"/>
    <xf numFmtId="0" fontId="4" fillId="2" borderId="1" xfId="3" applyFont="1" applyFill="1" applyBorder="1" applyAlignment="1">
      <alignment horizontal="center" vertical="top"/>
    </xf>
    <xf numFmtId="0" fontId="3" fillId="2" borderId="1" xfId="3" applyFont="1" applyFill="1" applyBorder="1" applyAlignment="1">
      <alignment horizontal="center" vertical="top"/>
    </xf>
    <xf numFmtId="0" fontId="3" fillId="2" borderId="1" xfId="3" applyFont="1" applyFill="1" applyBorder="1" applyAlignment="1"/>
    <xf numFmtId="166" fontId="4" fillId="2" borderId="1" xfId="3" applyNumberFormat="1" applyFont="1" applyFill="1" applyBorder="1" applyAlignment="1"/>
    <xf numFmtId="0" fontId="3" fillId="2" borderId="1" xfId="3" applyFont="1" applyFill="1" applyBorder="1" applyAlignment="1">
      <alignment vertical="top"/>
    </xf>
    <xf numFmtId="166" fontId="3" fillId="2" borderId="1" xfId="3" applyNumberFormat="1" applyFont="1" applyFill="1" applyBorder="1" applyAlignment="1"/>
    <xf numFmtId="0" fontId="25" fillId="2" borderId="1" xfId="3" applyFont="1" applyFill="1" applyBorder="1"/>
    <xf numFmtId="49" fontId="4" fillId="2" borderId="0" xfId="7" applyNumberFormat="1" applyFont="1" applyFill="1" applyBorder="1" applyAlignment="1">
      <alignment vertical="top" wrapText="1"/>
    </xf>
    <xf numFmtId="49" fontId="3" fillId="2" borderId="0" xfId="7" applyNumberFormat="1" applyFont="1" applyFill="1" applyBorder="1" applyAlignment="1">
      <alignment horizontal="center"/>
    </xf>
    <xf numFmtId="168" fontId="3" fillId="2" borderId="0" xfId="7" applyNumberFormat="1" applyFont="1" applyFill="1"/>
    <xf numFmtId="0" fontId="3" fillId="2" borderId="0" xfId="7" applyFont="1" applyFill="1"/>
    <xf numFmtId="0" fontId="3" fillId="2" borderId="1" xfId="3" applyFont="1" applyFill="1" applyBorder="1" applyAlignment="1">
      <alignment horizontal="center"/>
    </xf>
    <xf numFmtId="49" fontId="2" fillId="2" borderId="0" xfId="7" applyNumberFormat="1" applyFont="1" applyFill="1" applyBorder="1" applyAlignment="1">
      <alignment vertical="top" wrapText="1"/>
    </xf>
    <xf numFmtId="167" fontId="4" fillId="2" borderId="1" xfId="0" applyNumberFormat="1" applyFont="1" applyFill="1" applyBorder="1" applyAlignment="1">
      <alignment horizontal="right"/>
    </xf>
    <xf numFmtId="167" fontId="3"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167" fontId="1" fillId="2" borderId="1" xfId="1" applyNumberFormat="1" applyFont="1" applyFill="1" applyBorder="1" applyAlignment="1">
      <alignment horizontal="right"/>
    </xf>
    <xf numFmtId="167" fontId="3" fillId="2" borderId="1" xfId="0" applyNumberFormat="1" applyFont="1" applyFill="1" applyBorder="1" applyAlignment="1">
      <alignment horizontal="right" vertical="top"/>
    </xf>
    <xf numFmtId="167" fontId="1" fillId="2" borderId="1" xfId="0" applyNumberFormat="1" applyFont="1" applyFill="1" applyBorder="1" applyAlignment="1">
      <alignment horizontal="right" vertical="top"/>
    </xf>
    <xf numFmtId="0" fontId="11" fillId="2" borderId="0" xfId="7" applyFont="1" applyFill="1" applyAlignment="1">
      <alignment wrapText="1"/>
    </xf>
    <xf numFmtId="0" fontId="11" fillId="2" borderId="0" xfId="7" applyFont="1" applyFill="1" applyAlignment="1"/>
    <xf numFmtId="174" fontId="1" fillId="2" borderId="12" xfId="19" applyNumberFormat="1" applyFont="1" applyFill="1" applyBorder="1" applyAlignment="1">
      <alignment vertical="top"/>
    </xf>
    <xf numFmtId="174" fontId="3" fillId="2" borderId="12" xfId="0" applyNumberFormat="1" applyFont="1" applyFill="1" applyBorder="1"/>
    <xf numFmtId="174" fontId="3" fillId="2" borderId="12" xfId="0" applyNumberFormat="1" applyFont="1" applyFill="1" applyBorder="1" applyAlignment="1">
      <alignment vertical="top"/>
    </xf>
    <xf numFmtId="174" fontId="3" fillId="2" borderId="13" xfId="0" applyNumberFormat="1" applyFont="1" applyFill="1" applyBorder="1" applyAlignment="1">
      <alignment vertical="top"/>
    </xf>
    <xf numFmtId="0" fontId="4" fillId="2" borderId="6" xfId="3" applyFont="1" applyFill="1" applyBorder="1" applyAlignment="1">
      <alignment vertical="top" wrapText="1"/>
    </xf>
    <xf numFmtId="0" fontId="3" fillId="2" borderId="5" xfId="3" applyFont="1" applyFill="1" applyBorder="1" applyAlignment="1">
      <alignment horizontal="center" wrapText="1"/>
    </xf>
    <xf numFmtId="174" fontId="4" fillId="2" borderId="12" xfId="13" applyNumberFormat="1" applyFont="1" applyFill="1" applyBorder="1" applyAlignment="1">
      <alignment horizontal="right" vertical="center"/>
    </xf>
    <xf numFmtId="0" fontId="1" fillId="2" borderId="7" xfId="1" applyFont="1" applyFill="1" applyBorder="1" applyAlignment="1">
      <alignment vertical="top"/>
    </xf>
    <xf numFmtId="0" fontId="2" fillId="2" borderId="7" xfId="7" applyFont="1" applyFill="1" applyBorder="1" applyAlignment="1">
      <alignment vertical="top" wrapText="1"/>
    </xf>
    <xf numFmtId="167" fontId="2" fillId="2" borderId="7" xfId="10" applyNumberFormat="1" applyFont="1" applyFill="1" applyBorder="1" applyAlignment="1">
      <alignment vertical="top"/>
    </xf>
    <xf numFmtId="166" fontId="6" fillId="2" borderId="1" xfId="1" applyNumberFormat="1" applyFont="1" applyFill="1" applyBorder="1" applyAlignment="1">
      <alignment vertical="top"/>
    </xf>
    <xf numFmtId="0" fontId="6" fillId="2" borderId="1" xfId="0" applyFont="1" applyFill="1" applyBorder="1" applyAlignment="1">
      <alignment vertical="top"/>
    </xf>
    <xf numFmtId="0" fontId="6" fillId="2" borderId="1" xfId="5" applyFont="1" applyFill="1" applyBorder="1" applyAlignment="1">
      <alignment vertical="top" wrapText="1"/>
    </xf>
    <xf numFmtId="49" fontId="1" fillId="2" borderId="1" xfId="11" applyNumberFormat="1" applyFont="1" applyFill="1" applyBorder="1" applyAlignment="1">
      <alignment horizontal="center" wrapText="1"/>
    </xf>
    <xf numFmtId="49" fontId="1" fillId="2" borderId="1" xfId="11" applyNumberFormat="1" applyFont="1" applyFill="1" applyBorder="1" applyAlignment="1">
      <alignment horizontal="center"/>
    </xf>
    <xf numFmtId="0" fontId="11" fillId="2" borderId="0" xfId="7" applyFont="1" applyFill="1" applyAlignment="1">
      <alignment horizontal="center"/>
    </xf>
    <xf numFmtId="166" fontId="11" fillId="2" borderId="0" xfId="7" applyNumberFormat="1" applyFont="1" applyFill="1"/>
    <xf numFmtId="0" fontId="11" fillId="2" borderId="0" xfId="7" applyFont="1" applyFill="1" applyBorder="1" applyAlignment="1">
      <alignment horizontal="center" vertical="top"/>
    </xf>
    <xf numFmtId="168" fontId="3" fillId="2" borderId="0" xfId="7" applyNumberFormat="1" applyFont="1" applyFill="1" applyBorder="1" applyAlignment="1">
      <alignment horizontal="right"/>
    </xf>
    <xf numFmtId="168" fontId="3" fillId="2" borderId="1" xfId="3" applyNumberFormat="1" applyFont="1" applyFill="1" applyBorder="1" applyAlignment="1">
      <alignment horizontal="center" vertical="center"/>
    </xf>
    <xf numFmtId="49" fontId="3" fillId="2" borderId="1" xfId="7" applyNumberFormat="1" applyFont="1" applyFill="1" applyBorder="1" applyAlignment="1">
      <alignment horizontal="center" vertical="top" wrapText="1"/>
    </xf>
    <xf numFmtId="0" fontId="3" fillId="2" borderId="1" xfId="7" applyFont="1" applyFill="1" applyBorder="1" applyAlignment="1">
      <alignment horizontal="center" vertical="top"/>
    </xf>
    <xf numFmtId="49" fontId="4" fillId="2" borderId="1" xfId="7" applyNumberFormat="1" applyFont="1" applyFill="1" applyBorder="1" applyAlignment="1">
      <alignment horizontal="left" vertical="top" wrapText="1"/>
    </xf>
    <xf numFmtId="49" fontId="3" fillId="2" borderId="9" xfId="7" applyNumberFormat="1" applyFont="1" applyFill="1" applyBorder="1" applyAlignment="1">
      <alignment horizontal="center" vertical="top"/>
    </xf>
    <xf numFmtId="49" fontId="3" fillId="2" borderId="1" xfId="7" applyNumberFormat="1" applyFont="1" applyFill="1" applyBorder="1" applyAlignment="1">
      <alignment horizontal="center" vertical="top"/>
    </xf>
    <xf numFmtId="166" fontId="4" fillId="2" borderId="1" xfId="7" applyNumberFormat="1" applyFont="1" applyFill="1" applyBorder="1" applyAlignment="1">
      <alignment horizontal="right" vertical="top"/>
    </xf>
    <xf numFmtId="172" fontId="28" fillId="2" borderId="0" xfId="7" applyNumberFormat="1" applyFont="1" applyFill="1"/>
    <xf numFmtId="0" fontId="4" fillId="2" borderId="1" xfId="5" applyFont="1" applyFill="1" applyBorder="1" applyAlignment="1">
      <alignment horizontal="center" vertical="top"/>
    </xf>
    <xf numFmtId="49" fontId="4" fillId="2" borderId="4" xfId="7" applyNumberFormat="1" applyFont="1" applyFill="1" applyBorder="1" applyAlignment="1">
      <alignment horizontal="center"/>
    </xf>
    <xf numFmtId="49" fontId="4" fillId="2" borderId="10" xfId="7" applyNumberFormat="1" applyFont="1" applyFill="1" applyBorder="1" applyAlignment="1">
      <alignment horizontal="center"/>
    </xf>
    <xf numFmtId="49" fontId="4" fillId="2" borderId="1" xfId="7" applyNumberFormat="1" applyFont="1" applyFill="1" applyBorder="1" applyAlignment="1">
      <alignment horizontal="center"/>
    </xf>
    <xf numFmtId="0" fontId="10" fillId="2" borderId="0" xfId="7" applyFont="1" applyFill="1"/>
    <xf numFmtId="49" fontId="3" fillId="2" borderId="17" xfId="11" applyNumberFormat="1" applyFont="1" applyFill="1" applyBorder="1" applyAlignment="1">
      <alignment horizontal="center"/>
    </xf>
    <xf numFmtId="49" fontId="3" fillId="2" borderId="18" xfId="16" applyNumberFormat="1" applyFont="1" applyFill="1" applyBorder="1" applyAlignment="1">
      <alignment horizontal="center"/>
    </xf>
    <xf numFmtId="49" fontId="3" fillId="2" borderId="19" xfId="16" applyNumberFormat="1" applyFont="1" applyFill="1" applyBorder="1" applyAlignment="1">
      <alignment horizontal="center" wrapText="1"/>
    </xf>
    <xf numFmtId="49" fontId="3" fillId="2" borderId="16" xfId="16" applyNumberFormat="1" applyFont="1" applyFill="1" applyBorder="1" applyAlignment="1">
      <alignment horizontal="center"/>
    </xf>
    <xf numFmtId="0" fontId="4" fillId="2" borderId="1" xfId="7" applyFont="1" applyFill="1" applyBorder="1" applyAlignment="1">
      <alignment horizontal="center" vertical="top"/>
    </xf>
    <xf numFmtId="49" fontId="4" fillId="2" borderId="9" xfId="7" applyNumberFormat="1" applyFont="1" applyFill="1" applyBorder="1" applyAlignment="1">
      <alignment horizontal="center"/>
    </xf>
    <xf numFmtId="49" fontId="4" fillId="2" borderId="3" xfId="7" applyNumberFormat="1" applyFont="1" applyFill="1" applyBorder="1" applyAlignment="1">
      <alignment horizontal="center"/>
    </xf>
    <xf numFmtId="49" fontId="3" fillId="2" borderId="2" xfId="6" applyNumberFormat="1" applyFont="1" applyFill="1" applyBorder="1" applyAlignment="1">
      <alignment horizontal="center"/>
    </xf>
    <xf numFmtId="49" fontId="3" fillId="2" borderId="9" xfId="6" applyNumberFormat="1" applyFont="1" applyFill="1" applyBorder="1" applyAlignment="1">
      <alignment horizontal="center"/>
    </xf>
    <xf numFmtId="49" fontId="3" fillId="2" borderId="3" xfId="6" applyNumberFormat="1" applyFont="1" applyFill="1" applyBorder="1" applyAlignment="1">
      <alignment horizontal="center"/>
    </xf>
    <xf numFmtId="49" fontId="3" fillId="2" borderId="1" xfId="6" applyNumberFormat="1" applyFont="1" applyFill="1" applyBorder="1" applyAlignment="1">
      <alignment horizontal="center"/>
    </xf>
    <xf numFmtId="49" fontId="3" fillId="2" borderId="4" xfId="7" applyNumberFormat="1" applyFont="1" applyFill="1" applyBorder="1" applyAlignment="1">
      <alignment horizontal="center"/>
    </xf>
    <xf numFmtId="49" fontId="3" fillId="2" borderId="11" xfId="7" applyNumberFormat="1" applyFont="1" applyFill="1" applyBorder="1" applyAlignment="1">
      <alignment horizontal="center"/>
    </xf>
    <xf numFmtId="49" fontId="3" fillId="2" borderId="10" xfId="7" applyNumberFormat="1" applyFont="1" applyFill="1" applyBorder="1" applyAlignment="1">
      <alignment horizontal="center"/>
    </xf>
    <xf numFmtId="0" fontId="3" fillId="2" borderId="1" xfId="5" applyFont="1" applyFill="1" applyBorder="1" applyAlignment="1">
      <alignment horizontal="center" vertical="top"/>
    </xf>
    <xf numFmtId="49" fontId="3" fillId="2" borderId="9" xfId="5" applyNumberFormat="1" applyFont="1" applyFill="1" applyBorder="1" applyAlignment="1">
      <alignment horizontal="center"/>
    </xf>
    <xf numFmtId="49" fontId="3" fillId="2" borderId="14" xfId="0" applyNumberFormat="1" applyFont="1" applyFill="1" applyBorder="1" applyAlignment="1">
      <alignment horizontal="center"/>
    </xf>
    <xf numFmtId="49" fontId="3" fillId="2" borderId="4" xfId="0" applyNumberFormat="1" applyFont="1" applyFill="1" applyBorder="1" applyAlignment="1">
      <alignment horizontal="center"/>
    </xf>
    <xf numFmtId="49" fontId="3" fillId="2" borderId="10" xfId="0" applyNumberFormat="1" applyFont="1" applyFill="1" applyBorder="1" applyAlignment="1">
      <alignment horizontal="center"/>
    </xf>
    <xf numFmtId="49" fontId="4" fillId="2" borderId="9" xfId="6" applyNumberFormat="1" applyFont="1" applyFill="1" applyBorder="1" applyAlignment="1">
      <alignment horizontal="center"/>
    </xf>
    <xf numFmtId="168" fontId="4" fillId="2" borderId="1" xfId="7" applyNumberFormat="1" applyFont="1" applyFill="1" applyBorder="1" applyAlignment="1">
      <alignment horizontal="center"/>
    </xf>
    <xf numFmtId="49" fontId="3" fillId="2" borderId="25" xfId="11" applyNumberFormat="1" applyFont="1" applyFill="1" applyBorder="1" applyAlignment="1">
      <alignment horizontal="center"/>
    </xf>
    <xf numFmtId="49" fontId="3" fillId="2" borderId="20" xfId="16" applyNumberFormat="1" applyFont="1" applyFill="1" applyBorder="1" applyAlignment="1">
      <alignment horizontal="center"/>
    </xf>
    <xf numFmtId="49" fontId="3" fillId="2" borderId="26" xfId="16" applyNumberFormat="1" applyFont="1" applyFill="1" applyBorder="1" applyAlignment="1">
      <alignment horizontal="center"/>
    </xf>
    <xf numFmtId="49" fontId="3" fillId="2" borderId="19" xfId="16" applyNumberFormat="1" applyFont="1" applyFill="1" applyBorder="1" applyAlignment="1">
      <alignment horizontal="center"/>
    </xf>
    <xf numFmtId="49" fontId="3" fillId="2" borderId="3" xfId="5" applyNumberFormat="1" applyFont="1" applyFill="1" applyBorder="1" applyAlignment="1">
      <alignment horizontal="center"/>
    </xf>
    <xf numFmtId="49" fontId="3" fillId="2" borderId="1" xfId="5" applyNumberFormat="1" applyFont="1" applyFill="1" applyBorder="1" applyAlignment="1">
      <alignment horizontal="center"/>
    </xf>
    <xf numFmtId="49" fontId="3" fillId="2" borderId="6" xfId="6" applyNumberFormat="1" applyFont="1" applyFill="1" applyBorder="1" applyAlignment="1">
      <alignment horizontal="center"/>
    </xf>
    <xf numFmtId="49" fontId="3" fillId="2" borderId="7" xfId="5" applyNumberFormat="1" applyFont="1" applyFill="1" applyBorder="1" applyAlignment="1">
      <alignment horizontal="center"/>
    </xf>
    <xf numFmtId="49" fontId="3" fillId="2" borderId="8" xfId="5" applyNumberFormat="1" applyFont="1" applyFill="1" applyBorder="1" applyAlignment="1">
      <alignment horizontal="center"/>
    </xf>
    <xf numFmtId="49" fontId="3" fillId="2" borderId="17" xfId="6" applyNumberFormat="1" applyFont="1" applyFill="1" applyBorder="1" applyAlignment="1">
      <alignment horizontal="center"/>
    </xf>
    <xf numFmtId="49" fontId="3" fillId="2" borderId="0" xfId="16" applyNumberFormat="1" applyFont="1" applyFill="1" applyBorder="1" applyAlignment="1">
      <alignment horizontal="center"/>
    </xf>
    <xf numFmtId="49" fontId="3" fillId="2" borderId="18" xfId="14" applyNumberFormat="1" applyFont="1" applyFill="1" applyBorder="1" applyAlignment="1">
      <alignment horizontal="center"/>
    </xf>
    <xf numFmtId="49" fontId="3" fillId="2" borderId="19" xfId="14" applyNumberFormat="1" applyFont="1" applyFill="1" applyBorder="1" applyAlignment="1">
      <alignment horizontal="center"/>
    </xf>
    <xf numFmtId="49" fontId="3" fillId="2" borderId="21" xfId="14" applyNumberFormat="1" applyFont="1" applyFill="1" applyBorder="1" applyAlignment="1">
      <alignment horizontal="center"/>
    </xf>
    <xf numFmtId="49" fontId="3" fillId="2" borderId="18" xfId="6" applyNumberFormat="1" applyFont="1" applyFill="1" applyBorder="1" applyAlignment="1">
      <alignment horizontal="center"/>
    </xf>
    <xf numFmtId="49" fontId="3" fillId="2" borderId="16" xfId="14" applyNumberFormat="1" applyFont="1" applyFill="1" applyBorder="1" applyAlignment="1">
      <alignment horizontal="center"/>
    </xf>
    <xf numFmtId="49" fontId="3" fillId="2" borderId="20" xfId="14" applyNumberFormat="1" applyFont="1" applyFill="1" applyBorder="1" applyAlignment="1">
      <alignment horizontal="center"/>
    </xf>
    <xf numFmtId="49" fontId="3" fillId="2" borderId="26" xfId="14" applyNumberFormat="1" applyFont="1" applyFill="1" applyBorder="1" applyAlignment="1">
      <alignment horizontal="center"/>
    </xf>
    <xf numFmtId="49" fontId="3" fillId="2" borderId="23" xfId="14" applyNumberFormat="1" applyFont="1" applyFill="1" applyBorder="1" applyAlignment="1">
      <alignment horizontal="center"/>
    </xf>
    <xf numFmtId="49" fontId="3" fillId="2" borderId="20" xfId="6" applyNumberFormat="1" applyFont="1" applyFill="1" applyBorder="1" applyAlignment="1">
      <alignment horizontal="center"/>
    </xf>
    <xf numFmtId="49" fontId="3" fillId="2" borderId="2" xfId="11" applyNumberFormat="1" applyFont="1" applyFill="1" applyBorder="1" applyAlignment="1">
      <alignment horizontal="center"/>
    </xf>
    <xf numFmtId="49" fontId="3" fillId="2" borderId="3" xfId="5" applyNumberFormat="1" applyFont="1" applyFill="1" applyBorder="1" applyAlignment="1">
      <alignment horizontal="center" wrapText="1"/>
    </xf>
    <xf numFmtId="49" fontId="3" fillId="2" borderId="17" xfId="5" applyNumberFormat="1" applyFont="1" applyFill="1" applyBorder="1" applyAlignment="1">
      <alignment horizontal="center"/>
    </xf>
    <xf numFmtId="49" fontId="3" fillId="2" borderId="18" xfId="5" applyNumberFormat="1" applyFont="1" applyFill="1" applyBorder="1" applyAlignment="1">
      <alignment horizontal="center"/>
    </xf>
    <xf numFmtId="49" fontId="3" fillId="2" borderId="19" xfId="5" applyNumberFormat="1" applyFont="1" applyFill="1" applyBorder="1" applyAlignment="1">
      <alignment horizontal="center"/>
    </xf>
    <xf numFmtId="49" fontId="3" fillId="2" borderId="16" xfId="5" applyNumberFormat="1" applyFont="1" applyFill="1" applyBorder="1" applyAlignment="1">
      <alignment horizontal="center"/>
    </xf>
    <xf numFmtId="49" fontId="4" fillId="2" borderId="1" xfId="6"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9" xfId="0" applyNumberFormat="1" applyFont="1" applyFill="1" applyBorder="1" applyAlignment="1">
      <alignment horizontal="center"/>
    </xf>
    <xf numFmtId="49" fontId="4" fillId="2" borderId="3" xfId="0" applyNumberFormat="1" applyFont="1" applyFill="1" applyBorder="1" applyAlignment="1">
      <alignment horizontal="center"/>
    </xf>
    <xf numFmtId="166" fontId="3" fillId="2" borderId="1" xfId="7" applyNumberFormat="1" applyFont="1" applyFill="1" applyBorder="1"/>
    <xf numFmtId="49" fontId="3" fillId="2" borderId="0" xfId="0" applyNumberFormat="1" applyFont="1" applyFill="1" applyBorder="1" applyAlignment="1">
      <alignment horizontal="left" vertical="top" wrapText="1"/>
    </xf>
    <xf numFmtId="166" fontId="3" fillId="2" borderId="0" xfId="7" applyNumberFormat="1" applyFont="1" applyFill="1" applyBorder="1"/>
    <xf numFmtId="166" fontId="11" fillId="2" borderId="0" xfId="7" applyNumberFormat="1" applyFont="1" applyFill="1" applyAlignment="1">
      <alignment horizontal="center"/>
    </xf>
    <xf numFmtId="49" fontId="11" fillId="2" borderId="0" xfId="7" applyNumberFormat="1" applyFont="1" applyFill="1" applyAlignment="1">
      <alignment vertical="top" wrapText="1"/>
    </xf>
    <xf numFmtId="49" fontId="11" fillId="2" borderId="0" xfId="7" applyNumberFormat="1" applyFont="1" applyFill="1" applyAlignment="1">
      <alignment horizontal="center"/>
    </xf>
    <xf numFmtId="49" fontId="1" fillId="2" borderId="3" xfId="7" applyNumberFormat="1" applyFont="1" applyFill="1" applyBorder="1" applyAlignment="1">
      <alignment horizontal="center"/>
    </xf>
    <xf numFmtId="166" fontId="3" fillId="2" borderId="4" xfId="7" applyNumberFormat="1" applyFont="1" applyFill="1" applyBorder="1" applyAlignment="1">
      <alignment horizontal="right"/>
    </xf>
    <xf numFmtId="166" fontId="3" fillId="2" borderId="1" xfId="7" applyNumberFormat="1" applyFont="1" applyFill="1" applyBorder="1" applyAlignment="1">
      <alignment horizontal="center" vertical="center"/>
    </xf>
    <xf numFmtId="175" fontId="28" fillId="2" borderId="0" xfId="7" applyNumberFormat="1" applyFont="1" applyFill="1"/>
    <xf numFmtId="0" fontId="11" fillId="2" borderId="1" xfId="7" applyFont="1" applyFill="1" applyBorder="1" applyAlignment="1">
      <alignment horizontal="center" vertical="top"/>
    </xf>
    <xf numFmtId="166" fontId="3" fillId="2" borderId="1" xfId="7" applyNumberFormat="1" applyFont="1" applyFill="1" applyBorder="1" applyAlignment="1"/>
    <xf numFmtId="49" fontId="3" fillId="2" borderId="6" xfId="11" applyNumberFormat="1" applyFont="1" applyFill="1" applyBorder="1" applyAlignment="1">
      <alignment horizontal="center"/>
    </xf>
    <xf numFmtId="49" fontId="3" fillId="2" borderId="30" xfId="6" applyNumberFormat="1" applyFont="1" applyFill="1" applyBorder="1" applyAlignment="1">
      <alignment horizontal="center"/>
    </xf>
    <xf numFmtId="49" fontId="3" fillId="2" borderId="33" xfId="14" applyNumberFormat="1" applyFont="1" applyFill="1" applyBorder="1" applyAlignment="1">
      <alignment horizontal="center"/>
    </xf>
    <xf numFmtId="49" fontId="3" fillId="2" borderId="22" xfId="14" applyNumberFormat="1" applyFont="1" applyFill="1" applyBorder="1" applyAlignment="1">
      <alignment horizontal="center"/>
    </xf>
    <xf numFmtId="166" fontId="3" fillId="2" borderId="13" xfId="7" applyNumberFormat="1" applyFont="1" applyFill="1" applyBorder="1" applyAlignment="1">
      <alignment horizontal="right"/>
    </xf>
    <xf numFmtId="49" fontId="3" fillId="2" borderId="24" xfId="6" applyNumberFormat="1" applyFont="1" applyFill="1" applyBorder="1" applyAlignment="1">
      <alignment horizontal="center"/>
    </xf>
    <xf numFmtId="49" fontId="3" fillId="2" borderId="9" xfId="14" applyNumberFormat="1" applyFont="1" applyFill="1" applyBorder="1" applyAlignment="1">
      <alignment horizontal="center"/>
    </xf>
    <xf numFmtId="49" fontId="3" fillId="2" borderId="3" xfId="14" applyNumberFormat="1" applyFont="1" applyFill="1" applyBorder="1" applyAlignment="1">
      <alignment horizontal="center"/>
    </xf>
    <xf numFmtId="49" fontId="3" fillId="2" borderId="1" xfId="14" applyNumberFormat="1" applyFont="1" applyFill="1" applyBorder="1" applyAlignment="1">
      <alignment horizontal="center"/>
    </xf>
    <xf numFmtId="49" fontId="3" fillId="2" borderId="7" xfId="14" applyNumberFormat="1" applyFont="1" applyFill="1" applyBorder="1" applyAlignment="1">
      <alignment horizontal="center"/>
    </xf>
    <xf numFmtId="49" fontId="3" fillId="2" borderId="8" xfId="14" applyNumberFormat="1" applyFont="1" applyFill="1" applyBorder="1" applyAlignment="1">
      <alignment horizontal="center"/>
    </xf>
    <xf numFmtId="49" fontId="3" fillId="2" borderId="34" xfId="11" applyNumberFormat="1" applyFont="1" applyFill="1" applyBorder="1" applyAlignment="1">
      <alignment horizontal="center"/>
    </xf>
    <xf numFmtId="49" fontId="3" fillId="2" borderId="35" xfId="16" applyNumberFormat="1" applyFont="1" applyFill="1" applyBorder="1" applyAlignment="1">
      <alignment horizontal="center"/>
    </xf>
    <xf numFmtId="49" fontId="3" fillId="2" borderId="36" xfId="16" applyNumberFormat="1" applyFont="1" applyFill="1" applyBorder="1" applyAlignment="1">
      <alignment horizontal="center" wrapText="1"/>
    </xf>
    <xf numFmtId="49" fontId="3" fillId="2" borderId="21" xfId="16" applyNumberFormat="1" applyFont="1" applyFill="1" applyBorder="1" applyAlignment="1">
      <alignment horizontal="center"/>
    </xf>
    <xf numFmtId="0" fontId="4" fillId="2" borderId="5" xfId="7" applyFont="1" applyFill="1" applyBorder="1" applyAlignment="1">
      <alignment horizontal="center" vertical="top"/>
    </xf>
    <xf numFmtId="49" fontId="3" fillId="2" borderId="23" xfId="16" applyNumberFormat="1" applyFont="1" applyFill="1" applyBorder="1" applyAlignment="1">
      <alignment horizontal="center"/>
    </xf>
    <xf numFmtId="166" fontId="3" fillId="2" borderId="5" xfId="7" applyNumberFormat="1" applyFont="1" applyFill="1" applyBorder="1" applyAlignment="1">
      <alignment horizontal="right"/>
    </xf>
    <xf numFmtId="49" fontId="3" fillId="2" borderId="1" xfId="16" applyNumberFormat="1" applyFont="1" applyFill="1" applyBorder="1" applyAlignment="1">
      <alignment horizontal="center"/>
    </xf>
    <xf numFmtId="0" fontId="3" fillId="2" borderId="0" xfId="7" applyFont="1" applyFill="1" applyBorder="1" applyAlignment="1">
      <alignment horizontal="center" vertical="top"/>
    </xf>
    <xf numFmtId="49" fontId="3" fillId="2" borderId="0" xfId="0" applyNumberFormat="1" applyFont="1" applyFill="1" applyBorder="1" applyAlignment="1">
      <alignment wrapText="1"/>
    </xf>
    <xf numFmtId="166" fontId="3" fillId="2" borderId="0" xfId="7" applyNumberFormat="1" applyFont="1" applyFill="1" applyBorder="1" applyAlignment="1">
      <alignment horizontal="right"/>
    </xf>
    <xf numFmtId="166" fontId="1" fillId="2" borderId="1" xfId="14" applyNumberFormat="1" applyFont="1" applyFill="1" applyBorder="1" applyAlignment="1">
      <alignment horizontal="right"/>
    </xf>
    <xf numFmtId="166" fontId="3" fillId="2" borderId="1" xfId="5" applyNumberFormat="1" applyFont="1" applyFill="1" applyBorder="1" applyAlignment="1">
      <alignment horizontal="right" wrapText="1"/>
    </xf>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2" borderId="8"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2" borderId="7" xfId="0" applyNumberFormat="1" applyFont="1" applyFill="1" applyBorder="1" applyAlignment="1">
      <alignment horizontal="center"/>
    </xf>
    <xf numFmtId="49" fontId="1" fillId="2" borderId="8" xfId="0" applyNumberFormat="1" applyFont="1" applyFill="1" applyBorder="1" applyAlignment="1">
      <alignment horizontal="center"/>
    </xf>
    <xf numFmtId="171" fontId="28" fillId="2" borderId="0" xfId="7" applyNumberFormat="1" applyFont="1" applyFill="1"/>
    <xf numFmtId="166" fontId="1" fillId="2" borderId="37" xfId="16" applyNumberFormat="1" applyFont="1" applyFill="1" applyBorder="1" applyAlignment="1">
      <alignment horizontal="right"/>
    </xf>
    <xf numFmtId="49" fontId="1" fillId="2" borderId="17" xfId="14" applyNumberFormat="1" applyFont="1" applyFill="1" applyBorder="1" applyAlignment="1">
      <alignment horizontal="center"/>
    </xf>
    <xf numFmtId="0" fontId="4" fillId="2" borderId="0" xfId="0" applyFont="1" applyFill="1" applyAlignment="1">
      <alignment horizontal="center"/>
    </xf>
    <xf numFmtId="166" fontId="1" fillId="2" borderId="26" xfId="16" applyNumberFormat="1" applyFont="1" applyFill="1" applyBorder="1" applyAlignment="1">
      <alignment horizontal="right"/>
    </xf>
    <xf numFmtId="166" fontId="1" fillId="2" borderId="22" xfId="16" applyNumberFormat="1" applyFont="1" applyFill="1" applyBorder="1" applyAlignment="1">
      <alignment horizontal="right"/>
    </xf>
    <xf numFmtId="0" fontId="25" fillId="2" borderId="0" xfId="3" applyFont="1" applyFill="1"/>
    <xf numFmtId="173" fontId="1" fillId="2" borderId="0" xfId="3" applyNumberFormat="1" applyFont="1" applyFill="1"/>
    <xf numFmtId="10" fontId="1" fillId="2" borderId="0" xfId="3" applyNumberFormat="1" applyFont="1" applyFill="1"/>
    <xf numFmtId="171" fontId="2" fillId="2" borderId="0" xfId="3" applyNumberFormat="1" applyFont="1" applyFill="1"/>
    <xf numFmtId="173" fontId="2" fillId="2" borderId="0" xfId="3" applyNumberFormat="1" applyFont="1" applyFill="1"/>
    <xf numFmtId="168" fontId="2" fillId="2" borderId="0" xfId="3" applyNumberFormat="1" applyFont="1" applyFill="1" applyAlignment="1">
      <alignment shrinkToFit="1"/>
    </xf>
    <xf numFmtId="0" fontId="2" fillId="2" borderId="0" xfId="3" applyFont="1" applyFill="1"/>
    <xf numFmtId="168" fontId="1" fillId="2" borderId="0" xfId="7" applyNumberFormat="1" applyFont="1" applyFill="1"/>
    <xf numFmtId="171" fontId="10" fillId="2" borderId="0" xfId="7" applyNumberFormat="1" applyFont="1" applyFill="1"/>
    <xf numFmtId="49" fontId="1" fillId="2" borderId="32" xfId="11" applyNumberFormat="1" applyFont="1" applyFill="1" applyBorder="1" applyAlignment="1">
      <alignment horizontal="center" wrapText="1"/>
    </xf>
    <xf numFmtId="0" fontId="1" fillId="2" borderId="27" xfId="14" applyFont="1" applyFill="1" applyBorder="1" applyAlignment="1">
      <alignment horizontal="center" vertical="top"/>
    </xf>
    <xf numFmtId="49" fontId="1" fillId="2" borderId="21" xfId="11" applyNumberFormat="1" applyFont="1" applyFill="1" applyBorder="1" applyAlignment="1">
      <alignment horizontal="center"/>
    </xf>
    <xf numFmtId="49" fontId="1" fillId="2" borderId="30" xfId="6" applyNumberFormat="1" applyFont="1" applyFill="1" applyBorder="1" applyAlignment="1">
      <alignment horizontal="center"/>
    </xf>
    <xf numFmtId="49" fontId="1" fillId="2" borderId="33" xfId="14" applyNumberFormat="1" applyFont="1" applyFill="1" applyBorder="1" applyAlignment="1">
      <alignment horizontal="center"/>
    </xf>
    <xf numFmtId="49" fontId="1" fillId="2" borderId="22" xfId="14" applyNumberFormat="1" applyFont="1" applyFill="1" applyBorder="1" applyAlignment="1">
      <alignment horizontal="center"/>
    </xf>
    <xf numFmtId="49" fontId="1" fillId="2" borderId="30" xfId="14" applyNumberFormat="1" applyFont="1" applyFill="1" applyBorder="1" applyAlignment="1">
      <alignment horizontal="center"/>
    </xf>
    <xf numFmtId="166" fontId="1" fillId="2" borderId="13" xfId="0" applyNumberFormat="1" applyFont="1" applyFill="1" applyBorder="1" applyAlignment="1">
      <alignment horizontal="right"/>
    </xf>
    <xf numFmtId="0" fontId="1" fillId="2" borderId="32" xfId="14" applyFont="1" applyFill="1" applyBorder="1" applyAlignment="1">
      <alignment horizontal="center" vertical="top"/>
    </xf>
    <xf numFmtId="49" fontId="1" fillId="2" borderId="32" xfId="11" applyNumberFormat="1" applyFont="1" applyFill="1" applyBorder="1" applyAlignment="1">
      <alignment horizontal="center"/>
    </xf>
    <xf numFmtId="49" fontId="1" fillId="2" borderId="39" xfId="6" applyNumberFormat="1" applyFont="1" applyFill="1" applyBorder="1" applyAlignment="1">
      <alignment horizontal="center"/>
    </xf>
    <xf numFmtId="49" fontId="1" fillId="2" borderId="38" xfId="14" applyNumberFormat="1" applyFont="1" applyFill="1" applyBorder="1" applyAlignment="1">
      <alignment horizontal="center"/>
    </xf>
    <xf numFmtId="49" fontId="1" fillId="2" borderId="31" xfId="14" applyNumberFormat="1" applyFont="1" applyFill="1" applyBorder="1" applyAlignment="1">
      <alignment horizontal="center"/>
    </xf>
    <xf numFmtId="49" fontId="1" fillId="2" borderId="39" xfId="14" applyNumberFormat="1" applyFont="1" applyFill="1" applyBorder="1" applyAlignment="1">
      <alignment horizontal="center"/>
    </xf>
    <xf numFmtId="0" fontId="4" fillId="2" borderId="0" xfId="0" applyFont="1" applyFill="1" applyAlignment="1">
      <alignment horizontal="center" wrapText="1"/>
    </xf>
    <xf numFmtId="166" fontId="3" fillId="2" borderId="0" xfId="0" applyNumberFormat="1" applyFont="1" applyFill="1" applyBorder="1" applyAlignment="1">
      <alignment horizontal="right"/>
    </xf>
    <xf numFmtId="166" fontId="8" fillId="2" borderId="0" xfId="7" applyNumberFormat="1" applyFont="1" applyFill="1"/>
    <xf numFmtId="166" fontId="20" fillId="2" borderId="1" xfId="0" applyNumberFormat="1" applyFont="1" applyFill="1" applyBorder="1"/>
    <xf numFmtId="166" fontId="19" fillId="2" borderId="0" xfId="0" applyNumberFormat="1" applyFont="1" applyFill="1" applyBorder="1"/>
    <xf numFmtId="166" fontId="3" fillId="2" borderId="0" xfId="0" applyNumberFormat="1" applyFont="1" applyFill="1" applyBorder="1"/>
    <xf numFmtId="166" fontId="16" fillId="2" borderId="0" xfId="0" applyNumberFormat="1" applyFont="1" applyFill="1" applyBorder="1"/>
    <xf numFmtId="0" fontId="4" fillId="2" borderId="15" xfId="3" applyFont="1" applyFill="1" applyBorder="1" applyAlignment="1">
      <alignment wrapText="1"/>
    </xf>
    <xf numFmtId="0" fontId="3" fillId="2" borderId="15" xfId="3" applyFont="1" applyFill="1" applyBorder="1" applyAlignment="1">
      <alignment wrapText="1"/>
    </xf>
    <xf numFmtId="0" fontId="3" fillId="2" borderId="15" xfId="3" applyFont="1" applyFill="1" applyBorder="1" applyAlignment="1">
      <alignment vertical="top" wrapText="1"/>
    </xf>
    <xf numFmtId="0" fontId="3" fillId="2" borderId="14" xfId="3" applyFont="1" applyFill="1" applyBorder="1" applyAlignment="1">
      <alignment vertical="top" wrapText="1"/>
    </xf>
    <xf numFmtId="49" fontId="3" fillId="2" borderId="30" xfId="5" applyNumberFormat="1" applyFont="1" applyFill="1" applyBorder="1" applyAlignment="1">
      <alignment horizontal="center"/>
    </xf>
    <xf numFmtId="49" fontId="3" fillId="2" borderId="33" xfId="5" applyNumberFormat="1" applyFont="1" applyFill="1" applyBorder="1" applyAlignment="1">
      <alignment horizontal="center"/>
    </xf>
    <xf numFmtId="49" fontId="3" fillId="2" borderId="22" xfId="5" applyNumberFormat="1" applyFont="1" applyFill="1" applyBorder="1" applyAlignment="1">
      <alignment horizontal="center"/>
    </xf>
    <xf numFmtId="49" fontId="3" fillId="2" borderId="21" xfId="5" applyNumberFormat="1" applyFont="1" applyFill="1" applyBorder="1" applyAlignment="1">
      <alignment horizontal="center"/>
    </xf>
    <xf numFmtId="49" fontId="1" fillId="2" borderId="26" xfId="16" applyNumberFormat="1" applyFont="1" applyFill="1" applyBorder="1" applyAlignment="1">
      <alignment horizontal="center" wrapText="1"/>
    </xf>
    <xf numFmtId="49" fontId="1" fillId="2" borderId="23" xfId="16" applyNumberFormat="1" applyFont="1" applyFill="1" applyBorder="1" applyAlignment="1">
      <alignment horizontal="center"/>
    </xf>
    <xf numFmtId="49" fontId="3" fillId="2" borderId="16" xfId="11" applyNumberFormat="1" applyFont="1" applyFill="1" applyBorder="1" applyAlignment="1">
      <alignment horizontal="center" wrapText="1"/>
    </xf>
    <xf numFmtId="49" fontId="3" fillId="2" borderId="16" xfId="11" applyNumberFormat="1" applyFont="1" applyFill="1" applyBorder="1" applyAlignment="1">
      <alignment horizontal="center"/>
    </xf>
    <xf numFmtId="49" fontId="3" fillId="2" borderId="20" xfId="16" applyNumberFormat="1" applyFont="1" applyFill="1" applyBorder="1" applyAlignment="1">
      <alignment horizontal="center" wrapText="1"/>
    </xf>
    <xf numFmtId="0" fontId="2" fillId="2" borderId="21" xfId="16" applyFont="1" applyFill="1" applyBorder="1" applyAlignment="1">
      <alignment horizontal="center" vertical="top"/>
    </xf>
    <xf numFmtId="49" fontId="2" fillId="2" borderId="21" xfId="16" applyNumberFormat="1" applyFont="1" applyFill="1" applyBorder="1" applyAlignment="1">
      <alignment horizontal="center" wrapText="1"/>
    </xf>
    <xf numFmtId="49" fontId="1" fillId="2" borderId="1" xfId="12" applyNumberFormat="1" applyFont="1" applyFill="1" applyBorder="1" applyAlignment="1">
      <alignment horizontal="center" wrapText="1"/>
    </xf>
    <xf numFmtId="49" fontId="2" fillId="2" borderId="21" xfId="16" applyNumberFormat="1" applyFont="1" applyFill="1" applyBorder="1" applyAlignment="1">
      <alignment horizontal="center"/>
    </xf>
    <xf numFmtId="166" fontId="2" fillId="2" borderId="21" xfId="16" applyNumberFormat="1" applyFont="1" applyFill="1" applyBorder="1" applyAlignment="1">
      <alignment horizontal="right"/>
    </xf>
    <xf numFmtId="49" fontId="1" fillId="2" borderId="13" xfId="12" applyNumberFormat="1" applyFont="1" applyFill="1" applyBorder="1" applyAlignment="1">
      <alignment horizontal="center"/>
    </xf>
    <xf numFmtId="49" fontId="1" fillId="2" borderId="13" xfId="0" applyNumberFormat="1" applyFont="1" applyFill="1" applyBorder="1" applyAlignment="1">
      <alignment horizontal="center"/>
    </xf>
    <xf numFmtId="49" fontId="3" fillId="2" borderId="16" xfId="5" applyNumberFormat="1" applyFont="1" applyFill="1" applyBorder="1" applyAlignment="1">
      <alignment horizontal="center" wrapText="1"/>
    </xf>
    <xf numFmtId="49" fontId="3" fillId="2" borderId="17" xfId="14" applyNumberFormat="1" applyFont="1" applyFill="1" applyBorder="1" applyAlignment="1">
      <alignment horizontal="center"/>
    </xf>
    <xf numFmtId="166" fontId="3" fillId="2" borderId="1" xfId="0" applyNumberFormat="1" applyFont="1" applyFill="1" applyBorder="1" applyAlignment="1"/>
    <xf numFmtId="0" fontId="6" fillId="2" borderId="0" xfId="1" applyFont="1" applyFill="1" applyAlignment="1">
      <alignment wrapText="1"/>
    </xf>
    <xf numFmtId="0" fontId="16" fillId="2" borderId="0" xfId="0" applyFont="1" applyFill="1" applyAlignment="1">
      <alignment vertical="top"/>
    </xf>
    <xf numFmtId="1" fontId="2" fillId="2" borderId="0" xfId="2" applyNumberFormat="1" applyFont="1" applyFill="1" applyAlignment="1">
      <alignment horizontal="center" vertical="top" wrapText="1"/>
    </xf>
    <xf numFmtId="49" fontId="1" fillId="2" borderId="0" xfId="0" applyNumberFormat="1" applyFont="1" applyFill="1" applyBorder="1" applyAlignment="1">
      <alignment vertical="top" wrapText="1"/>
    </xf>
    <xf numFmtId="0" fontId="3" fillId="2" borderId="1" xfId="0" applyFont="1" applyFill="1" applyBorder="1" applyAlignment="1">
      <alignment vertical="center" wrapText="1"/>
    </xf>
    <xf numFmtId="49" fontId="4" fillId="2" borderId="1" xfId="7"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19" xfId="11" applyNumberFormat="1" applyFont="1" applyFill="1" applyBorder="1" applyAlignment="1">
      <alignment vertical="center" wrapText="1"/>
    </xf>
    <xf numFmtId="49" fontId="3" fillId="2" borderId="1" xfId="5" applyNumberFormat="1" applyFont="1" applyFill="1" applyBorder="1" applyAlignment="1">
      <alignment horizontal="left" vertical="center" wrapText="1"/>
    </xf>
    <xf numFmtId="49" fontId="1" fillId="2" borderId="3" xfId="0" applyNumberFormat="1" applyFont="1" applyFill="1" applyBorder="1" applyAlignment="1">
      <alignment vertical="center" wrapText="1"/>
    </xf>
    <xf numFmtId="2" fontId="3" fillId="2" borderId="3" xfId="0" applyNumberFormat="1" applyFont="1" applyFill="1" applyBorder="1" applyAlignment="1">
      <alignment vertical="center" wrapText="1"/>
    </xf>
    <xf numFmtId="49" fontId="3" fillId="2" borderId="3" xfId="7" applyNumberFormat="1" applyFont="1" applyFill="1" applyBorder="1" applyAlignment="1">
      <alignment vertical="center" wrapText="1"/>
    </xf>
    <xf numFmtId="49" fontId="3" fillId="2" borderId="1" xfId="7" applyNumberFormat="1" applyFont="1" applyFill="1" applyBorder="1" applyAlignment="1">
      <alignment vertical="center" wrapText="1"/>
    </xf>
    <xf numFmtId="49" fontId="3" fillId="2" borderId="1" xfId="0" applyNumberFormat="1" applyFont="1" applyFill="1" applyBorder="1" applyAlignment="1">
      <alignment horizontal="left" vertical="center" wrapText="1"/>
    </xf>
    <xf numFmtId="49" fontId="3" fillId="2" borderId="3" xfId="5" applyNumberFormat="1" applyFont="1" applyFill="1" applyBorder="1" applyAlignment="1">
      <alignment horizontal="left" vertical="center" wrapText="1"/>
    </xf>
    <xf numFmtId="49" fontId="1" fillId="2" borderId="26" xfId="16" applyNumberFormat="1" applyFont="1" applyFill="1" applyBorder="1" applyAlignment="1">
      <alignment vertical="center" wrapText="1"/>
    </xf>
    <xf numFmtId="49" fontId="1" fillId="2" borderId="3" xfId="5" applyNumberFormat="1" applyFont="1" applyFill="1" applyBorder="1" applyAlignment="1">
      <alignment horizontal="left" vertical="center" wrapText="1"/>
    </xf>
    <xf numFmtId="49" fontId="4" fillId="2" borderId="1" xfId="7" applyNumberFormat="1" applyFont="1" applyFill="1" applyBorder="1" applyAlignment="1">
      <alignment vertical="center" wrapText="1"/>
    </xf>
    <xf numFmtId="49" fontId="3" fillId="3" borderId="3" xfId="0" applyNumberFormat="1" applyFont="1" applyFill="1" applyBorder="1" applyAlignment="1">
      <alignment vertical="center" wrapText="1"/>
    </xf>
    <xf numFmtId="49" fontId="3" fillId="3" borderId="3" xfId="0" applyNumberFormat="1" applyFont="1" applyFill="1" applyBorder="1" applyAlignment="1">
      <alignment horizontal="left" vertical="center" wrapText="1"/>
    </xf>
    <xf numFmtId="49" fontId="3" fillId="2" borderId="1" xfId="6" applyNumberFormat="1" applyFont="1" applyFill="1" applyBorder="1" applyAlignment="1">
      <alignment horizontal="left" vertical="center" wrapText="1"/>
    </xf>
    <xf numFmtId="49" fontId="3" fillId="2" borderId="1" xfId="4" applyNumberFormat="1" applyFont="1" applyFill="1" applyBorder="1" applyAlignment="1" applyProtection="1">
      <alignment horizontal="left" vertical="center" wrapText="1"/>
      <protection hidden="1"/>
    </xf>
    <xf numFmtId="49" fontId="3" fillId="2" borderId="3" xfId="6" applyNumberFormat="1" applyFont="1" applyFill="1" applyBorder="1" applyAlignment="1">
      <alignment horizontal="left" vertical="center" wrapText="1"/>
    </xf>
    <xf numFmtId="49" fontId="1" fillId="2" borderId="29" xfId="14" applyNumberFormat="1" applyFont="1" applyFill="1" applyBorder="1" applyAlignment="1">
      <alignment vertical="center" wrapText="1"/>
    </xf>
    <xf numFmtId="49" fontId="1" fillId="2" borderId="13" xfId="14" applyNumberFormat="1" applyFont="1" applyFill="1" applyBorder="1" applyAlignment="1">
      <alignment vertical="center" wrapText="1"/>
    </xf>
    <xf numFmtId="49" fontId="1" fillId="2" borderId="1" xfId="14" applyNumberFormat="1" applyFont="1" applyFill="1" applyBorder="1" applyAlignment="1">
      <alignment vertical="center" wrapText="1"/>
    </xf>
    <xf numFmtId="49" fontId="1" fillId="2" borderId="19" xfId="14" applyNumberFormat="1" applyFont="1" applyFill="1" applyBorder="1" applyAlignment="1">
      <alignment vertical="center" wrapText="1"/>
    </xf>
    <xf numFmtId="49" fontId="4" fillId="2" borderId="1" xfId="5" applyNumberFormat="1" applyFont="1" applyFill="1" applyBorder="1" applyAlignment="1">
      <alignment horizontal="left" vertical="center" wrapText="1"/>
    </xf>
    <xf numFmtId="49" fontId="3" fillId="2" borderId="1" xfId="5" applyNumberFormat="1" applyFont="1" applyFill="1" applyBorder="1" applyAlignment="1">
      <alignment vertical="center" wrapText="1"/>
    </xf>
    <xf numFmtId="49" fontId="3" fillId="2" borderId="3" xfId="5" applyNumberFormat="1" applyFont="1" applyFill="1" applyBorder="1" applyAlignment="1">
      <alignment vertical="center" wrapText="1"/>
    </xf>
    <xf numFmtId="49" fontId="3" fillId="2" borderId="21" xfId="14" applyNumberFormat="1" applyFont="1" applyFill="1" applyBorder="1" applyAlignment="1">
      <alignment vertical="center" wrapText="1"/>
    </xf>
    <xf numFmtId="49" fontId="3" fillId="2" borderId="16" xfId="14" applyNumberFormat="1" applyFont="1" applyFill="1" applyBorder="1" applyAlignment="1">
      <alignment vertical="center" wrapText="1"/>
    </xf>
    <xf numFmtId="49" fontId="3" fillId="2" borderId="17" xfId="5" applyNumberFormat="1" applyFont="1" applyFill="1" applyBorder="1" applyAlignment="1">
      <alignment vertical="center" wrapText="1"/>
    </xf>
    <xf numFmtId="49" fontId="3" fillId="2" borderId="18" xfId="16" applyNumberFormat="1" applyFont="1" applyFill="1" applyBorder="1" applyAlignment="1">
      <alignment vertical="center" wrapText="1"/>
    </xf>
    <xf numFmtId="49" fontId="3" fillId="2" borderId="16" xfId="16" applyNumberFormat="1" applyFont="1" applyFill="1" applyBorder="1" applyAlignment="1">
      <alignment vertical="center" wrapText="1"/>
    </xf>
    <xf numFmtId="49" fontId="3" fillId="2" borderId="19" xfId="16" applyNumberFormat="1" applyFont="1" applyFill="1" applyBorder="1" applyAlignment="1">
      <alignment vertical="center" wrapText="1"/>
    </xf>
    <xf numFmtId="0" fontId="3" fillId="2" borderId="1" xfId="0" applyNumberFormat="1" applyFont="1" applyFill="1" applyBorder="1" applyAlignment="1">
      <alignment vertical="center" wrapText="1"/>
    </xf>
    <xf numFmtId="49" fontId="3" fillId="2" borderId="16" xfId="5" applyNumberFormat="1" applyFont="1" applyFill="1" applyBorder="1" applyAlignment="1">
      <alignment vertical="center" wrapText="1"/>
    </xf>
    <xf numFmtId="49" fontId="3" fillId="2" borderId="19" xfId="5" applyNumberFormat="1" applyFont="1" applyFill="1" applyBorder="1" applyAlignment="1">
      <alignment vertical="center" wrapText="1"/>
    </xf>
    <xf numFmtId="49" fontId="3" fillId="2" borderId="26" xfId="5" applyNumberFormat="1" applyFont="1" applyFill="1" applyBorder="1" applyAlignment="1">
      <alignment vertical="center" wrapText="1"/>
    </xf>
    <xf numFmtId="49" fontId="1" fillId="2" borderId="3" xfId="8" applyNumberFormat="1" applyFont="1" applyFill="1" applyBorder="1" applyAlignment="1">
      <alignment vertical="center" wrapText="1"/>
    </xf>
    <xf numFmtId="11" fontId="3" fillId="2" borderId="3" xfId="0" applyNumberFormat="1" applyFont="1" applyFill="1" applyBorder="1" applyAlignment="1">
      <alignment vertical="center" wrapText="1"/>
    </xf>
    <xf numFmtId="49" fontId="1" fillId="2" borderId="3" xfId="4" applyNumberFormat="1" applyFont="1" applyFill="1" applyBorder="1" applyAlignment="1" applyProtection="1">
      <alignment horizontal="left" vertical="center" wrapText="1"/>
      <protection hidden="1"/>
    </xf>
    <xf numFmtId="49" fontId="4" fillId="2" borderId="1" xfId="4" applyNumberFormat="1" applyFont="1" applyFill="1" applyBorder="1" applyAlignment="1" applyProtection="1">
      <alignment horizontal="left" vertical="center" wrapText="1"/>
      <protection hidden="1"/>
    </xf>
    <xf numFmtId="49" fontId="3" fillId="2" borderId="3" xfId="4" applyNumberFormat="1" applyFont="1" applyFill="1" applyBorder="1" applyAlignment="1" applyProtection="1">
      <alignment horizontal="left" vertical="center" wrapText="1"/>
      <protection hidden="1"/>
    </xf>
    <xf numFmtId="49" fontId="3" fillId="2" borderId="3" xfId="0" applyNumberFormat="1" applyFont="1" applyFill="1" applyBorder="1" applyAlignment="1">
      <alignment horizontal="left" vertical="center" wrapText="1"/>
    </xf>
    <xf numFmtId="49" fontId="3" fillId="2" borderId="29" xfId="14" applyNumberFormat="1" applyFont="1" applyFill="1" applyBorder="1" applyAlignment="1">
      <alignment vertical="center" wrapText="1"/>
    </xf>
    <xf numFmtId="49" fontId="3" fillId="2" borderId="13" xfId="14" applyNumberFormat="1" applyFont="1" applyFill="1" applyBorder="1" applyAlignment="1">
      <alignment vertical="center" wrapText="1"/>
    </xf>
    <xf numFmtId="49" fontId="3" fillId="2" borderId="1" xfId="14" applyNumberFormat="1" applyFont="1" applyFill="1" applyBorder="1" applyAlignment="1">
      <alignment vertical="center" wrapText="1"/>
    </xf>
    <xf numFmtId="49" fontId="3" fillId="2" borderId="19" xfId="14" applyNumberFormat="1" applyFont="1" applyFill="1" applyBorder="1" applyAlignment="1">
      <alignment vertical="center" wrapText="1"/>
    </xf>
    <xf numFmtId="49" fontId="3" fillId="2" borderId="22" xfId="14" applyNumberFormat="1" applyFont="1" applyFill="1" applyBorder="1" applyAlignment="1">
      <alignment vertical="center" wrapText="1"/>
    </xf>
    <xf numFmtId="49" fontId="3" fillId="2" borderId="28" xfId="14" applyNumberFormat="1" applyFont="1" applyFill="1" applyBorder="1" applyAlignment="1">
      <alignment vertical="center" wrapText="1"/>
    </xf>
    <xf numFmtId="49" fontId="3" fillId="2" borderId="28" xfId="16" applyNumberFormat="1" applyFont="1" applyFill="1" applyBorder="1" applyAlignment="1">
      <alignment vertical="center" wrapText="1"/>
    </xf>
    <xf numFmtId="49" fontId="1" fillId="2" borderId="19" xfId="16"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4" fillId="2" borderId="1" xfId="0" applyNumberFormat="1" applyFont="1" applyFill="1" applyBorder="1" applyAlignment="1">
      <alignment horizontal="left" vertical="center" wrapText="1"/>
    </xf>
    <xf numFmtId="49" fontId="2" fillId="2" borderId="3" xfId="0" applyNumberFormat="1" applyFont="1" applyFill="1" applyBorder="1" applyAlignment="1">
      <alignment vertical="center" wrapText="1"/>
    </xf>
    <xf numFmtId="11" fontId="1" fillId="2" borderId="3" xfId="0" applyNumberFormat="1" applyFont="1" applyFill="1" applyBorder="1" applyAlignment="1">
      <alignment vertical="center" wrapText="1"/>
    </xf>
    <xf numFmtId="49" fontId="1" fillId="2" borderId="3" xfId="6"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19" xfId="4" applyNumberFormat="1" applyFont="1" applyFill="1" applyBorder="1" applyAlignment="1">
      <alignment vertical="center" wrapText="1"/>
    </xf>
    <xf numFmtId="49" fontId="1" fillId="2" borderId="3" xfId="5" applyNumberFormat="1" applyFont="1" applyFill="1" applyBorder="1" applyAlignment="1">
      <alignment vertical="center" wrapText="1"/>
    </xf>
    <xf numFmtId="49" fontId="1" fillId="2" borderId="1" xfId="16" applyNumberFormat="1" applyFont="1" applyFill="1" applyBorder="1" applyAlignment="1">
      <alignment vertical="center" wrapText="1"/>
    </xf>
    <xf numFmtId="49" fontId="2" fillId="2" borderId="22" xfId="16" applyNumberFormat="1" applyFont="1" applyFill="1" applyBorder="1" applyAlignment="1">
      <alignment vertical="center" wrapText="1"/>
    </xf>
    <xf numFmtId="49" fontId="1" fillId="2" borderId="19" xfId="5" applyNumberFormat="1" applyFont="1" applyFill="1" applyBorder="1" applyAlignment="1">
      <alignment vertical="center" wrapText="1"/>
    </xf>
    <xf numFmtId="49" fontId="1" fillId="2" borderId="18" xfId="5" applyNumberFormat="1" applyFont="1" applyFill="1" applyBorder="1" applyAlignment="1">
      <alignment vertical="center" wrapText="1"/>
    </xf>
    <xf numFmtId="49" fontId="1" fillId="2" borderId="22" xfId="14" applyNumberFormat="1" applyFont="1" applyFill="1" applyBorder="1" applyAlignment="1">
      <alignment vertical="center" wrapText="1"/>
    </xf>
    <xf numFmtId="49" fontId="1" fillId="2" borderId="18" xfId="14" applyNumberFormat="1" applyFont="1" applyFill="1" applyBorder="1" applyAlignment="1">
      <alignment vertical="center" wrapText="1"/>
    </xf>
    <xf numFmtId="49" fontId="1" fillId="2" borderId="20" xfId="16" applyNumberFormat="1" applyFont="1" applyFill="1" applyBorder="1" applyAlignment="1">
      <alignment vertical="center" wrapText="1"/>
    </xf>
    <xf numFmtId="49" fontId="1" fillId="2" borderId="16" xfId="16" applyNumberFormat="1" applyFont="1" applyFill="1" applyBorder="1" applyAlignment="1">
      <alignment vertical="center" wrapText="1"/>
    </xf>
    <xf numFmtId="49" fontId="1" fillId="2" borderId="18" xfId="16" applyNumberFormat="1" applyFont="1" applyFill="1" applyBorder="1" applyAlignment="1">
      <alignment vertical="center" wrapText="1"/>
    </xf>
    <xf numFmtId="49" fontId="1" fillId="2" borderId="38" xfId="16" applyNumberFormat="1" applyFont="1" applyFill="1" applyBorder="1" applyAlignment="1">
      <alignment vertical="center" wrapText="1"/>
    </xf>
    <xf numFmtId="49" fontId="1" fillId="2" borderId="19" xfId="16" applyNumberFormat="1" applyFont="1" applyFill="1" applyBorder="1" applyAlignment="1">
      <alignment horizontal="left" vertical="center" wrapText="1"/>
    </xf>
    <xf numFmtId="49" fontId="1" fillId="2" borderId="19" xfId="6" applyNumberFormat="1" applyFont="1" applyFill="1" applyBorder="1" applyAlignment="1">
      <alignment horizontal="left" vertical="center" wrapText="1"/>
    </xf>
    <xf numFmtId="49" fontId="1" fillId="2" borderId="19" xfId="8" applyNumberFormat="1" applyFont="1" applyFill="1" applyBorder="1" applyAlignment="1">
      <alignment vertical="center" wrapText="1"/>
    </xf>
    <xf numFmtId="49" fontId="1" fillId="2" borderId="19" xfId="11" applyNumberFormat="1" applyFont="1" applyFill="1" applyBorder="1" applyAlignment="1">
      <alignment vertical="center" wrapText="1"/>
    </xf>
    <xf numFmtId="49" fontId="1" fillId="2" borderId="19" xfId="5" applyNumberFormat="1" applyFont="1" applyFill="1" applyBorder="1" applyAlignment="1">
      <alignment horizontal="left" vertical="center" wrapText="1"/>
    </xf>
    <xf numFmtId="49" fontId="1" fillId="2" borderId="3" xfId="7" applyNumberFormat="1" applyFont="1" applyFill="1" applyBorder="1" applyAlignment="1">
      <alignment vertical="center" wrapText="1"/>
    </xf>
    <xf numFmtId="2" fontId="1" fillId="2" borderId="3" xfId="0" applyNumberFormat="1" applyFont="1" applyFill="1" applyBorder="1" applyAlignment="1">
      <alignment vertical="center" wrapText="1"/>
    </xf>
    <xf numFmtId="49" fontId="2" fillId="2" borderId="3" xfId="0" applyNumberFormat="1" applyFont="1" applyFill="1" applyBorder="1" applyAlignment="1">
      <alignment horizontal="left" vertical="center" wrapText="1"/>
    </xf>
    <xf numFmtId="49" fontId="1" fillId="2" borderId="1" xfId="5" applyNumberFormat="1" applyFont="1" applyFill="1" applyBorder="1" applyAlignment="1">
      <alignment horizontal="left" vertical="center" wrapText="1"/>
    </xf>
    <xf numFmtId="49" fontId="1" fillId="2" borderId="0" xfId="16" applyNumberFormat="1" applyFont="1" applyFill="1" applyBorder="1" applyAlignment="1">
      <alignment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left" vertical="center" wrapText="1"/>
    </xf>
    <xf numFmtId="0" fontId="1" fillId="2" borderId="3" xfId="0" applyNumberFormat="1" applyFont="1" applyFill="1" applyBorder="1" applyAlignment="1">
      <alignment vertical="center" wrapText="1"/>
    </xf>
    <xf numFmtId="4" fontId="1" fillId="2" borderId="3" xfId="0" applyNumberFormat="1" applyFont="1" applyFill="1" applyBorder="1" applyAlignment="1">
      <alignment vertical="center" wrapText="1"/>
    </xf>
    <xf numFmtId="0" fontId="1" fillId="2" borderId="1" xfId="3" applyFont="1" applyFill="1" applyBorder="1" applyAlignment="1">
      <alignment vertical="center" wrapText="1"/>
    </xf>
    <xf numFmtId="49" fontId="1" fillId="2" borderId="1" xfId="0" applyNumberFormat="1" applyFont="1" applyFill="1" applyBorder="1" applyAlignment="1">
      <alignment vertical="center" wrapText="1"/>
    </xf>
    <xf numFmtId="49" fontId="2" fillId="2" borderId="19" xfId="16" applyNumberFormat="1" applyFont="1" applyFill="1" applyBorder="1" applyAlignment="1">
      <alignment vertical="center" wrapText="1"/>
    </xf>
    <xf numFmtId="49" fontId="2"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left" vertical="center" wrapText="1"/>
    </xf>
    <xf numFmtId="49" fontId="1" fillId="2" borderId="21" xfId="16" applyNumberFormat="1" applyFont="1" applyFill="1" applyBorder="1" applyAlignment="1">
      <alignment horizontal="center"/>
    </xf>
    <xf numFmtId="49" fontId="1" fillId="2" borderId="3" xfId="0" applyNumberFormat="1" applyFont="1" applyFill="1" applyBorder="1" applyAlignment="1">
      <alignment wrapText="1"/>
    </xf>
    <xf numFmtId="49" fontId="1" fillId="2" borderId="26" xfId="16" applyNumberFormat="1" applyFont="1" applyFill="1" applyBorder="1" applyAlignment="1">
      <alignment wrapText="1"/>
    </xf>
    <xf numFmtId="0" fontId="3" fillId="2" borderId="0" xfId="3" applyFont="1" applyFill="1" applyBorder="1" applyAlignment="1">
      <alignment vertical="top" wrapText="1"/>
    </xf>
    <xf numFmtId="174" fontId="3" fillId="2" borderId="0" xfId="0" applyNumberFormat="1" applyFont="1" applyFill="1" applyBorder="1" applyAlignment="1">
      <alignment vertical="top"/>
    </xf>
    <xf numFmtId="49" fontId="1" fillId="2" borderId="1" xfId="16" applyNumberFormat="1" applyFont="1" applyFill="1" applyBorder="1" applyAlignment="1">
      <alignment wrapText="1"/>
    </xf>
    <xf numFmtId="0" fontId="1" fillId="2" borderId="1" xfId="14" applyFont="1" applyFill="1" applyBorder="1" applyAlignment="1">
      <alignment horizontal="center" vertical="top"/>
    </xf>
    <xf numFmtId="49" fontId="3" fillId="2" borderId="19" xfId="11" applyNumberFormat="1" applyFont="1" applyFill="1" applyBorder="1" applyAlignment="1">
      <alignment wrapText="1"/>
    </xf>
    <xf numFmtId="49" fontId="3" fillId="2" borderId="23" xfId="11" applyNumberFormat="1" applyFont="1" applyFill="1" applyBorder="1" applyAlignment="1">
      <alignment horizontal="center" wrapText="1"/>
    </xf>
    <xf numFmtId="49" fontId="3" fillId="2" borderId="23" xfId="11" applyNumberFormat="1" applyFont="1" applyFill="1" applyBorder="1" applyAlignment="1">
      <alignment horizontal="center"/>
    </xf>
    <xf numFmtId="166" fontId="3" fillId="2" borderId="1" xfId="16" applyNumberFormat="1" applyFont="1" applyFill="1" applyBorder="1" applyAlignment="1">
      <alignment horizontal="right"/>
    </xf>
    <xf numFmtId="0" fontId="1" fillId="2" borderId="30" xfId="16" applyFont="1" applyFill="1" applyBorder="1" applyAlignment="1">
      <alignment horizontal="center" vertical="top"/>
    </xf>
    <xf numFmtId="49" fontId="1" fillId="2" borderId="33" xfId="11" applyNumberFormat="1" applyFont="1" applyFill="1" applyBorder="1" applyAlignment="1">
      <alignment horizontal="center" wrapText="1"/>
    </xf>
    <xf numFmtId="49" fontId="1" fillId="2" borderId="10" xfId="0" applyNumberFormat="1" applyFont="1" applyFill="1" applyBorder="1" applyAlignment="1">
      <alignment horizontal="center"/>
    </xf>
    <xf numFmtId="49" fontId="1" fillId="2" borderId="43" xfId="16" applyNumberFormat="1" applyFont="1" applyFill="1" applyBorder="1" applyAlignment="1">
      <alignment horizontal="center"/>
    </xf>
    <xf numFmtId="49" fontId="3" fillId="2" borderId="42" xfId="11" applyNumberFormat="1" applyFont="1" applyFill="1" applyBorder="1" applyAlignment="1">
      <alignment horizontal="center"/>
    </xf>
    <xf numFmtId="49" fontId="3" fillId="2" borderId="9" xfId="16" applyNumberFormat="1" applyFont="1" applyFill="1" applyBorder="1" applyAlignment="1">
      <alignment horizontal="center"/>
    </xf>
    <xf numFmtId="49" fontId="3" fillId="2" borderId="3" xfId="16" applyNumberFormat="1" applyFont="1" applyFill="1" applyBorder="1" applyAlignment="1">
      <alignment horizontal="center"/>
    </xf>
    <xf numFmtId="0" fontId="4" fillId="2" borderId="15" xfId="3" applyFont="1" applyFill="1" applyBorder="1" applyAlignment="1">
      <alignment horizontal="center" vertical="top"/>
    </xf>
    <xf numFmtId="0" fontId="4" fillId="2" borderId="12" xfId="3" applyFont="1" applyFill="1" applyBorder="1" applyAlignment="1">
      <alignment vertical="top" wrapText="1"/>
    </xf>
    <xf numFmtId="0" fontId="3" fillId="2" borderId="12" xfId="3" applyFont="1" applyFill="1" applyBorder="1" applyAlignment="1">
      <alignment vertical="top" wrapText="1"/>
    </xf>
    <xf numFmtId="0" fontId="3" fillId="2" borderId="13" xfId="3" applyFont="1" applyFill="1" applyBorder="1" applyAlignment="1">
      <alignment vertical="top" wrapText="1"/>
    </xf>
    <xf numFmtId="174" fontId="3" fillId="2" borderId="10" xfId="0" applyNumberFormat="1" applyFont="1" applyFill="1" applyBorder="1" applyAlignment="1">
      <alignment vertical="top"/>
    </xf>
    <xf numFmtId="49" fontId="3" fillId="2" borderId="19" xfId="5" applyNumberFormat="1" applyFont="1" applyFill="1" applyBorder="1" applyAlignment="1">
      <alignment wrapText="1"/>
    </xf>
    <xf numFmtId="49" fontId="3" fillId="2" borderId="40" xfId="11" applyNumberFormat="1" applyFont="1" applyFill="1" applyBorder="1" applyAlignment="1">
      <alignment horizontal="center" wrapText="1"/>
    </xf>
    <xf numFmtId="49" fontId="3" fillId="2" borderId="41" xfId="11" applyNumberFormat="1" applyFont="1" applyFill="1" applyBorder="1" applyAlignment="1">
      <alignment horizontal="center"/>
    </xf>
    <xf numFmtId="0" fontId="3" fillId="2" borderId="13" xfId="0" applyFont="1" applyFill="1" applyBorder="1" applyAlignment="1">
      <alignment horizontal="center" vertical="top"/>
    </xf>
    <xf numFmtId="0" fontId="3" fillId="2" borderId="0" xfId="0" applyFont="1" applyFill="1" applyAlignment="1">
      <alignment horizontal="left" vertical="top" wrapText="1"/>
    </xf>
    <xf numFmtId="167" fontId="3" fillId="2" borderId="13" xfId="0" applyNumberFormat="1" applyFont="1" applyFill="1" applyBorder="1" applyAlignment="1">
      <alignment horizontal="right" vertical="top"/>
    </xf>
    <xf numFmtId="167" fontId="1" fillId="2" borderId="13" xfId="0" applyNumberFormat="1" applyFont="1" applyFill="1" applyBorder="1" applyAlignment="1">
      <alignment horizontal="right" vertical="top"/>
    </xf>
    <xf numFmtId="167" fontId="1" fillId="2" borderId="13" xfId="1" applyNumberFormat="1" applyFont="1" applyFill="1" applyBorder="1" applyAlignment="1">
      <alignment horizontal="right" vertical="top"/>
    </xf>
    <xf numFmtId="176" fontId="19" fillId="2" borderId="0" xfId="0" applyNumberFormat="1" applyFont="1" applyFill="1"/>
    <xf numFmtId="166" fontId="19" fillId="2" borderId="0" xfId="0" applyNumberFormat="1" applyFont="1" applyFill="1"/>
    <xf numFmtId="166" fontId="3" fillId="2" borderId="0" xfId="19" applyNumberFormat="1" applyFont="1" applyFill="1" applyAlignment="1">
      <alignment horizontal="right"/>
    </xf>
    <xf numFmtId="168" fontId="1" fillId="2" borderId="1" xfId="0" applyNumberFormat="1" applyFont="1" applyFill="1" applyBorder="1" applyAlignment="1">
      <alignment vertical="center" wrapText="1"/>
    </xf>
    <xf numFmtId="169" fontId="3" fillId="2" borderId="1" xfId="0" applyNumberFormat="1" applyFont="1" applyFill="1" applyBorder="1" applyAlignment="1">
      <alignment horizontal="center" wrapText="1"/>
    </xf>
    <xf numFmtId="0" fontId="3" fillId="2" borderId="1" xfId="0" applyFont="1" applyFill="1" applyBorder="1" applyAlignment="1">
      <alignment horizontal="justify" vertical="top" wrapText="1"/>
    </xf>
    <xf numFmtId="49" fontId="3" fillId="2" borderId="0" xfId="14" applyNumberFormat="1" applyFont="1" applyFill="1" applyBorder="1" applyAlignment="1">
      <alignment horizontal="center"/>
    </xf>
    <xf numFmtId="0" fontId="1" fillId="2" borderId="21" xfId="16" applyFont="1" applyFill="1" applyBorder="1" applyAlignment="1">
      <alignment horizontal="center" vertical="top"/>
    </xf>
    <xf numFmtId="49" fontId="1" fillId="2" borderId="33" xfId="5" applyNumberFormat="1" applyFont="1" applyFill="1" applyBorder="1" applyAlignment="1">
      <alignment vertical="center" wrapText="1"/>
    </xf>
    <xf numFmtId="49" fontId="1" fillId="2" borderId="1" xfId="5" applyNumberFormat="1" applyFont="1" applyFill="1" applyBorder="1" applyAlignment="1">
      <alignment vertical="center" wrapText="1"/>
    </xf>
    <xf numFmtId="49" fontId="1" fillId="2" borderId="22" xfId="11" applyNumberFormat="1" applyFont="1" applyFill="1" applyBorder="1" applyAlignment="1">
      <alignment horizontal="center"/>
    </xf>
    <xf numFmtId="49" fontId="3" fillId="2" borderId="19" xfId="11" applyNumberFormat="1" applyFont="1" applyFill="1" applyBorder="1" applyAlignment="1">
      <alignment horizontal="center"/>
    </xf>
    <xf numFmtId="0" fontId="1" fillId="2" borderId="5" xfId="14" applyFont="1" applyFill="1" applyBorder="1" applyAlignment="1">
      <alignment horizontal="center" vertical="top"/>
    </xf>
    <xf numFmtId="49" fontId="1" fillId="2" borderId="37" xfId="16" applyNumberFormat="1" applyFont="1" applyFill="1" applyBorder="1" applyAlignment="1">
      <alignment vertical="center" wrapText="1"/>
    </xf>
    <xf numFmtId="49" fontId="3" fillId="2" borderId="1" xfId="5" applyNumberFormat="1" applyFont="1" applyFill="1" applyBorder="1" applyAlignment="1">
      <alignment wrapText="1"/>
    </xf>
    <xf numFmtId="49" fontId="3" fillId="2" borderId="1" xfId="11" applyNumberFormat="1" applyFont="1" applyFill="1" applyBorder="1" applyAlignment="1">
      <alignment horizontal="center" wrapText="1"/>
    </xf>
    <xf numFmtId="49" fontId="1" fillId="2" borderId="19" xfId="11" applyNumberFormat="1" applyFont="1" applyFill="1" applyBorder="1" applyAlignment="1">
      <alignment horizontal="center"/>
    </xf>
    <xf numFmtId="49" fontId="1" fillId="2" borderId="22" xfId="16" applyNumberFormat="1" applyFont="1" applyFill="1" applyBorder="1" applyAlignment="1">
      <alignment horizontal="left" vertical="center" wrapText="1"/>
    </xf>
    <xf numFmtId="49" fontId="1" fillId="2" borderId="21" xfId="5" applyNumberFormat="1" applyFont="1" applyFill="1" applyBorder="1" applyAlignment="1">
      <alignment horizontal="center" wrapText="1"/>
    </xf>
    <xf numFmtId="0" fontId="1" fillId="2" borderId="23" xfId="16" applyFont="1" applyFill="1" applyBorder="1" applyAlignment="1">
      <alignment horizontal="center" vertical="top"/>
    </xf>
    <xf numFmtId="49" fontId="1" fillId="2" borderId="26" xfId="11" applyNumberFormat="1" applyFont="1" applyFill="1" applyBorder="1" applyAlignment="1">
      <alignment vertical="center" wrapText="1"/>
    </xf>
    <xf numFmtId="166" fontId="1" fillId="2" borderId="5" xfId="0" applyNumberFormat="1" applyFont="1" applyFill="1" applyBorder="1" applyAlignment="1">
      <alignment horizontal="right"/>
    </xf>
    <xf numFmtId="49" fontId="1" fillId="2" borderId="22" xfId="11" applyNumberFormat="1" applyFont="1" applyFill="1" applyBorder="1" applyAlignment="1">
      <alignment vertical="center" wrapText="1"/>
    </xf>
    <xf numFmtId="49" fontId="1" fillId="2" borderId="21" xfId="11" applyNumberFormat="1" applyFont="1" applyFill="1" applyBorder="1" applyAlignment="1">
      <alignment horizontal="center" wrapText="1"/>
    </xf>
    <xf numFmtId="49" fontId="1" fillId="2" borderId="30" xfId="11" applyNumberFormat="1" applyFont="1" applyFill="1" applyBorder="1" applyAlignment="1">
      <alignment horizontal="center"/>
    </xf>
    <xf numFmtId="49" fontId="1" fillId="2" borderId="33" xfId="16" applyNumberFormat="1" applyFont="1" applyFill="1" applyBorder="1" applyAlignment="1">
      <alignment horizontal="center"/>
    </xf>
    <xf numFmtId="49" fontId="1" fillId="2" borderId="22" xfId="16" applyNumberFormat="1" applyFont="1" applyFill="1" applyBorder="1" applyAlignment="1">
      <alignment horizontal="center" wrapText="1"/>
    </xf>
    <xf numFmtId="49" fontId="1" fillId="2" borderId="1" xfId="11" applyNumberFormat="1" applyFont="1" applyFill="1" applyBorder="1" applyAlignment="1">
      <alignment vertical="center" wrapText="1"/>
    </xf>
    <xf numFmtId="49" fontId="1" fillId="2" borderId="2" xfId="11" applyNumberFormat="1" applyFont="1" applyFill="1" applyBorder="1" applyAlignment="1">
      <alignment horizontal="center"/>
    </xf>
    <xf numFmtId="49" fontId="1" fillId="2" borderId="3" xfId="16" applyNumberFormat="1" applyFont="1" applyFill="1" applyBorder="1" applyAlignment="1">
      <alignment horizontal="center"/>
    </xf>
    <xf numFmtId="49" fontId="1" fillId="2" borderId="9" xfId="16" applyNumberFormat="1" applyFont="1" applyFill="1" applyBorder="1" applyAlignment="1">
      <alignment horizontal="center"/>
    </xf>
    <xf numFmtId="49" fontId="1" fillId="2" borderId="3" xfId="16" applyNumberFormat="1" applyFont="1" applyFill="1" applyBorder="1" applyAlignment="1">
      <alignment horizontal="center" wrapText="1"/>
    </xf>
    <xf numFmtId="49" fontId="4" fillId="2" borderId="3" xfId="0" applyNumberFormat="1" applyFont="1" applyFill="1" applyBorder="1" applyAlignment="1">
      <alignment wrapText="1"/>
    </xf>
    <xf numFmtId="49" fontId="3" fillId="2" borderId="3" xfId="5" applyNumberFormat="1" applyFont="1" applyFill="1" applyBorder="1" applyAlignment="1">
      <alignment horizontal="left" wrapText="1"/>
    </xf>
    <xf numFmtId="49" fontId="1" fillId="2" borderId="3" xfId="5" applyNumberFormat="1" applyFont="1" applyFill="1" applyBorder="1" applyAlignment="1">
      <alignment horizontal="left" wrapText="1"/>
    </xf>
    <xf numFmtId="168" fontId="3" fillId="2" borderId="1" xfId="0" applyNumberFormat="1" applyFont="1" applyFill="1" applyBorder="1" applyAlignment="1">
      <alignment horizontal="center" vertical="center" wrapText="1"/>
    </xf>
    <xf numFmtId="168" fontId="3" fillId="2" borderId="1" xfId="0" applyNumberFormat="1" applyFont="1" applyFill="1" applyBorder="1" applyAlignment="1">
      <alignment horizontal="center" wrapText="1"/>
    </xf>
    <xf numFmtId="0" fontId="1" fillId="2" borderId="17" xfId="16" applyFont="1" applyFill="1" applyBorder="1" applyAlignment="1">
      <alignment horizontal="center" vertical="top"/>
    </xf>
    <xf numFmtId="49" fontId="1" fillId="2" borderId="26" xfId="5" applyNumberFormat="1" applyFont="1" applyFill="1" applyBorder="1" applyAlignment="1">
      <alignment vertical="center" wrapText="1"/>
    </xf>
    <xf numFmtId="166" fontId="3" fillId="2" borderId="0" xfId="1" applyNumberFormat="1" applyFont="1" applyFill="1" applyBorder="1" applyAlignment="1">
      <alignment vertical="top"/>
    </xf>
    <xf numFmtId="0" fontId="6" fillId="2" borderId="1" xfId="5" applyFont="1" applyFill="1" applyBorder="1" applyAlignment="1">
      <alignment horizontal="left" vertical="top" wrapText="1"/>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43" fontId="31" fillId="2" borderId="0" xfId="19" applyFont="1" applyFill="1"/>
    <xf numFmtId="49" fontId="1" fillId="2" borderId="26" xfId="11" applyNumberFormat="1" applyFont="1" applyFill="1" applyBorder="1" applyAlignment="1">
      <alignment horizontal="center" wrapText="1"/>
    </xf>
    <xf numFmtId="49" fontId="1" fillId="2" borderId="30" xfId="16" applyNumberFormat="1" applyFont="1" applyFill="1" applyBorder="1" applyAlignment="1">
      <alignment horizontal="center"/>
    </xf>
    <xf numFmtId="49" fontId="1" fillId="2" borderId="31" xfId="11" applyNumberFormat="1" applyFont="1" applyFill="1" applyBorder="1" applyAlignment="1">
      <alignment horizontal="center" wrapText="1"/>
    </xf>
    <xf numFmtId="49" fontId="1" fillId="4" borderId="3" xfId="0" applyNumberFormat="1" applyFont="1" applyFill="1" applyBorder="1" applyAlignment="1">
      <alignment vertical="center" wrapText="1"/>
    </xf>
    <xf numFmtId="49" fontId="1" fillId="4" borderId="1" xfId="0" applyNumberFormat="1" applyFont="1" applyFill="1" applyBorder="1" applyAlignment="1">
      <alignment horizontal="center" wrapText="1"/>
    </xf>
    <xf numFmtId="49" fontId="1" fillId="4" borderId="1" xfId="0" applyNumberFormat="1" applyFont="1" applyFill="1" applyBorder="1" applyAlignment="1">
      <alignment horizontal="center"/>
    </xf>
    <xf numFmtId="49" fontId="1" fillId="4" borderId="2" xfId="0" applyNumberFormat="1" applyFont="1" applyFill="1" applyBorder="1" applyAlignment="1">
      <alignment horizontal="center"/>
    </xf>
    <xf numFmtId="49" fontId="1" fillId="4" borderId="9" xfId="0" applyNumberFormat="1" applyFont="1" applyFill="1" applyBorder="1" applyAlignment="1">
      <alignment horizontal="center"/>
    </xf>
    <xf numFmtId="49" fontId="1" fillId="4" borderId="3" xfId="0" applyNumberFormat="1" applyFont="1" applyFill="1" applyBorder="1" applyAlignment="1">
      <alignment horizontal="center"/>
    </xf>
    <xf numFmtId="166" fontId="1" fillId="4" borderId="1" xfId="0" applyNumberFormat="1" applyFont="1" applyFill="1" applyBorder="1" applyAlignment="1">
      <alignment horizontal="right"/>
    </xf>
    <xf numFmtId="49" fontId="1" fillId="2" borderId="25" xfId="16" applyNumberFormat="1" applyFont="1" applyFill="1" applyBorder="1" applyAlignment="1">
      <alignment horizontal="center"/>
    </xf>
    <xf numFmtId="49" fontId="3" fillId="4" borderId="1" xfId="0" applyNumberFormat="1" applyFont="1" applyFill="1" applyBorder="1" applyAlignment="1">
      <alignment horizontal="left" vertical="center" wrapText="1"/>
    </xf>
    <xf numFmtId="49" fontId="1" fillId="4" borderId="26" xfId="11" applyNumberFormat="1" applyFont="1" applyFill="1" applyBorder="1" applyAlignment="1">
      <alignment horizontal="center" wrapText="1"/>
    </xf>
    <xf numFmtId="49" fontId="1" fillId="4" borderId="1" xfId="11" applyNumberFormat="1" applyFont="1" applyFill="1" applyBorder="1" applyAlignment="1">
      <alignment horizontal="center"/>
    </xf>
    <xf numFmtId="49" fontId="1" fillId="4" borderId="0" xfId="11" applyNumberFormat="1" applyFont="1" applyFill="1" applyBorder="1" applyAlignment="1">
      <alignment horizontal="center"/>
    </xf>
    <xf numFmtId="49" fontId="1" fillId="4" borderId="0" xfId="16" applyNumberFormat="1" applyFont="1" applyFill="1" applyBorder="1" applyAlignment="1">
      <alignment horizontal="center"/>
    </xf>
    <xf numFmtId="49" fontId="1" fillId="4" borderId="0" xfId="16" applyNumberFormat="1" applyFont="1" applyFill="1" applyBorder="1" applyAlignment="1">
      <alignment horizontal="center" wrapText="1"/>
    </xf>
    <xf numFmtId="49" fontId="1" fillId="4" borderId="1" xfId="16" applyNumberFormat="1" applyFont="1" applyFill="1" applyBorder="1" applyAlignment="1">
      <alignment horizontal="center"/>
    </xf>
    <xf numFmtId="166" fontId="1" fillId="4" borderId="1" xfId="16" applyNumberFormat="1" applyFont="1" applyFill="1" applyBorder="1" applyAlignment="1">
      <alignment horizontal="right"/>
    </xf>
    <xf numFmtId="49" fontId="1" fillId="4" borderId="3" xfId="0" applyNumberFormat="1" applyFont="1" applyFill="1" applyBorder="1" applyAlignment="1">
      <alignment horizontal="left" vertical="center" wrapText="1"/>
    </xf>
    <xf numFmtId="49" fontId="1" fillId="4" borderId="23" xfId="11" applyNumberFormat="1" applyFont="1" applyFill="1" applyBorder="1" applyAlignment="1">
      <alignment horizontal="center" wrapText="1"/>
    </xf>
    <xf numFmtId="49" fontId="3" fillId="4" borderId="2" xfId="7" applyNumberFormat="1" applyFont="1" applyFill="1" applyBorder="1" applyAlignment="1">
      <alignment horizontal="center"/>
    </xf>
    <xf numFmtId="49" fontId="3" fillId="4" borderId="9" xfId="7" applyNumberFormat="1" applyFont="1" applyFill="1" applyBorder="1" applyAlignment="1">
      <alignment horizontal="center"/>
    </xf>
    <xf numFmtId="49" fontId="3" fillId="4" borderId="3" xfId="7" applyNumberFormat="1" applyFont="1" applyFill="1" applyBorder="1" applyAlignment="1">
      <alignment horizontal="center"/>
    </xf>
    <xf numFmtId="49" fontId="1" fillId="4" borderId="1" xfId="16" applyNumberFormat="1" applyFont="1" applyFill="1" applyBorder="1" applyAlignment="1">
      <alignment vertical="center" wrapText="1"/>
    </xf>
    <xf numFmtId="49" fontId="1" fillId="4" borderId="26" xfId="16" applyNumberFormat="1" applyFont="1" applyFill="1" applyBorder="1" applyAlignment="1">
      <alignment vertical="center" wrapText="1"/>
    </xf>
    <xf numFmtId="0" fontId="1" fillId="2" borderId="0" xfId="7" applyFont="1" applyFill="1" applyBorder="1" applyAlignment="1">
      <alignment horizontal="left"/>
    </xf>
    <xf numFmtId="0" fontId="1" fillId="2" borderId="0" xfId="7" applyFont="1" applyFill="1" applyAlignment="1">
      <alignment horizontal="left"/>
    </xf>
    <xf numFmtId="0" fontId="1" fillId="2" borderId="0" xfId="7" applyFont="1" applyFill="1" applyBorder="1" applyAlignment="1">
      <alignment horizontal="left"/>
    </xf>
    <xf numFmtId="0" fontId="1" fillId="2" borderId="0" xfId="7" applyFont="1" applyFill="1" applyAlignment="1">
      <alignment horizontal="left"/>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170" fontId="1" fillId="2" borderId="2" xfId="1" applyNumberFormat="1" applyFont="1" applyFill="1" applyBorder="1" applyAlignment="1">
      <alignment horizontal="center" vertical="center" wrapText="1"/>
    </xf>
    <xf numFmtId="170" fontId="1" fillId="2" borderId="9" xfId="1" applyNumberFormat="1" applyFont="1" applyFill="1" applyBorder="1" applyAlignment="1">
      <alignment horizontal="center" vertical="center" wrapText="1"/>
    </xf>
    <xf numFmtId="170" fontId="1" fillId="2" borderId="3" xfId="1" applyNumberFormat="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0" xfId="1" applyFont="1" applyFill="1" applyBorder="1" applyAlignment="1">
      <alignment horizontal="left" wrapText="1"/>
    </xf>
    <xf numFmtId="0" fontId="1" fillId="2" borderId="5"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5"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4" fillId="2" borderId="0" xfId="0" applyFont="1" applyFill="1" applyAlignment="1">
      <alignment horizontal="center" wrapText="1"/>
    </xf>
    <xf numFmtId="166" fontId="3" fillId="2" borderId="2" xfId="1" applyNumberFormat="1" applyFont="1" applyFill="1" applyBorder="1" applyAlignment="1">
      <alignment horizontal="center"/>
    </xf>
    <xf numFmtId="166" fontId="3" fillId="2" borderId="3" xfId="1" applyNumberFormat="1" applyFont="1" applyFill="1" applyBorder="1" applyAlignment="1">
      <alignment horizontal="center"/>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0" xfId="0" applyFill="1" applyAlignment="1"/>
    <xf numFmtId="168" fontId="3" fillId="2" borderId="2" xfId="3" applyNumberFormat="1" applyFont="1" applyFill="1" applyBorder="1" applyAlignment="1">
      <alignment horizontal="center" vertical="center"/>
    </xf>
    <xf numFmtId="168" fontId="3" fillId="2" borderId="9" xfId="3" applyNumberFormat="1" applyFont="1" applyFill="1" applyBorder="1" applyAlignment="1">
      <alignment horizontal="center" vertical="center"/>
    </xf>
    <xf numFmtId="168" fontId="3" fillId="2" borderId="3" xfId="3" applyNumberFormat="1" applyFont="1" applyFill="1" applyBorder="1" applyAlignment="1">
      <alignment horizontal="center" vertical="center"/>
    </xf>
    <xf numFmtId="0" fontId="4" fillId="2" borderId="0" xfId="3" applyFont="1" applyFill="1" applyAlignment="1">
      <alignment horizontal="center"/>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3" fillId="2" borderId="5" xfId="3" applyFont="1" applyFill="1" applyBorder="1" applyAlignment="1">
      <alignment horizontal="center" vertical="center"/>
    </xf>
    <xf numFmtId="0" fontId="3" fillId="2" borderId="13" xfId="3" applyFont="1" applyFill="1" applyBorder="1" applyAlignment="1">
      <alignment horizontal="center" vertical="center"/>
    </xf>
    <xf numFmtId="1" fontId="4" fillId="2" borderId="0" xfId="2" applyNumberFormat="1" applyFont="1" applyFill="1" applyAlignment="1">
      <alignment horizontal="center" wrapText="1"/>
    </xf>
    <xf numFmtId="49" fontId="3" fillId="2" borderId="6" xfId="7" applyNumberFormat="1" applyFont="1" applyFill="1" applyBorder="1" applyAlignment="1">
      <alignment horizontal="center" vertical="center"/>
    </xf>
    <xf numFmtId="49" fontId="3" fillId="2" borderId="7" xfId="7" applyNumberFormat="1" applyFont="1" applyFill="1" applyBorder="1" applyAlignment="1">
      <alignment horizontal="center" vertical="center"/>
    </xf>
    <xf numFmtId="49" fontId="3" fillId="2" borderId="8" xfId="7" applyNumberFormat="1" applyFont="1" applyFill="1" applyBorder="1" applyAlignment="1">
      <alignment horizontal="center" vertical="center"/>
    </xf>
    <xf numFmtId="49" fontId="3" fillId="2" borderId="2" xfId="7" applyNumberFormat="1" applyFont="1" applyFill="1" applyBorder="1" applyAlignment="1">
      <alignment horizontal="center"/>
    </xf>
    <xf numFmtId="49" fontId="3" fillId="2" borderId="9" xfId="7" applyNumberFormat="1" applyFont="1" applyFill="1" applyBorder="1" applyAlignment="1">
      <alignment horizontal="center"/>
    </xf>
    <xf numFmtId="49" fontId="3" fillId="2" borderId="3" xfId="7" applyNumberFormat="1" applyFont="1" applyFill="1" applyBorder="1" applyAlignment="1">
      <alignment horizontal="center"/>
    </xf>
    <xf numFmtId="168" fontId="3" fillId="2" borderId="1" xfId="7" applyNumberFormat="1" applyFont="1" applyFill="1" applyBorder="1" applyAlignment="1">
      <alignment horizontal="center"/>
    </xf>
    <xf numFmtId="49" fontId="3" fillId="2" borderId="1" xfId="7" applyNumberFormat="1" applyFont="1" applyFill="1" applyBorder="1" applyAlignment="1">
      <alignment horizontal="center" vertical="center" wrapText="1"/>
    </xf>
    <xf numFmtId="49" fontId="3" fillId="2" borderId="1" xfId="7" applyNumberFormat="1" applyFont="1" applyFill="1" applyBorder="1" applyAlignment="1">
      <alignment horizontal="center" vertical="center"/>
    </xf>
    <xf numFmtId="1" fontId="2" fillId="2" borderId="0" xfId="2" applyNumberFormat="1" applyFont="1" applyFill="1" applyAlignment="1">
      <alignment horizontal="center" wrapText="1"/>
    </xf>
    <xf numFmtId="49" fontId="1" fillId="2" borderId="2"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3" xfId="0" applyNumberFormat="1" applyFont="1" applyFill="1" applyBorder="1" applyAlignment="1">
      <alignment horizontal="center"/>
    </xf>
    <xf numFmtId="0" fontId="1" fillId="2" borderId="5"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3" applyFont="1" applyFill="1" applyBorder="1" applyAlignment="1">
      <alignment horizontal="center" vertical="center"/>
    </xf>
    <xf numFmtId="0" fontId="1" fillId="2" borderId="13" xfId="3"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10" xfId="0" applyNumberFormat="1" applyFont="1" applyFill="1" applyBorder="1" applyAlignment="1">
      <alignment horizontal="center" vertical="center"/>
    </xf>
    <xf numFmtId="49" fontId="27" fillId="2" borderId="5" xfId="0" applyNumberFormat="1" applyFont="1" applyFill="1" applyBorder="1" applyAlignment="1">
      <alignment horizontal="center" vertical="center" wrapText="1"/>
    </xf>
    <xf numFmtId="49" fontId="27" fillId="2" borderId="1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3" fillId="2" borderId="8"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3" applyFont="1" applyFill="1" applyBorder="1" applyAlignment="1">
      <alignment horizontal="center" vertical="center"/>
    </xf>
    <xf numFmtId="49" fontId="1" fillId="2" borderId="1"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169" fontId="3" fillId="2" borderId="1" xfId="0" applyNumberFormat="1" applyFont="1" applyFill="1" applyBorder="1" applyAlignment="1">
      <alignment horizontal="center" vertical="center" wrapText="1"/>
    </xf>
    <xf numFmtId="169" fontId="15" fillId="2" borderId="1" xfId="0" applyNumberFormat="1" applyFont="1" applyFill="1" applyBorder="1" applyAlignment="1">
      <alignment horizontal="center" vertical="center" wrapText="1"/>
    </xf>
    <xf numFmtId="49" fontId="29" fillId="2" borderId="5" xfId="0"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 fillId="2" borderId="0" xfId="3" applyFont="1" applyFill="1" applyAlignment="1">
      <alignment horizontal="center" wrapText="1"/>
    </xf>
    <xf numFmtId="0" fontId="3" fillId="2" borderId="2" xfId="3" applyFont="1" applyFill="1" applyBorder="1" applyAlignment="1">
      <alignment horizontal="center" vertical="center" wrapText="1"/>
    </xf>
    <xf numFmtId="0" fontId="3" fillId="2" borderId="9"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0" xfId="0" applyFont="1" applyFill="1" applyAlignment="1">
      <alignment horizontal="center" vertical="center" wrapText="1"/>
    </xf>
    <xf numFmtId="49" fontId="1" fillId="2" borderId="1" xfId="16" applyNumberFormat="1" applyFont="1" applyFill="1" applyBorder="1" applyAlignment="1">
      <alignment horizontal="center"/>
    </xf>
  </cellXfs>
  <cellStyles count="20">
    <cellStyle name="Excel Built-in Normal" xfId="5"/>
    <cellStyle name="Excel Built-in Normal 1" xfId="11"/>
    <cellStyle name="Excel Built-in Normal 2" xfId="14"/>
    <cellStyle name="Excel Built-in Normal 3" xfId="16"/>
    <cellStyle name="Обычный" xfId="0" builtinId="0"/>
    <cellStyle name="Обычный 2" xfId="7"/>
    <cellStyle name="Обычный 2 2" xfId="8"/>
    <cellStyle name="Обычный 2 2 2" xfId="4"/>
    <cellStyle name="Обычный 2 2 3" xfId="18"/>
    <cellStyle name="Обычный 3" xfId="15"/>
    <cellStyle name="Обычный 3 2" xfId="17"/>
    <cellStyle name="Обычный_ведомственная  и прилож. на 2008 год без краевых-2" xfId="9"/>
    <cellStyle name="Обычный_ведомственная  и прилож. на 2008 год без краевых-2 2" xfId="12"/>
    <cellStyle name="Обычный_ведомственная  и прилож. на 2008 год без краевых-2 2 2" xfId="6"/>
    <cellStyle name="Обычный_Приложение № 2 к проекту бюджета" xfId="1"/>
    <cellStyle name="Обычный_расчеты к бю.джету1" xfId="2"/>
    <cellStyle name="Обычный_Функциональная структура расходов бюджета на 2005 год" xfId="3"/>
    <cellStyle name="Финансовый" xfId="19" builtinId="3"/>
    <cellStyle name="Финансовый [0]" xfId="13" builtinId="6"/>
    <cellStyle name="Финансовый 2" xfId="10"/>
  </cellStyles>
  <dxfs count="0"/>
  <tableStyles count="0" defaultTableStyle="TableStyleMedium2" defaultPivotStyle="PivotStyleMedium9"/>
  <colors>
    <mruColors>
      <color rgb="FFFFCCCC"/>
      <color rgb="FFFFFFCC"/>
      <color rgb="FFF6FED8"/>
      <color rgb="FFFFFF99"/>
      <color rgb="FFDB8DBF"/>
      <color rgb="FF95C4D3"/>
      <color rgb="FFCCECFF"/>
      <color rgb="FF540000"/>
      <color rgb="FF740000"/>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143"/>
  <sheetViews>
    <sheetView tabSelected="1" zoomScale="80" zoomScaleNormal="80" zoomScaleSheetLayoutView="50" workbookViewId="0">
      <selection activeCell="K13" sqref="K13"/>
    </sheetView>
  </sheetViews>
  <sheetFormatPr defaultColWidth="9.109375" defaultRowHeight="18" x14ac:dyDescent="0.35"/>
  <cols>
    <col min="1" max="1" width="29.5546875" style="195" customWidth="1"/>
    <col min="2" max="2" width="60.109375" style="264" customWidth="1"/>
    <col min="3" max="3" width="15.6640625" style="193" customWidth="1"/>
    <col min="4" max="4" width="16.6640625" style="195" customWidth="1"/>
    <col min="5" max="5" width="15.6640625" style="195" customWidth="1"/>
    <col min="6" max="16384" width="9.109375" style="195"/>
  </cols>
  <sheetData>
    <row r="1" spans="1:5" s="208" customFormat="1" x14ac:dyDescent="0.35">
      <c r="A1" s="35"/>
      <c r="B1" s="35"/>
      <c r="E1" s="158" t="s">
        <v>509</v>
      </c>
    </row>
    <row r="2" spans="1:5" s="208" customFormat="1" x14ac:dyDescent="0.35">
      <c r="A2" s="35"/>
      <c r="B2" s="35"/>
      <c r="E2" s="158" t="s">
        <v>765</v>
      </c>
    </row>
    <row r="3" spans="1:5" s="208" customFormat="1" x14ac:dyDescent="0.35">
      <c r="A3" s="35"/>
      <c r="B3" s="35"/>
      <c r="E3" s="158"/>
    </row>
    <row r="4" spans="1:5" x14ac:dyDescent="0.35">
      <c r="E4" s="39" t="s">
        <v>509</v>
      </c>
    </row>
    <row r="5" spans="1:5" x14ac:dyDescent="0.35">
      <c r="E5" s="158" t="s">
        <v>667</v>
      </c>
    </row>
    <row r="8" spans="1:5" ht="11.25" customHeight="1" x14ac:dyDescent="0.35"/>
    <row r="9" spans="1:5" ht="36.75" customHeight="1" x14ac:dyDescent="0.35">
      <c r="A9" s="715" t="s">
        <v>591</v>
      </c>
      <c r="B9" s="715"/>
      <c r="C9" s="715"/>
      <c r="D9" s="715"/>
      <c r="E9" s="715"/>
    </row>
    <row r="11" spans="1:5" x14ac:dyDescent="0.35">
      <c r="E11" s="187" t="s">
        <v>22</v>
      </c>
    </row>
    <row r="12" spans="1:5" ht="20.399999999999999" customHeight="1" x14ac:dyDescent="0.35">
      <c r="A12" s="717" t="s">
        <v>13</v>
      </c>
      <c r="B12" s="719" t="s">
        <v>14</v>
      </c>
      <c r="C12" s="712" t="s">
        <v>15</v>
      </c>
      <c r="D12" s="713"/>
      <c r="E12" s="714"/>
    </row>
    <row r="13" spans="1:5" ht="20.399999999999999" customHeight="1" x14ac:dyDescent="0.35">
      <c r="A13" s="718"/>
      <c r="B13" s="720"/>
      <c r="C13" s="188" t="s">
        <v>458</v>
      </c>
      <c r="D13" s="188" t="s">
        <v>504</v>
      </c>
      <c r="E13" s="188" t="s">
        <v>592</v>
      </c>
    </row>
    <row r="14" spans="1:5" x14ac:dyDescent="0.35">
      <c r="A14" s="281">
        <v>1</v>
      </c>
      <c r="B14" s="282">
        <v>2</v>
      </c>
      <c r="C14" s="189">
        <v>3</v>
      </c>
      <c r="D14" s="283">
        <v>4</v>
      </c>
      <c r="E14" s="283">
        <v>5</v>
      </c>
    </row>
    <row r="15" spans="1:5" x14ac:dyDescent="0.35">
      <c r="A15" s="73" t="s">
        <v>134</v>
      </c>
      <c r="B15" s="74" t="s">
        <v>135</v>
      </c>
      <c r="C15" s="308">
        <v>695693.79999999993</v>
      </c>
      <c r="D15" s="308">
        <v>677949.3</v>
      </c>
      <c r="E15" s="308">
        <v>714879.7</v>
      </c>
    </row>
    <row r="16" spans="1:5" x14ac:dyDescent="0.35">
      <c r="A16" s="38" t="s">
        <v>136</v>
      </c>
      <c r="B16" s="63" t="s">
        <v>137</v>
      </c>
      <c r="C16" s="309">
        <v>6060.5</v>
      </c>
      <c r="D16" s="310">
        <v>6400</v>
      </c>
      <c r="E16" s="311">
        <v>6760</v>
      </c>
    </row>
    <row r="17" spans="1:5" x14ac:dyDescent="0.35">
      <c r="A17" s="50" t="s">
        <v>138</v>
      </c>
      <c r="B17" s="75" t="s">
        <v>139</v>
      </c>
      <c r="C17" s="309">
        <v>390679.10000000003</v>
      </c>
      <c r="D17" s="310">
        <v>413409.5</v>
      </c>
      <c r="E17" s="311">
        <v>434080</v>
      </c>
    </row>
    <row r="18" spans="1:5" ht="167.25" customHeight="1" x14ac:dyDescent="0.35">
      <c r="A18" s="36" t="s">
        <v>140</v>
      </c>
      <c r="B18" s="76" t="s">
        <v>478</v>
      </c>
      <c r="C18" s="312">
        <v>6295.9</v>
      </c>
      <c r="D18" s="313">
        <v>6181.8</v>
      </c>
      <c r="E18" s="196">
        <v>6648.8</v>
      </c>
    </row>
    <row r="19" spans="1:5" ht="36" x14ac:dyDescent="0.35">
      <c r="A19" s="38" t="s">
        <v>309</v>
      </c>
      <c r="B19" s="64" t="s">
        <v>310</v>
      </c>
      <c r="C19" s="312">
        <v>167500</v>
      </c>
      <c r="D19" s="313">
        <v>164160</v>
      </c>
      <c r="E19" s="196">
        <v>177292.79999999999</v>
      </c>
    </row>
    <row r="20" spans="1:5" ht="36" x14ac:dyDescent="0.35">
      <c r="A20" s="38" t="s">
        <v>141</v>
      </c>
      <c r="B20" s="64" t="s">
        <v>328</v>
      </c>
      <c r="C20" s="312">
        <v>98</v>
      </c>
      <c r="D20" s="313">
        <v>80</v>
      </c>
      <c r="E20" s="196">
        <v>50</v>
      </c>
    </row>
    <row r="21" spans="1:5" x14ac:dyDescent="0.35">
      <c r="A21" s="38" t="s">
        <v>142</v>
      </c>
      <c r="B21" s="75" t="s">
        <v>143</v>
      </c>
      <c r="C21" s="312">
        <v>196</v>
      </c>
      <c r="D21" s="313">
        <v>205.5</v>
      </c>
      <c r="E21" s="196">
        <v>216</v>
      </c>
    </row>
    <row r="22" spans="1:5" ht="36" x14ac:dyDescent="0.35">
      <c r="A22" s="38" t="s">
        <v>144</v>
      </c>
      <c r="B22" s="64" t="s">
        <v>145</v>
      </c>
      <c r="C22" s="312">
        <v>19720</v>
      </c>
      <c r="D22" s="313">
        <v>20705</v>
      </c>
      <c r="E22" s="196">
        <v>21740</v>
      </c>
    </row>
    <row r="23" spans="1:5" x14ac:dyDescent="0.35">
      <c r="A23" s="38" t="s">
        <v>424</v>
      </c>
      <c r="B23" s="64" t="s">
        <v>425</v>
      </c>
      <c r="C23" s="312">
        <v>3645</v>
      </c>
      <c r="D23" s="313">
        <v>3681</v>
      </c>
      <c r="E23" s="196">
        <v>3720</v>
      </c>
    </row>
    <row r="24" spans="1:5" x14ac:dyDescent="0.35">
      <c r="A24" s="38" t="s">
        <v>146</v>
      </c>
      <c r="B24" s="75" t="s">
        <v>147</v>
      </c>
      <c r="C24" s="312">
        <v>10765</v>
      </c>
      <c r="D24" s="313">
        <v>9742</v>
      </c>
      <c r="E24" s="196">
        <v>9839.4</v>
      </c>
    </row>
    <row r="25" spans="1:5" ht="54.75" customHeight="1" x14ac:dyDescent="0.35">
      <c r="A25" s="38" t="s">
        <v>492</v>
      </c>
      <c r="B25" s="64" t="s">
        <v>493</v>
      </c>
      <c r="C25" s="312">
        <v>38147.100000000006</v>
      </c>
      <c r="D25" s="312">
        <v>36702</v>
      </c>
      <c r="E25" s="312">
        <v>37810</v>
      </c>
    </row>
    <row r="26" spans="1:5" ht="78" customHeight="1" x14ac:dyDescent="0.35">
      <c r="A26" s="38" t="s">
        <v>148</v>
      </c>
      <c r="B26" s="63" t="s">
        <v>494</v>
      </c>
      <c r="C26" s="312">
        <v>750</v>
      </c>
      <c r="D26" s="313">
        <v>465</v>
      </c>
      <c r="E26" s="196">
        <v>465</v>
      </c>
    </row>
    <row r="27" spans="1:5" ht="54" x14ac:dyDescent="0.35">
      <c r="A27" s="618" t="s">
        <v>642</v>
      </c>
      <c r="B27" s="619" t="s">
        <v>643</v>
      </c>
      <c r="C27" s="620">
        <v>17.3</v>
      </c>
      <c r="D27" s="621">
        <v>0</v>
      </c>
      <c r="E27" s="622">
        <v>0</v>
      </c>
    </row>
    <row r="28" spans="1:5" ht="93.6" customHeight="1" x14ac:dyDescent="0.35">
      <c r="A28" s="38" t="s">
        <v>149</v>
      </c>
      <c r="B28" s="64" t="s">
        <v>495</v>
      </c>
      <c r="C28" s="312">
        <v>35649.800000000003</v>
      </c>
      <c r="D28" s="313">
        <v>35092</v>
      </c>
      <c r="E28" s="196">
        <v>36200</v>
      </c>
    </row>
    <row r="29" spans="1:5" ht="108" x14ac:dyDescent="0.35">
      <c r="A29" s="38" t="s">
        <v>760</v>
      </c>
      <c r="B29" s="64" t="s">
        <v>761</v>
      </c>
      <c r="C29" s="312">
        <v>10.1</v>
      </c>
      <c r="D29" s="313"/>
      <c r="E29" s="196"/>
    </row>
    <row r="30" spans="1:5" ht="54" x14ac:dyDescent="0.35">
      <c r="A30" s="38" t="s">
        <v>308</v>
      </c>
      <c r="B30" s="64" t="s">
        <v>496</v>
      </c>
      <c r="C30" s="312">
        <v>1501.9</v>
      </c>
      <c r="D30" s="313">
        <v>927</v>
      </c>
      <c r="E30" s="196">
        <v>927</v>
      </c>
    </row>
    <row r="31" spans="1:5" ht="72" x14ac:dyDescent="0.35">
      <c r="A31" s="38" t="s">
        <v>150</v>
      </c>
      <c r="B31" s="64" t="s">
        <v>497</v>
      </c>
      <c r="C31" s="312">
        <v>10</v>
      </c>
      <c r="D31" s="313">
        <v>10</v>
      </c>
      <c r="E31" s="196">
        <v>10</v>
      </c>
    </row>
    <row r="32" spans="1:5" ht="108" x14ac:dyDescent="0.35">
      <c r="A32" s="38" t="s">
        <v>347</v>
      </c>
      <c r="B32" s="64" t="s">
        <v>498</v>
      </c>
      <c r="C32" s="312">
        <v>208</v>
      </c>
      <c r="D32" s="313">
        <v>208</v>
      </c>
      <c r="E32" s="196">
        <v>208</v>
      </c>
    </row>
    <row r="33" spans="1:5" ht="36" x14ac:dyDescent="0.35">
      <c r="A33" s="38" t="s">
        <v>151</v>
      </c>
      <c r="B33" s="64" t="s">
        <v>152</v>
      </c>
      <c r="C33" s="312">
        <v>73</v>
      </c>
      <c r="D33" s="313">
        <v>75</v>
      </c>
      <c r="E33" s="196">
        <v>78</v>
      </c>
    </row>
    <row r="34" spans="1:5" ht="36" x14ac:dyDescent="0.35">
      <c r="A34" s="38" t="s">
        <v>386</v>
      </c>
      <c r="B34" s="210" t="s">
        <v>403</v>
      </c>
      <c r="C34" s="312">
        <v>18109.7</v>
      </c>
      <c r="D34" s="313">
        <v>1367.1</v>
      </c>
      <c r="E34" s="196">
        <v>1367.1</v>
      </c>
    </row>
    <row r="35" spans="1:5" ht="36.6" customHeight="1" x14ac:dyDescent="0.35">
      <c r="A35" s="38" t="s">
        <v>153</v>
      </c>
      <c r="B35" s="64" t="s">
        <v>154</v>
      </c>
      <c r="C35" s="312">
        <v>27958.699999999997</v>
      </c>
      <c r="D35" s="313">
        <v>10804.4</v>
      </c>
      <c r="E35" s="196">
        <v>10841.6</v>
      </c>
    </row>
    <row r="36" spans="1:5" ht="18.75" customHeight="1" x14ac:dyDescent="0.35">
      <c r="A36" s="36" t="s">
        <v>155</v>
      </c>
      <c r="B36" s="64" t="s">
        <v>156</v>
      </c>
      <c r="C36" s="312">
        <v>6445.8</v>
      </c>
      <c r="D36" s="313">
        <v>4436</v>
      </c>
      <c r="E36" s="196">
        <v>4436</v>
      </c>
    </row>
    <row r="37" spans="1:5" x14ac:dyDescent="0.35">
      <c r="A37" s="90" t="s">
        <v>16</v>
      </c>
      <c r="B37" s="223" t="s">
        <v>311</v>
      </c>
      <c r="C37" s="190">
        <v>1862423.6055600001</v>
      </c>
      <c r="D37" s="190">
        <v>1280866</v>
      </c>
      <c r="E37" s="190">
        <v>1172345.8999999999</v>
      </c>
    </row>
    <row r="38" spans="1:5" ht="36.75" customHeight="1" x14ac:dyDescent="0.35">
      <c r="A38" s="84" t="s">
        <v>17</v>
      </c>
      <c r="B38" s="224" t="s">
        <v>18</v>
      </c>
      <c r="C38" s="311">
        <v>1886970.0999999999</v>
      </c>
      <c r="D38" s="311">
        <v>1280866</v>
      </c>
      <c r="E38" s="311">
        <v>1172345.8999999999</v>
      </c>
    </row>
    <row r="39" spans="1:5" s="226" customFormat="1" ht="36" x14ac:dyDescent="0.35">
      <c r="A39" s="84" t="s">
        <v>395</v>
      </c>
      <c r="B39" s="225" t="s">
        <v>343</v>
      </c>
      <c r="C39" s="311">
        <v>256487.90000000002</v>
      </c>
      <c r="D39" s="311">
        <v>169927</v>
      </c>
      <c r="E39" s="311">
        <v>182469.7</v>
      </c>
    </row>
    <row r="40" spans="1:5" s="226" customFormat="1" ht="39" customHeight="1" x14ac:dyDescent="0.35">
      <c r="A40" s="11" t="s">
        <v>397</v>
      </c>
      <c r="B40" s="211" t="s">
        <v>306</v>
      </c>
      <c r="C40" s="311">
        <v>566149.6</v>
      </c>
      <c r="D40" s="311">
        <v>195281.50000000003</v>
      </c>
      <c r="E40" s="311">
        <v>72511.3</v>
      </c>
    </row>
    <row r="41" spans="1:5" ht="36" x14ac:dyDescent="0.35">
      <c r="A41" s="265" t="s">
        <v>399</v>
      </c>
      <c r="B41" s="225" t="s">
        <v>342</v>
      </c>
      <c r="C41" s="311">
        <v>996950.39999999991</v>
      </c>
      <c r="D41" s="311">
        <v>915657.5</v>
      </c>
      <c r="E41" s="311">
        <v>917364.89999999991</v>
      </c>
    </row>
    <row r="42" spans="1:5" x14ac:dyDescent="0.35">
      <c r="A42" s="84" t="s">
        <v>405</v>
      </c>
      <c r="B42" s="224" t="s">
        <v>157</v>
      </c>
      <c r="C42" s="191">
        <v>67382.2</v>
      </c>
      <c r="D42" s="191">
        <v>0</v>
      </c>
      <c r="E42" s="191">
        <v>0</v>
      </c>
    </row>
    <row r="43" spans="1:5" ht="54" x14ac:dyDescent="0.35">
      <c r="A43" s="84" t="s">
        <v>696</v>
      </c>
      <c r="B43" s="224" t="s">
        <v>697</v>
      </c>
      <c r="C43" s="191">
        <v>227.512</v>
      </c>
      <c r="D43" s="191">
        <v>0</v>
      </c>
      <c r="E43" s="191">
        <v>0</v>
      </c>
    </row>
    <row r="44" spans="1:5" ht="90" x14ac:dyDescent="0.35">
      <c r="A44" s="337" t="s">
        <v>704</v>
      </c>
      <c r="B44" s="628" t="s">
        <v>705</v>
      </c>
      <c r="C44" s="191">
        <v>287.29809999999998</v>
      </c>
      <c r="D44" s="191">
        <v>0</v>
      </c>
      <c r="E44" s="191">
        <v>0</v>
      </c>
    </row>
    <row r="45" spans="1:5" ht="90" x14ac:dyDescent="0.35">
      <c r="A45" s="337" t="s">
        <v>698</v>
      </c>
      <c r="B45" s="628" t="s">
        <v>699</v>
      </c>
      <c r="C45" s="191">
        <v>8586.6808799999999</v>
      </c>
      <c r="D45" s="191">
        <v>0</v>
      </c>
      <c r="E45" s="191">
        <v>0</v>
      </c>
    </row>
    <row r="46" spans="1:5" ht="90" x14ac:dyDescent="0.35">
      <c r="A46" s="337" t="s">
        <v>700</v>
      </c>
      <c r="B46" s="224" t="s">
        <v>703</v>
      </c>
      <c r="C46" s="191">
        <v>892.49612000000002</v>
      </c>
      <c r="D46" s="191">
        <v>0</v>
      </c>
      <c r="E46" s="191">
        <v>0</v>
      </c>
    </row>
    <row r="47" spans="1:5" ht="72" x14ac:dyDescent="0.35">
      <c r="A47" s="337" t="s">
        <v>701</v>
      </c>
      <c r="B47" s="224" t="s">
        <v>702</v>
      </c>
      <c r="C47" s="191">
        <v>15582.127540000001</v>
      </c>
      <c r="D47" s="191">
        <v>0</v>
      </c>
      <c r="E47" s="191">
        <v>0</v>
      </c>
    </row>
    <row r="48" spans="1:5" x14ac:dyDescent="0.35">
      <c r="A48" s="266"/>
      <c r="B48" s="223" t="s">
        <v>158</v>
      </c>
      <c r="C48" s="192">
        <f>C37+C15</f>
        <v>2558117.4055599999</v>
      </c>
      <c r="D48" s="192">
        <f>D37+D15</f>
        <v>1958815.3</v>
      </c>
      <c r="E48" s="192">
        <f>E37+E15</f>
        <v>1887225.5999999999</v>
      </c>
    </row>
    <row r="49" spans="1:8" x14ac:dyDescent="0.35">
      <c r="A49" s="323" t="s">
        <v>523</v>
      </c>
      <c r="B49" s="324"/>
      <c r="C49" s="325"/>
      <c r="D49" s="325"/>
      <c r="E49" s="325"/>
    </row>
    <row r="50" spans="1:8" ht="37.5" customHeight="1" x14ac:dyDescent="0.35">
      <c r="A50" s="716" t="s">
        <v>312</v>
      </c>
      <c r="B50" s="716"/>
      <c r="C50" s="716"/>
      <c r="D50" s="716"/>
      <c r="E50" s="716"/>
    </row>
    <row r="51" spans="1:8" x14ac:dyDescent="0.35">
      <c r="A51" s="267"/>
    </row>
    <row r="52" spans="1:8" x14ac:dyDescent="0.35">
      <c r="A52" s="267"/>
    </row>
    <row r="53" spans="1:8" s="80" customFormat="1" x14ac:dyDescent="0.35">
      <c r="A53" s="700" t="s">
        <v>762</v>
      </c>
      <c r="B53" s="81"/>
      <c r="C53" s="82"/>
      <c r="D53" s="82"/>
      <c r="E53" s="82"/>
      <c r="F53" s="42"/>
      <c r="G53" s="110"/>
      <c r="H53" s="149"/>
    </row>
    <row r="54" spans="1:8" s="80" customFormat="1" x14ac:dyDescent="0.35">
      <c r="A54" s="700" t="s">
        <v>763</v>
      </c>
      <c r="B54" s="81"/>
      <c r="C54" s="82"/>
      <c r="D54" s="82"/>
      <c r="E54" s="82"/>
      <c r="F54" s="42"/>
      <c r="G54" s="110"/>
      <c r="H54" s="149"/>
    </row>
    <row r="55" spans="1:8" s="80" customFormat="1" x14ac:dyDescent="0.35">
      <c r="A55" s="700" t="s">
        <v>375</v>
      </c>
      <c r="B55" s="81"/>
      <c r="C55" s="82"/>
      <c r="D55" s="82"/>
      <c r="E55" s="82"/>
      <c r="F55" s="42"/>
      <c r="G55" s="110"/>
      <c r="H55" s="149"/>
    </row>
    <row r="56" spans="1:8" s="80" customFormat="1" x14ac:dyDescent="0.35">
      <c r="A56" s="701" t="s">
        <v>376</v>
      </c>
      <c r="B56" s="81"/>
      <c r="D56" s="82"/>
      <c r="E56" s="111" t="s">
        <v>764</v>
      </c>
      <c r="F56" s="42"/>
    </row>
    <row r="58" spans="1:8" x14ac:dyDescent="0.35">
      <c r="B58" s="268"/>
      <c r="C58" s="194"/>
    </row>
    <row r="59" spans="1:8" x14ac:dyDescent="0.35">
      <c r="B59" s="268"/>
      <c r="C59" s="194"/>
    </row>
    <row r="66" spans="2:3" x14ac:dyDescent="0.35">
      <c r="B66" s="195"/>
      <c r="C66" s="195"/>
    </row>
    <row r="67" spans="2:3" x14ac:dyDescent="0.35">
      <c r="B67" s="195"/>
      <c r="C67" s="195"/>
    </row>
    <row r="68" spans="2:3" x14ac:dyDescent="0.35">
      <c r="B68" s="195"/>
      <c r="C68" s="195"/>
    </row>
    <row r="69" spans="2:3" x14ac:dyDescent="0.35">
      <c r="B69" s="195"/>
      <c r="C69" s="195"/>
    </row>
    <row r="70" spans="2:3" x14ac:dyDescent="0.35">
      <c r="B70" s="195"/>
      <c r="C70" s="195"/>
    </row>
    <row r="71" spans="2:3" x14ac:dyDescent="0.35">
      <c r="B71" s="195"/>
      <c r="C71" s="195"/>
    </row>
    <row r="72" spans="2:3" x14ac:dyDescent="0.35">
      <c r="B72" s="195"/>
      <c r="C72" s="195"/>
    </row>
    <row r="73" spans="2:3" x14ac:dyDescent="0.35">
      <c r="B73" s="195"/>
      <c r="C73" s="195"/>
    </row>
    <row r="74" spans="2:3" x14ac:dyDescent="0.35">
      <c r="B74" s="195"/>
      <c r="C74" s="195"/>
    </row>
    <row r="75" spans="2:3" x14ac:dyDescent="0.35">
      <c r="B75" s="195"/>
      <c r="C75" s="195"/>
    </row>
    <row r="76" spans="2:3" x14ac:dyDescent="0.35">
      <c r="B76" s="195"/>
      <c r="C76" s="195"/>
    </row>
    <row r="77" spans="2:3" x14ac:dyDescent="0.35">
      <c r="B77" s="195"/>
      <c r="C77" s="195"/>
    </row>
    <row r="78" spans="2:3" x14ac:dyDescent="0.35">
      <c r="B78" s="195"/>
      <c r="C78" s="195"/>
    </row>
    <row r="79" spans="2:3" x14ac:dyDescent="0.35">
      <c r="B79" s="195"/>
      <c r="C79" s="195"/>
    </row>
    <row r="80" spans="2:3" x14ac:dyDescent="0.35">
      <c r="B80" s="195"/>
      <c r="C80" s="195"/>
    </row>
    <row r="81" spans="2:3" x14ac:dyDescent="0.35">
      <c r="B81" s="195"/>
      <c r="C81" s="195"/>
    </row>
    <row r="82" spans="2:3" x14ac:dyDescent="0.35">
      <c r="B82" s="195"/>
      <c r="C82" s="195"/>
    </row>
    <row r="83" spans="2:3" x14ac:dyDescent="0.35">
      <c r="B83" s="195"/>
      <c r="C83" s="195"/>
    </row>
    <row r="84" spans="2:3" x14ac:dyDescent="0.35">
      <c r="B84" s="195"/>
      <c r="C84" s="195"/>
    </row>
    <row r="85" spans="2:3" x14ac:dyDescent="0.35">
      <c r="B85" s="195"/>
      <c r="C85" s="195"/>
    </row>
    <row r="86" spans="2:3" x14ac:dyDescent="0.35">
      <c r="B86" s="195"/>
      <c r="C86" s="195"/>
    </row>
    <row r="87" spans="2:3" x14ac:dyDescent="0.35">
      <c r="B87" s="195"/>
      <c r="C87" s="195"/>
    </row>
    <row r="88" spans="2:3" x14ac:dyDescent="0.35">
      <c r="B88" s="195"/>
      <c r="C88" s="195"/>
    </row>
    <row r="89" spans="2:3" x14ac:dyDescent="0.35">
      <c r="B89" s="195"/>
      <c r="C89" s="195"/>
    </row>
    <row r="90" spans="2:3" x14ac:dyDescent="0.35">
      <c r="B90" s="195"/>
      <c r="C90" s="195"/>
    </row>
    <row r="91" spans="2:3" x14ac:dyDescent="0.35">
      <c r="B91" s="195"/>
      <c r="C91" s="195"/>
    </row>
    <row r="92" spans="2:3" x14ac:dyDescent="0.35">
      <c r="B92" s="195"/>
      <c r="C92" s="195"/>
    </row>
    <row r="93" spans="2:3" x14ac:dyDescent="0.35">
      <c r="B93" s="195"/>
      <c r="C93" s="195"/>
    </row>
    <row r="94" spans="2:3" x14ac:dyDescent="0.35">
      <c r="B94" s="195"/>
      <c r="C94" s="195"/>
    </row>
    <row r="95" spans="2:3" x14ac:dyDescent="0.35">
      <c r="B95" s="195"/>
      <c r="C95" s="195"/>
    </row>
    <row r="96" spans="2:3" x14ac:dyDescent="0.35">
      <c r="B96" s="195"/>
      <c r="C96" s="195"/>
    </row>
    <row r="97" spans="2:3" x14ac:dyDescent="0.35">
      <c r="B97" s="195"/>
      <c r="C97" s="195"/>
    </row>
    <row r="98" spans="2:3" x14ac:dyDescent="0.35">
      <c r="B98" s="195"/>
      <c r="C98" s="195"/>
    </row>
    <row r="99" spans="2:3" x14ac:dyDescent="0.35">
      <c r="B99" s="195"/>
      <c r="C99" s="195"/>
    </row>
    <row r="100" spans="2:3" x14ac:dyDescent="0.35">
      <c r="B100" s="195"/>
      <c r="C100" s="195"/>
    </row>
    <row r="101" spans="2:3" x14ac:dyDescent="0.35">
      <c r="B101" s="195"/>
      <c r="C101" s="195"/>
    </row>
    <row r="102" spans="2:3" x14ac:dyDescent="0.35">
      <c r="B102" s="195"/>
      <c r="C102" s="195"/>
    </row>
    <row r="103" spans="2:3" x14ac:dyDescent="0.35">
      <c r="B103" s="195"/>
      <c r="C103" s="195"/>
    </row>
    <row r="104" spans="2:3" x14ac:dyDescent="0.35">
      <c r="B104" s="195"/>
      <c r="C104" s="195"/>
    </row>
    <row r="105" spans="2:3" x14ac:dyDescent="0.35">
      <c r="B105" s="195"/>
      <c r="C105" s="195"/>
    </row>
    <row r="106" spans="2:3" x14ac:dyDescent="0.35">
      <c r="B106" s="195"/>
      <c r="C106" s="195"/>
    </row>
    <row r="107" spans="2:3" x14ac:dyDescent="0.35">
      <c r="B107" s="195"/>
      <c r="C107" s="195"/>
    </row>
    <row r="108" spans="2:3" x14ac:dyDescent="0.35">
      <c r="B108" s="195"/>
      <c r="C108" s="195"/>
    </row>
    <row r="109" spans="2:3" x14ac:dyDescent="0.35">
      <c r="B109" s="195"/>
      <c r="C109" s="195"/>
    </row>
    <row r="110" spans="2:3" x14ac:dyDescent="0.35">
      <c r="B110" s="195"/>
      <c r="C110" s="195"/>
    </row>
    <row r="111" spans="2:3" x14ac:dyDescent="0.35">
      <c r="B111" s="195"/>
      <c r="C111" s="195"/>
    </row>
    <row r="112" spans="2:3" x14ac:dyDescent="0.35">
      <c r="B112" s="195"/>
      <c r="C112" s="195"/>
    </row>
    <row r="113" spans="2:3" x14ac:dyDescent="0.35">
      <c r="B113" s="195"/>
      <c r="C113" s="195"/>
    </row>
    <row r="114" spans="2:3" x14ac:dyDescent="0.35">
      <c r="B114" s="195"/>
      <c r="C114" s="195"/>
    </row>
    <row r="115" spans="2:3" x14ac:dyDescent="0.35">
      <c r="B115" s="195"/>
      <c r="C115" s="195"/>
    </row>
    <row r="116" spans="2:3" x14ac:dyDescent="0.35">
      <c r="B116" s="195"/>
      <c r="C116" s="195"/>
    </row>
    <row r="117" spans="2:3" x14ac:dyDescent="0.35">
      <c r="B117" s="195"/>
      <c r="C117" s="195"/>
    </row>
    <row r="118" spans="2:3" x14ac:dyDescent="0.35">
      <c r="B118" s="195"/>
      <c r="C118" s="195"/>
    </row>
    <row r="119" spans="2:3" x14ac:dyDescent="0.35">
      <c r="B119" s="195"/>
      <c r="C119" s="195"/>
    </row>
    <row r="120" spans="2:3" x14ac:dyDescent="0.35">
      <c r="B120" s="195"/>
      <c r="C120" s="195"/>
    </row>
    <row r="121" spans="2:3" x14ac:dyDescent="0.35">
      <c r="B121" s="195"/>
      <c r="C121" s="195"/>
    </row>
    <row r="122" spans="2:3" x14ac:dyDescent="0.35">
      <c r="B122" s="195"/>
      <c r="C122" s="195"/>
    </row>
    <row r="123" spans="2:3" x14ac:dyDescent="0.35">
      <c r="B123" s="195"/>
      <c r="C123" s="195"/>
    </row>
    <row r="124" spans="2:3" x14ac:dyDescent="0.35">
      <c r="B124" s="195"/>
      <c r="C124" s="195"/>
    </row>
    <row r="125" spans="2:3" x14ac:dyDescent="0.35">
      <c r="B125" s="195"/>
      <c r="C125" s="195"/>
    </row>
    <row r="126" spans="2:3" x14ac:dyDescent="0.35">
      <c r="B126" s="195"/>
      <c r="C126" s="195"/>
    </row>
    <row r="127" spans="2:3" x14ac:dyDescent="0.35">
      <c r="B127" s="195"/>
      <c r="C127" s="195"/>
    </row>
    <row r="128" spans="2:3" x14ac:dyDescent="0.35">
      <c r="B128" s="195"/>
      <c r="C128" s="195"/>
    </row>
    <row r="129" spans="2:3" x14ac:dyDescent="0.35">
      <c r="B129" s="195"/>
      <c r="C129" s="195"/>
    </row>
    <row r="130" spans="2:3" x14ac:dyDescent="0.35">
      <c r="B130" s="195"/>
      <c r="C130" s="195"/>
    </row>
    <row r="131" spans="2:3" x14ac:dyDescent="0.35">
      <c r="B131" s="195"/>
      <c r="C131" s="195"/>
    </row>
    <row r="132" spans="2:3" x14ac:dyDescent="0.35">
      <c r="B132" s="195"/>
      <c r="C132" s="195"/>
    </row>
    <row r="133" spans="2:3" x14ac:dyDescent="0.35">
      <c r="B133" s="195"/>
      <c r="C133" s="195"/>
    </row>
    <row r="134" spans="2:3" x14ac:dyDescent="0.35">
      <c r="B134" s="195"/>
      <c r="C134" s="195"/>
    </row>
    <row r="135" spans="2:3" x14ac:dyDescent="0.35">
      <c r="B135" s="195"/>
      <c r="C135" s="195"/>
    </row>
    <row r="136" spans="2:3" x14ac:dyDescent="0.35">
      <c r="B136" s="195"/>
      <c r="C136" s="195"/>
    </row>
    <row r="137" spans="2:3" x14ac:dyDescent="0.35">
      <c r="B137" s="195"/>
      <c r="C137" s="195"/>
    </row>
    <row r="138" spans="2:3" x14ac:dyDescent="0.35">
      <c r="B138" s="195"/>
      <c r="C138" s="195"/>
    </row>
    <row r="139" spans="2:3" x14ac:dyDescent="0.35">
      <c r="B139" s="195"/>
      <c r="C139" s="195"/>
    </row>
    <row r="140" spans="2:3" x14ac:dyDescent="0.35">
      <c r="B140" s="195"/>
      <c r="C140" s="195"/>
    </row>
    <row r="141" spans="2:3" x14ac:dyDescent="0.35">
      <c r="B141" s="195"/>
      <c r="C141" s="195"/>
    </row>
    <row r="142" spans="2:3" x14ac:dyDescent="0.35">
      <c r="B142" s="195"/>
      <c r="C142" s="195"/>
    </row>
    <row r="143" spans="2:3" x14ac:dyDescent="0.35">
      <c r="B143" s="195"/>
      <c r="C143" s="195"/>
    </row>
  </sheetData>
  <mergeCells count="5">
    <mergeCell ref="C12:E12"/>
    <mergeCell ref="A9:E9"/>
    <mergeCell ref="A50:E50"/>
    <mergeCell ref="A12:A13"/>
    <mergeCell ref="B12:B13"/>
  </mergeCells>
  <printOptions horizontalCentered="1"/>
  <pageMargins left="1.1811023622047245" right="0.39370078740157483" top="0.78740157480314965" bottom="0.78740157480314965" header="0.39370078740157483" footer="0.39370078740157483"/>
  <pageSetup paperSize="9" scale="61" fitToHeight="0" orientation="portrait" blackAndWhite="1" errors="blank" r:id="rId1"/>
  <headerFooter differentFirst="1">
    <oddHeader>&amp;C&amp;"Times New Roman,обычный"&amp;12&amp;P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22"/>
  <sheetViews>
    <sheetView zoomScaleNormal="100" workbookViewId="0">
      <selection activeCell="G8" sqref="G8"/>
    </sheetView>
  </sheetViews>
  <sheetFormatPr defaultColWidth="8.88671875" defaultRowHeight="18" x14ac:dyDescent="0.35"/>
  <cols>
    <col min="1" max="1" width="65" style="34" customWidth="1"/>
    <col min="2" max="2" width="14.6640625" style="34" customWidth="1"/>
    <col min="3" max="3" width="13.33203125" style="34" customWidth="1"/>
    <col min="4" max="4" width="11" style="34" customWidth="1"/>
    <col min="5" max="16384" width="8.88671875" style="34"/>
  </cols>
  <sheetData>
    <row r="1" spans="1:4" x14ac:dyDescent="0.35">
      <c r="D1" s="158" t="s">
        <v>602</v>
      </c>
    </row>
    <row r="2" spans="1:4" x14ac:dyDescent="0.35">
      <c r="D2" s="158" t="s">
        <v>765</v>
      </c>
    </row>
    <row r="4" spans="1:4" x14ac:dyDescent="0.35">
      <c r="D4" s="39" t="s">
        <v>603</v>
      </c>
    </row>
    <row r="5" spans="1:4" x14ac:dyDescent="0.35">
      <c r="D5" s="39" t="s">
        <v>667</v>
      </c>
    </row>
    <row r="8" spans="1:4" ht="57" customHeight="1" x14ac:dyDescent="0.35">
      <c r="A8" s="780" t="s">
        <v>599</v>
      </c>
      <c r="B8" s="780"/>
      <c r="C8" s="780"/>
      <c r="D8" s="780"/>
    </row>
    <row r="9" spans="1:4" ht="16.95" customHeight="1" x14ac:dyDescent="0.35">
      <c r="A9" s="470"/>
      <c r="B9" s="470"/>
      <c r="C9" s="270"/>
    </row>
    <row r="10" spans="1:4" x14ac:dyDescent="0.35">
      <c r="D10" s="39" t="s">
        <v>22</v>
      </c>
    </row>
    <row r="11" spans="1:4" ht="19.95" customHeight="1" x14ac:dyDescent="0.35">
      <c r="A11" s="724" t="s">
        <v>257</v>
      </c>
      <c r="B11" s="777" t="s">
        <v>15</v>
      </c>
      <c r="C11" s="778"/>
      <c r="D11" s="779"/>
    </row>
    <row r="12" spans="1:4" ht="31.95" customHeight="1" x14ac:dyDescent="0.35">
      <c r="A12" s="725"/>
      <c r="B12" s="335" t="s">
        <v>458</v>
      </c>
      <c r="C12" s="335" t="s">
        <v>504</v>
      </c>
      <c r="D12" s="335" t="s">
        <v>592</v>
      </c>
    </row>
    <row r="13" spans="1:4" x14ac:dyDescent="0.35">
      <c r="A13" s="50">
        <v>1</v>
      </c>
      <c r="B13" s="50">
        <v>2</v>
      </c>
      <c r="C13" s="50">
        <v>3</v>
      </c>
      <c r="D13" s="50">
        <v>4</v>
      </c>
    </row>
    <row r="14" spans="1:4" ht="22.95" customHeight="1" x14ac:dyDescent="0.35">
      <c r="A14" s="271" t="s">
        <v>313</v>
      </c>
      <c r="B14" s="272">
        <f>SUM(B15:B16)</f>
        <v>78229.899999999994</v>
      </c>
      <c r="C14" s="272">
        <f>SUM(C15:C16)</f>
        <v>7500</v>
      </c>
      <c r="D14" s="272">
        <f>SUM(D15:D16)</f>
        <v>7500</v>
      </c>
    </row>
    <row r="15" spans="1:4" ht="36" x14ac:dyDescent="0.35">
      <c r="A15" s="210" t="s">
        <v>258</v>
      </c>
      <c r="B15" s="259">
        <f>'прил9 (ведом 23)'!M303</f>
        <v>7500</v>
      </c>
      <c r="C15" s="259">
        <f>'прил10 (ведом 24-25)'!M202</f>
        <v>7500</v>
      </c>
      <c r="D15" s="259">
        <f>'прил10 (ведом 24-25)'!N202</f>
        <v>7500</v>
      </c>
    </row>
    <row r="16" spans="1:4" ht="36" x14ac:dyDescent="0.35">
      <c r="A16" s="273" t="s">
        <v>429</v>
      </c>
      <c r="B16" s="259">
        <f>'прил9 (ведом 23)'!M104+'прил9 (ведом 23)'!M106+'прил9 (ведом 23)'!M114+'прил9 (ведом 23)'!M227+'прил9 (ведом 23)'!M230+'прил9 (ведом 23)'!M233+'прил9 (ведом 23)'!M236+'прил9 (ведом 23)'!M239+'прил9 (ведом 23)'!M242+'прил9 (ведом 23)'!M245+'прил9 (ведом 23)'!M248+'прил9 (ведом 23)'!M251+'прил9 (ведом 23)'!M254+'прил9 (ведом 23)'!M257+'прил9 (ведом 23)'!M260+'прил9 (ведом 23)'!M264+'прил9 (ведом 23)'!M309</f>
        <v>70729.899999999994</v>
      </c>
      <c r="C16" s="259">
        <v>0</v>
      </c>
      <c r="D16" s="259">
        <v>0</v>
      </c>
    </row>
    <row r="19" spans="1:8" s="80" customFormat="1" x14ac:dyDescent="0.35">
      <c r="A19" s="698" t="s">
        <v>762</v>
      </c>
      <c r="B19" s="81"/>
      <c r="C19" s="82"/>
      <c r="D19" s="82"/>
      <c r="E19" s="82"/>
      <c r="F19" s="42"/>
      <c r="G19" s="110"/>
      <c r="H19" s="149"/>
    </row>
    <row r="20" spans="1:8" s="80" customFormat="1" x14ac:dyDescent="0.35">
      <c r="A20" s="698" t="s">
        <v>763</v>
      </c>
      <c r="B20" s="81"/>
      <c r="C20" s="82"/>
      <c r="D20" s="82"/>
      <c r="E20" s="82"/>
      <c r="F20" s="42"/>
      <c r="G20" s="110"/>
      <c r="H20" s="149"/>
    </row>
    <row r="21" spans="1:8" s="80" customFormat="1" x14ac:dyDescent="0.35">
      <c r="A21" s="698" t="s">
        <v>375</v>
      </c>
      <c r="D21" s="111" t="s">
        <v>764</v>
      </c>
      <c r="E21" s="82"/>
      <c r="F21" s="42"/>
    </row>
    <row r="22" spans="1:8" x14ac:dyDescent="0.35">
      <c r="A22" s="699" t="s">
        <v>376</v>
      </c>
    </row>
  </sheetData>
  <mergeCells count="3">
    <mergeCell ref="B11:D11"/>
    <mergeCell ref="A11:A12"/>
    <mergeCell ref="A8:D8"/>
  </mergeCells>
  <printOptions horizontalCentered="1"/>
  <pageMargins left="1.1811023622047245" right="0.39370078740157483" top="0.78740157480314965" bottom="0.78740157480314965" header="0.31496062992125984" footer="0.31496062992125984"/>
  <pageSetup paperSize="9" scale="81"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437"/>
  <sheetViews>
    <sheetView zoomScale="80" zoomScaleNormal="80" zoomScaleSheetLayoutView="80" workbookViewId="0">
      <selection activeCell="I7" sqref="I7"/>
    </sheetView>
  </sheetViews>
  <sheetFormatPr defaultColWidth="8.88671875" defaultRowHeight="18" x14ac:dyDescent="0.35"/>
  <cols>
    <col min="1" max="1" width="28.109375" style="61" customWidth="1"/>
    <col min="2" max="2" width="72.6640625" style="61" customWidth="1"/>
    <col min="3" max="3" width="15" style="60" customWidth="1"/>
    <col min="4" max="4" width="11" style="46" hidden="1" customWidth="1"/>
    <col min="5" max="5" width="7.6640625" style="34" hidden="1" customWidth="1"/>
    <col min="6" max="6" width="0" style="34" hidden="1" customWidth="1"/>
    <col min="7" max="16384" width="8.88671875" style="34"/>
  </cols>
  <sheetData>
    <row r="1" spans="1:4" s="195" customFormat="1" x14ac:dyDescent="0.35">
      <c r="B1" s="264"/>
      <c r="C1" s="39" t="s">
        <v>510</v>
      </c>
    </row>
    <row r="2" spans="1:4" s="195" customFormat="1" x14ac:dyDescent="0.35">
      <c r="B2" s="264"/>
      <c r="C2" s="158" t="s">
        <v>765</v>
      </c>
    </row>
    <row r="3" spans="1:4" s="195" customFormat="1" x14ac:dyDescent="0.35">
      <c r="B3" s="264"/>
      <c r="C3" s="158"/>
    </row>
    <row r="4" spans="1:4" x14ac:dyDescent="0.35">
      <c r="C4" s="39" t="s">
        <v>510</v>
      </c>
    </row>
    <row r="5" spans="1:4" x14ac:dyDescent="0.35">
      <c r="C5" s="158" t="s">
        <v>667</v>
      </c>
    </row>
    <row r="8" spans="1:4" ht="15.75" customHeight="1" x14ac:dyDescent="0.35"/>
    <row r="9" spans="1:4" ht="40.200000000000003" customHeight="1" x14ac:dyDescent="0.35">
      <c r="A9" s="721" t="s">
        <v>605</v>
      </c>
      <c r="B9" s="721"/>
      <c r="C9" s="721"/>
    </row>
    <row r="10" spans="1:4" x14ac:dyDescent="0.35">
      <c r="A10" s="62"/>
      <c r="B10" s="62"/>
      <c r="C10" s="47"/>
    </row>
    <row r="11" spans="1:4" x14ac:dyDescent="0.35">
      <c r="C11" s="48" t="s">
        <v>22</v>
      </c>
    </row>
    <row r="12" spans="1:4" x14ac:dyDescent="0.35">
      <c r="A12" s="38" t="s">
        <v>13</v>
      </c>
      <c r="B12" s="38" t="s">
        <v>14</v>
      </c>
      <c r="C12" s="49" t="s">
        <v>15</v>
      </c>
    </row>
    <row r="13" spans="1:4" x14ac:dyDescent="0.35">
      <c r="A13" s="38">
        <v>1</v>
      </c>
      <c r="B13" s="38">
        <v>2</v>
      </c>
      <c r="C13" s="51">
        <v>3</v>
      </c>
    </row>
    <row r="14" spans="1:4" ht="23.4" customHeight="1" x14ac:dyDescent="0.35">
      <c r="A14" s="40" t="s">
        <v>16</v>
      </c>
      <c r="B14" s="52" t="s">
        <v>311</v>
      </c>
      <c r="C14" s="53">
        <v>1886970.0999999999</v>
      </c>
      <c r="D14" s="198"/>
    </row>
    <row r="15" spans="1:4" ht="38.4" customHeight="1" x14ac:dyDescent="0.35">
      <c r="A15" s="38" t="s">
        <v>17</v>
      </c>
      <c r="B15" s="63" t="s">
        <v>18</v>
      </c>
      <c r="C15" s="66">
        <v>1886970.0999999999</v>
      </c>
      <c r="D15" s="198"/>
    </row>
    <row r="16" spans="1:4" ht="22.2" customHeight="1" x14ac:dyDescent="0.35">
      <c r="A16" s="38" t="s">
        <v>395</v>
      </c>
      <c r="B16" s="63" t="s">
        <v>340</v>
      </c>
      <c r="C16" s="66">
        <v>256487.90000000002</v>
      </c>
      <c r="D16" s="198"/>
    </row>
    <row r="17" spans="1:4" ht="21.6" customHeight="1" x14ac:dyDescent="0.35">
      <c r="A17" s="38" t="s">
        <v>396</v>
      </c>
      <c r="B17" s="63" t="s">
        <v>19</v>
      </c>
      <c r="C17" s="66">
        <v>228558.1</v>
      </c>
      <c r="D17" s="198"/>
    </row>
    <row r="18" spans="1:4" ht="54.75" customHeight="1" x14ac:dyDescent="0.35">
      <c r="A18" s="38" t="s">
        <v>392</v>
      </c>
      <c r="B18" s="63" t="s">
        <v>426</v>
      </c>
      <c r="C18" s="66">
        <v>228558.1</v>
      </c>
      <c r="D18" s="198"/>
    </row>
    <row r="19" spans="1:4" ht="36" x14ac:dyDescent="0.35">
      <c r="A19" s="38" t="s">
        <v>715</v>
      </c>
      <c r="B19" s="63" t="s">
        <v>716</v>
      </c>
      <c r="C19" s="66">
        <v>6168.2</v>
      </c>
      <c r="D19" s="198"/>
    </row>
    <row r="20" spans="1:4" ht="36" x14ac:dyDescent="0.35">
      <c r="A20" s="38" t="s">
        <v>717</v>
      </c>
      <c r="B20" s="63" t="s">
        <v>718</v>
      </c>
      <c r="C20" s="66">
        <v>6168.2</v>
      </c>
      <c r="D20" s="198">
        <v>905</v>
      </c>
    </row>
    <row r="21" spans="1:4" x14ac:dyDescent="0.35">
      <c r="A21" s="38" t="s">
        <v>711</v>
      </c>
      <c r="B21" s="63" t="s">
        <v>712</v>
      </c>
      <c r="C21" s="66">
        <v>21761.599999999999</v>
      </c>
      <c r="D21" s="198"/>
    </row>
    <row r="22" spans="1:4" x14ac:dyDescent="0.35">
      <c r="A22" s="38" t="s">
        <v>713</v>
      </c>
      <c r="B22" s="63" t="s">
        <v>714</v>
      </c>
      <c r="C22" s="66">
        <v>21761.599999999999</v>
      </c>
      <c r="D22" s="198"/>
    </row>
    <row r="23" spans="1:4" ht="39.6" customHeight="1" x14ac:dyDescent="0.35">
      <c r="A23" s="38" t="s">
        <v>397</v>
      </c>
      <c r="B23" s="64" t="s">
        <v>369</v>
      </c>
      <c r="C23" s="66">
        <v>566149.6</v>
      </c>
      <c r="D23" s="198"/>
    </row>
    <row r="24" spans="1:4" ht="34.5" customHeight="1" x14ac:dyDescent="0.35">
      <c r="A24" s="38" t="s">
        <v>418</v>
      </c>
      <c r="B24" s="64" t="s">
        <v>419</v>
      </c>
      <c r="C24" s="66">
        <v>275875.59999999998</v>
      </c>
      <c r="D24" s="198"/>
    </row>
    <row r="25" spans="1:4" ht="56.4" customHeight="1" x14ac:dyDescent="0.35">
      <c r="A25" s="38" t="s">
        <v>416</v>
      </c>
      <c r="B25" s="64" t="s">
        <v>417</v>
      </c>
      <c r="C25" s="66">
        <v>275875.59999999998</v>
      </c>
      <c r="D25" s="198"/>
    </row>
    <row r="26" spans="1:4" ht="90" x14ac:dyDescent="0.35">
      <c r="A26" s="38"/>
      <c r="B26" s="228" t="s">
        <v>533</v>
      </c>
      <c r="C26" s="68">
        <v>200176.5</v>
      </c>
      <c r="D26" s="198">
        <v>921</v>
      </c>
    </row>
    <row r="27" spans="1:4" ht="54" x14ac:dyDescent="0.35">
      <c r="A27" s="37"/>
      <c r="B27" s="227" t="s">
        <v>463</v>
      </c>
      <c r="C27" s="67">
        <v>75699.100000000006</v>
      </c>
      <c r="D27" s="198">
        <v>921</v>
      </c>
    </row>
    <row r="28" spans="1:4" ht="126" x14ac:dyDescent="0.35">
      <c r="A28" s="38" t="s">
        <v>608</v>
      </c>
      <c r="B28" s="63" t="s">
        <v>688</v>
      </c>
      <c r="C28" s="67">
        <v>20989.9</v>
      </c>
      <c r="D28" s="198">
        <v>902</v>
      </c>
    </row>
    <row r="29" spans="1:4" ht="126" x14ac:dyDescent="0.35">
      <c r="A29" s="38" t="s">
        <v>609</v>
      </c>
      <c r="B29" s="63" t="s">
        <v>689</v>
      </c>
      <c r="C29" s="67">
        <v>20989.9</v>
      </c>
      <c r="D29" s="198"/>
    </row>
    <row r="30" spans="1:4" ht="108" x14ac:dyDescent="0.35">
      <c r="A30" s="38" t="s">
        <v>620</v>
      </c>
      <c r="B30" s="63" t="s">
        <v>621</v>
      </c>
      <c r="C30" s="67">
        <v>36665.9</v>
      </c>
      <c r="D30" s="198">
        <v>902</v>
      </c>
    </row>
    <row r="31" spans="1:4" ht="108" x14ac:dyDescent="0.35">
      <c r="A31" s="38" t="s">
        <v>622</v>
      </c>
      <c r="B31" s="63" t="s">
        <v>623</v>
      </c>
      <c r="C31" s="67">
        <v>36665.9</v>
      </c>
      <c r="D31" s="198"/>
    </row>
    <row r="32" spans="1:4" s="46" customFormat="1" ht="36" x14ac:dyDescent="0.35">
      <c r="A32" s="37" t="s">
        <v>483</v>
      </c>
      <c r="B32" s="64" t="s">
        <v>484</v>
      </c>
      <c r="C32" s="66">
        <v>1446.3999999999996</v>
      </c>
      <c r="D32" s="198">
        <v>929</v>
      </c>
    </row>
    <row r="33" spans="1:4" s="46" customFormat="1" ht="57" customHeight="1" x14ac:dyDescent="0.35">
      <c r="A33" s="37" t="s">
        <v>485</v>
      </c>
      <c r="B33" s="64" t="s">
        <v>486</v>
      </c>
      <c r="C33" s="66">
        <v>1446.3999999999996</v>
      </c>
      <c r="D33" s="198"/>
    </row>
    <row r="34" spans="1:4" s="46" customFormat="1" ht="75" customHeight="1" x14ac:dyDescent="0.35">
      <c r="A34" s="37" t="s">
        <v>456</v>
      </c>
      <c r="B34" s="64" t="s">
        <v>460</v>
      </c>
      <c r="C34" s="66">
        <v>64498.1</v>
      </c>
      <c r="D34" s="198"/>
    </row>
    <row r="35" spans="1:4" s="46" customFormat="1" ht="72" x14ac:dyDescent="0.35">
      <c r="A35" s="37" t="s">
        <v>452</v>
      </c>
      <c r="B35" s="64" t="s">
        <v>453</v>
      </c>
      <c r="C35" s="66">
        <v>64498.1</v>
      </c>
      <c r="D35" s="198">
        <v>925</v>
      </c>
    </row>
    <row r="36" spans="1:4" s="46" customFormat="1" x14ac:dyDescent="0.35">
      <c r="A36" s="37" t="s">
        <v>570</v>
      </c>
      <c r="B36" s="64" t="s">
        <v>571</v>
      </c>
      <c r="C36" s="66">
        <v>496.2</v>
      </c>
      <c r="D36" s="198">
        <v>926</v>
      </c>
    </row>
    <row r="37" spans="1:4" s="46" customFormat="1" ht="36" customHeight="1" x14ac:dyDescent="0.35">
      <c r="A37" s="37" t="s">
        <v>569</v>
      </c>
      <c r="B37" s="64" t="s">
        <v>572</v>
      </c>
      <c r="C37" s="66">
        <v>496.2</v>
      </c>
      <c r="D37" s="198"/>
    </row>
    <row r="38" spans="1:4" s="46" customFormat="1" ht="54" x14ac:dyDescent="0.35">
      <c r="A38" s="37"/>
      <c r="B38" s="228" t="s">
        <v>573</v>
      </c>
      <c r="C38" s="68">
        <v>496.2</v>
      </c>
      <c r="D38" s="198"/>
    </row>
    <row r="39" spans="1:4" s="46" customFormat="1" ht="36" x14ac:dyDescent="0.35">
      <c r="A39" s="37" t="s">
        <v>619</v>
      </c>
      <c r="B39" s="64" t="s">
        <v>618</v>
      </c>
      <c r="C39" s="68">
        <v>39175.1</v>
      </c>
      <c r="D39" s="198"/>
    </row>
    <row r="40" spans="1:4" s="46" customFormat="1" ht="36" x14ac:dyDescent="0.35">
      <c r="A40" s="37" t="s">
        <v>617</v>
      </c>
      <c r="B40" s="64" t="s">
        <v>616</v>
      </c>
      <c r="C40" s="68">
        <v>39175.1</v>
      </c>
      <c r="D40" s="198"/>
    </row>
    <row r="41" spans="1:4" s="46" customFormat="1" ht="162" x14ac:dyDescent="0.35">
      <c r="A41" s="37"/>
      <c r="B41" s="228" t="s">
        <v>614</v>
      </c>
      <c r="C41" s="68">
        <v>39175.1</v>
      </c>
      <c r="D41" s="198">
        <v>925</v>
      </c>
    </row>
    <row r="42" spans="1:4" s="46" customFormat="1" ht="90" x14ac:dyDescent="0.35">
      <c r="A42" s="37" t="s">
        <v>640</v>
      </c>
      <c r="B42" s="64" t="s">
        <v>641</v>
      </c>
      <c r="C42" s="68">
        <v>93.9</v>
      </c>
      <c r="D42" s="198"/>
    </row>
    <row r="43" spans="1:4" s="46" customFormat="1" ht="90" x14ac:dyDescent="0.35">
      <c r="A43" s="37" t="s">
        <v>639</v>
      </c>
      <c r="B43" s="64" t="s">
        <v>638</v>
      </c>
      <c r="C43" s="68">
        <v>93.9</v>
      </c>
      <c r="D43" s="198"/>
    </row>
    <row r="44" spans="1:4" s="46" customFormat="1" ht="201.6" customHeight="1" x14ac:dyDescent="0.35">
      <c r="A44" s="37"/>
      <c r="B44" s="64" t="s">
        <v>663</v>
      </c>
      <c r="C44" s="68">
        <v>93.9</v>
      </c>
      <c r="D44" s="198">
        <v>925</v>
      </c>
    </row>
    <row r="45" spans="1:4" s="46" customFormat="1" ht="57.75" customHeight="1" x14ac:dyDescent="0.35">
      <c r="A45" s="37" t="s">
        <v>580</v>
      </c>
      <c r="B45" s="64" t="s">
        <v>581</v>
      </c>
      <c r="C45" s="66">
        <v>518.6</v>
      </c>
      <c r="D45" s="198"/>
    </row>
    <row r="46" spans="1:4" s="46" customFormat="1" ht="38.25" customHeight="1" x14ac:dyDescent="0.35">
      <c r="A46" s="37" t="s">
        <v>582</v>
      </c>
      <c r="B46" s="64" t="s">
        <v>583</v>
      </c>
      <c r="C46" s="66">
        <v>518.6</v>
      </c>
      <c r="D46" s="198"/>
    </row>
    <row r="47" spans="1:4" s="46" customFormat="1" ht="114.6" customHeight="1" x14ac:dyDescent="0.35">
      <c r="A47" s="37"/>
      <c r="B47" s="228" t="s">
        <v>584</v>
      </c>
      <c r="C47" s="66">
        <v>518.6</v>
      </c>
      <c r="D47" s="198">
        <v>925</v>
      </c>
    </row>
    <row r="48" spans="1:4" ht="17.25" customHeight="1" x14ac:dyDescent="0.35">
      <c r="A48" s="37" t="s">
        <v>398</v>
      </c>
      <c r="B48" s="64" t="s">
        <v>305</v>
      </c>
      <c r="C48" s="66">
        <v>126389.9</v>
      </c>
      <c r="D48" s="198"/>
    </row>
    <row r="49" spans="1:4" x14ac:dyDescent="0.35">
      <c r="A49" s="37" t="s">
        <v>389</v>
      </c>
      <c r="B49" s="64" t="s">
        <v>611</v>
      </c>
      <c r="C49" s="66">
        <v>126389.9</v>
      </c>
      <c r="D49" s="198"/>
    </row>
    <row r="50" spans="1:4" ht="234" x14ac:dyDescent="0.35">
      <c r="A50" s="54"/>
      <c r="B50" s="227" t="s">
        <v>610</v>
      </c>
      <c r="C50" s="68">
        <v>40</v>
      </c>
      <c r="D50" s="199">
        <v>926</v>
      </c>
    </row>
    <row r="51" spans="1:4" ht="54" x14ac:dyDescent="0.35">
      <c r="A51" s="54"/>
      <c r="B51" s="227" t="s">
        <v>406</v>
      </c>
      <c r="C51" s="68">
        <v>1903.3000000000002</v>
      </c>
      <c r="D51" s="199">
        <v>929</v>
      </c>
    </row>
    <row r="52" spans="1:4" ht="72" x14ac:dyDescent="0.35">
      <c r="A52" s="54"/>
      <c r="B52" s="228" t="s">
        <v>501</v>
      </c>
      <c r="C52" s="68">
        <v>14222.4</v>
      </c>
      <c r="D52" s="199">
        <v>902</v>
      </c>
    </row>
    <row r="53" spans="1:4" ht="36" x14ac:dyDescent="0.35">
      <c r="A53" s="54"/>
      <c r="B53" s="228" t="s">
        <v>536</v>
      </c>
      <c r="C53" s="68">
        <v>1690.7</v>
      </c>
      <c r="D53" s="199">
        <v>902</v>
      </c>
    </row>
    <row r="54" spans="1:4" ht="79.95" customHeight="1" x14ac:dyDescent="0.35">
      <c r="A54" s="54"/>
      <c r="B54" s="228" t="s">
        <v>534</v>
      </c>
      <c r="C54" s="68">
        <v>11073.6</v>
      </c>
      <c r="D54" s="199">
        <v>925</v>
      </c>
    </row>
    <row r="55" spans="1:4" ht="54" x14ac:dyDescent="0.35">
      <c r="A55" s="54"/>
      <c r="B55" s="228" t="s">
        <v>508</v>
      </c>
      <c r="C55" s="68">
        <v>1139.8</v>
      </c>
      <c r="D55" s="199">
        <v>925</v>
      </c>
    </row>
    <row r="56" spans="1:4" ht="145.94999999999999" customHeight="1" x14ac:dyDescent="0.35">
      <c r="A56" s="54"/>
      <c r="B56" s="228" t="s">
        <v>575</v>
      </c>
      <c r="C56" s="68">
        <v>4966.3999999999996</v>
      </c>
      <c r="D56" s="199">
        <v>929</v>
      </c>
    </row>
    <row r="57" spans="1:4" ht="54" x14ac:dyDescent="0.35">
      <c r="A57" s="54"/>
      <c r="B57" s="228" t="s">
        <v>585</v>
      </c>
      <c r="C57" s="68">
        <v>33037.5</v>
      </c>
      <c r="D57" s="199">
        <v>902</v>
      </c>
    </row>
    <row r="58" spans="1:4" ht="90" x14ac:dyDescent="0.35">
      <c r="A58" s="54"/>
      <c r="B58" s="228" t="s">
        <v>615</v>
      </c>
      <c r="C58" s="68">
        <v>16290</v>
      </c>
      <c r="D58" s="199">
        <v>926</v>
      </c>
    </row>
    <row r="59" spans="1:4" ht="54" x14ac:dyDescent="0.35">
      <c r="A59" s="54"/>
      <c r="B59" s="228" t="s">
        <v>723</v>
      </c>
      <c r="C59" s="68">
        <v>9603</v>
      </c>
      <c r="D59" s="199">
        <v>902</v>
      </c>
    </row>
    <row r="60" spans="1:4" ht="144" x14ac:dyDescent="0.35">
      <c r="A60" s="54"/>
      <c r="B60" s="228" t="s">
        <v>739</v>
      </c>
      <c r="C60" s="68">
        <v>1395.8</v>
      </c>
      <c r="D60" s="199">
        <v>925</v>
      </c>
    </row>
    <row r="61" spans="1:4" ht="72" x14ac:dyDescent="0.35">
      <c r="A61" s="54"/>
      <c r="B61" s="228" t="s">
        <v>740</v>
      </c>
      <c r="C61" s="68">
        <v>22330.7</v>
      </c>
      <c r="D61" s="199"/>
    </row>
    <row r="62" spans="1:4" ht="126" x14ac:dyDescent="0.35">
      <c r="A62" s="54"/>
      <c r="B62" s="228" t="s">
        <v>754</v>
      </c>
      <c r="C62" s="68">
        <v>8696.7000000000007</v>
      </c>
      <c r="D62" s="199">
        <v>925</v>
      </c>
    </row>
    <row r="63" spans="1:4" ht="36" x14ac:dyDescent="0.35">
      <c r="A63" s="38" t="s">
        <v>399</v>
      </c>
      <c r="B63" s="63" t="s">
        <v>341</v>
      </c>
      <c r="C63" s="66">
        <v>996950.39999999991</v>
      </c>
      <c r="D63" s="198"/>
    </row>
    <row r="64" spans="1:4" ht="39" customHeight="1" x14ac:dyDescent="0.35">
      <c r="A64" s="38" t="s">
        <v>400</v>
      </c>
      <c r="B64" s="63" t="s">
        <v>20</v>
      </c>
      <c r="C64" s="66">
        <v>872477.39999999991</v>
      </c>
      <c r="D64" s="198"/>
    </row>
    <row r="65" spans="1:4" ht="36" x14ac:dyDescent="0.35">
      <c r="A65" s="38" t="s">
        <v>390</v>
      </c>
      <c r="B65" s="63" t="s">
        <v>612</v>
      </c>
      <c r="C65" s="66">
        <v>872477.39999999991</v>
      </c>
      <c r="D65" s="198"/>
    </row>
    <row r="66" spans="1:4" ht="144" x14ac:dyDescent="0.35">
      <c r="A66" s="38"/>
      <c r="B66" s="227" t="s">
        <v>420</v>
      </c>
      <c r="C66" s="68">
        <v>15.599999999999994</v>
      </c>
      <c r="D66" s="198">
        <v>929</v>
      </c>
    </row>
    <row r="67" spans="1:4" ht="54" x14ac:dyDescent="0.35">
      <c r="A67" s="38"/>
      <c r="B67" s="228" t="s">
        <v>421</v>
      </c>
      <c r="C67" s="326">
        <v>11800.6</v>
      </c>
      <c r="D67" s="199">
        <v>902</v>
      </c>
    </row>
    <row r="68" spans="1:4" s="55" customFormat="1" ht="72" x14ac:dyDescent="0.35">
      <c r="A68" s="54"/>
      <c r="B68" s="228" t="s">
        <v>261</v>
      </c>
      <c r="C68" s="326">
        <v>2182.1</v>
      </c>
      <c r="D68" s="199">
        <v>925</v>
      </c>
    </row>
    <row r="69" spans="1:4" s="55" customFormat="1" ht="160.94999999999999" customHeight="1" x14ac:dyDescent="0.35">
      <c r="A69" s="38"/>
      <c r="B69" s="500" t="s">
        <v>613</v>
      </c>
      <c r="C69" s="326">
        <v>729.8</v>
      </c>
      <c r="D69" s="199">
        <v>902</v>
      </c>
    </row>
    <row r="70" spans="1:4" ht="80.25" customHeight="1" x14ac:dyDescent="0.35">
      <c r="A70" s="65"/>
      <c r="B70" s="228" t="s">
        <v>21</v>
      </c>
      <c r="C70" s="326">
        <v>63</v>
      </c>
      <c r="D70" s="199">
        <v>902</v>
      </c>
    </row>
    <row r="71" spans="1:4" s="55" customFormat="1" ht="147.75" customHeight="1" x14ac:dyDescent="0.35">
      <c r="A71" s="54"/>
      <c r="B71" s="228" t="s">
        <v>264</v>
      </c>
      <c r="C71" s="326">
        <v>2433.1999999999998</v>
      </c>
      <c r="D71" s="199"/>
    </row>
    <row r="72" spans="1:4" s="55" customFormat="1" ht="60.75" customHeight="1" x14ac:dyDescent="0.35">
      <c r="A72" s="54" t="s">
        <v>260</v>
      </c>
      <c r="B72" s="228" t="s">
        <v>588</v>
      </c>
      <c r="C72" s="326">
        <v>2433.1999999999998</v>
      </c>
      <c r="D72" s="199">
        <v>925</v>
      </c>
    </row>
    <row r="73" spans="1:4" ht="144" x14ac:dyDescent="0.35">
      <c r="A73" s="54"/>
      <c r="B73" s="228" t="s">
        <v>382</v>
      </c>
      <c r="C73" s="326">
        <v>84180.700000000012</v>
      </c>
      <c r="D73" s="199">
        <v>921</v>
      </c>
    </row>
    <row r="74" spans="1:4" ht="132" customHeight="1" x14ac:dyDescent="0.35">
      <c r="A74" s="38"/>
      <c r="B74" s="228" t="s">
        <v>505</v>
      </c>
      <c r="C74" s="326">
        <v>3298.8</v>
      </c>
      <c r="D74" s="199">
        <v>902</v>
      </c>
    </row>
    <row r="75" spans="1:4" ht="93.75" customHeight="1" x14ac:dyDescent="0.35">
      <c r="A75" s="54"/>
      <c r="B75" s="228" t="s">
        <v>344</v>
      </c>
      <c r="C75" s="326">
        <v>758704.5</v>
      </c>
      <c r="D75" s="199"/>
    </row>
    <row r="76" spans="1:4" s="55" customFormat="1" ht="20.25" customHeight="1" x14ac:dyDescent="0.35">
      <c r="A76" s="54" t="s">
        <v>260</v>
      </c>
      <c r="B76" s="228" t="s">
        <v>262</v>
      </c>
      <c r="C76" s="67">
        <v>251582.4</v>
      </c>
      <c r="D76" s="199">
        <v>925</v>
      </c>
    </row>
    <row r="77" spans="1:4" s="55" customFormat="1" x14ac:dyDescent="0.35">
      <c r="A77" s="54"/>
      <c r="B77" s="327" t="s">
        <v>263</v>
      </c>
      <c r="C77" s="67">
        <v>507122.1</v>
      </c>
      <c r="D77" s="199">
        <v>925</v>
      </c>
    </row>
    <row r="78" spans="1:4" s="55" customFormat="1" ht="181.95" customHeight="1" x14ac:dyDescent="0.35">
      <c r="A78" s="54"/>
      <c r="B78" s="328" t="s">
        <v>482</v>
      </c>
      <c r="C78" s="326">
        <v>2222.1999999999998</v>
      </c>
      <c r="D78" s="199">
        <v>925</v>
      </c>
    </row>
    <row r="79" spans="1:4" s="55" customFormat="1" ht="96.75" customHeight="1" x14ac:dyDescent="0.35">
      <c r="A79" s="54"/>
      <c r="B79" s="228" t="s">
        <v>440</v>
      </c>
      <c r="C79" s="326">
        <v>5574.7</v>
      </c>
      <c r="D79" s="200">
        <v>925</v>
      </c>
    </row>
    <row r="80" spans="1:4" s="55" customFormat="1" ht="126" x14ac:dyDescent="0.35">
      <c r="A80" s="54"/>
      <c r="B80" s="228" t="s">
        <v>549</v>
      </c>
      <c r="C80" s="326">
        <v>1272.1999999999998</v>
      </c>
      <c r="D80" s="200">
        <v>925</v>
      </c>
    </row>
    <row r="81" spans="1:13" s="45" customFormat="1" ht="94.5" customHeight="1" x14ac:dyDescent="0.3">
      <c r="A81" s="37" t="s">
        <v>401</v>
      </c>
      <c r="B81" s="63" t="s">
        <v>259</v>
      </c>
      <c r="C81" s="69">
        <v>6685.2</v>
      </c>
      <c r="D81" s="199" t="s">
        <v>377</v>
      </c>
      <c r="E81" s="42"/>
      <c r="F81" s="43"/>
      <c r="G81" s="44"/>
    </row>
    <row r="82" spans="1:13" s="45" customFormat="1" ht="95.25" customHeight="1" x14ac:dyDescent="0.3">
      <c r="A82" s="37" t="s">
        <v>394</v>
      </c>
      <c r="B82" s="63" t="s">
        <v>8</v>
      </c>
      <c r="C82" s="69">
        <v>6685.2</v>
      </c>
      <c r="D82" s="200">
        <v>925</v>
      </c>
      <c r="E82" s="42"/>
      <c r="H82" s="314"/>
      <c r="I82" s="315"/>
      <c r="J82" s="315"/>
      <c r="K82" s="315"/>
      <c r="L82" s="315"/>
      <c r="M82" s="315"/>
    </row>
    <row r="83" spans="1:13" ht="73.5" customHeight="1" x14ac:dyDescent="0.35">
      <c r="A83" s="38" t="s">
        <v>402</v>
      </c>
      <c r="B83" s="222" t="s">
        <v>381</v>
      </c>
      <c r="C83" s="66">
        <v>19.8</v>
      </c>
      <c r="D83" s="199"/>
      <c r="H83" s="315"/>
      <c r="I83" s="315"/>
      <c r="J83" s="315"/>
      <c r="K83" s="315"/>
      <c r="L83" s="315"/>
      <c r="M83" s="315"/>
    </row>
    <row r="84" spans="1:13" ht="74.25" customHeight="1" x14ac:dyDescent="0.35">
      <c r="A84" s="38" t="s">
        <v>391</v>
      </c>
      <c r="B84" s="222" t="s">
        <v>370</v>
      </c>
      <c r="C84" s="66">
        <v>19.8</v>
      </c>
      <c r="D84" s="199">
        <v>902</v>
      </c>
      <c r="H84" s="315"/>
      <c r="I84" s="315"/>
      <c r="J84" s="315"/>
      <c r="K84" s="315"/>
      <c r="L84" s="315"/>
      <c r="M84" s="315"/>
    </row>
    <row r="85" spans="1:13" ht="74.25" customHeight="1" x14ac:dyDescent="0.35">
      <c r="A85" s="38" t="s">
        <v>668</v>
      </c>
      <c r="B85" s="222" t="s">
        <v>670</v>
      </c>
      <c r="C85" s="66">
        <v>5560</v>
      </c>
      <c r="D85" s="199"/>
      <c r="H85" s="315"/>
      <c r="I85" s="315"/>
      <c r="J85" s="315"/>
      <c r="K85" s="315"/>
      <c r="L85" s="315"/>
      <c r="M85" s="315"/>
    </row>
    <row r="86" spans="1:13" ht="74.25" customHeight="1" x14ac:dyDescent="0.35">
      <c r="A86" s="38" t="s">
        <v>669</v>
      </c>
      <c r="B86" s="222" t="s">
        <v>671</v>
      </c>
      <c r="C86" s="66">
        <v>5560</v>
      </c>
      <c r="D86" s="199">
        <v>925</v>
      </c>
      <c r="H86" s="315"/>
      <c r="I86" s="315"/>
      <c r="J86" s="315"/>
      <c r="K86" s="315"/>
      <c r="L86" s="315"/>
      <c r="M86" s="315"/>
    </row>
    <row r="87" spans="1:13" ht="126" x14ac:dyDescent="0.35">
      <c r="A87" s="38" t="s">
        <v>506</v>
      </c>
      <c r="B87" s="222" t="s">
        <v>687</v>
      </c>
      <c r="C87" s="66">
        <v>36976.799999999996</v>
      </c>
      <c r="D87" s="199"/>
      <c r="H87" s="315"/>
      <c r="I87" s="315"/>
      <c r="J87" s="315"/>
      <c r="K87" s="315"/>
      <c r="L87" s="315"/>
      <c r="M87" s="315"/>
    </row>
    <row r="88" spans="1:13" ht="126" x14ac:dyDescent="0.35">
      <c r="A88" s="38" t="s">
        <v>507</v>
      </c>
      <c r="B88" s="222" t="s">
        <v>686</v>
      </c>
      <c r="C88" s="66">
        <v>36976.799999999996</v>
      </c>
      <c r="D88" s="199">
        <v>925</v>
      </c>
      <c r="H88" s="315"/>
      <c r="I88" s="315"/>
      <c r="J88" s="315"/>
      <c r="K88" s="315"/>
      <c r="L88" s="315"/>
      <c r="M88" s="315"/>
    </row>
    <row r="89" spans="1:13" ht="36" x14ac:dyDescent="0.35">
      <c r="A89" s="38" t="s">
        <v>560</v>
      </c>
      <c r="B89" s="222" t="s">
        <v>559</v>
      </c>
      <c r="C89" s="434">
        <v>75231.199999999997</v>
      </c>
    </row>
    <row r="90" spans="1:13" ht="36" x14ac:dyDescent="0.35">
      <c r="A90" s="38" t="s">
        <v>561</v>
      </c>
      <c r="B90" s="222" t="s">
        <v>562</v>
      </c>
      <c r="C90" s="434">
        <v>75231.199999999997</v>
      </c>
    </row>
    <row r="91" spans="1:13" ht="18" customHeight="1" x14ac:dyDescent="0.35">
      <c r="A91" s="38" t="s">
        <v>405</v>
      </c>
      <c r="B91" s="222" t="s">
        <v>430</v>
      </c>
      <c r="C91" s="66">
        <v>67382.2</v>
      </c>
      <c r="D91" s="199"/>
    </row>
    <row r="92" spans="1:13" ht="72" x14ac:dyDescent="0.35">
      <c r="A92" s="84" t="s">
        <v>431</v>
      </c>
      <c r="B92" s="224" t="s">
        <v>432</v>
      </c>
      <c r="C92" s="66">
        <v>2360.3999999999996</v>
      </c>
      <c r="D92" s="199"/>
    </row>
    <row r="93" spans="1:13" ht="90" x14ac:dyDescent="0.35">
      <c r="A93" s="84" t="s">
        <v>393</v>
      </c>
      <c r="B93" s="224" t="s">
        <v>5</v>
      </c>
      <c r="C93" s="66">
        <v>2360.3999999999996</v>
      </c>
      <c r="D93" s="199"/>
    </row>
    <row r="94" spans="1:13" x14ac:dyDescent="0.35">
      <c r="A94" s="38" t="s">
        <v>690</v>
      </c>
      <c r="B94" s="222" t="s">
        <v>691</v>
      </c>
      <c r="C94" s="69">
        <v>65021.799999999996</v>
      </c>
      <c r="D94" s="199"/>
    </row>
    <row r="95" spans="1:13" ht="36" x14ac:dyDescent="0.35">
      <c r="A95" s="38" t="s">
        <v>692</v>
      </c>
      <c r="B95" s="222" t="s">
        <v>693</v>
      </c>
      <c r="C95" s="69">
        <v>65021.799999999996</v>
      </c>
      <c r="D95" s="199"/>
      <c r="E95" s="61"/>
      <c r="F95" s="61"/>
    </row>
    <row r="96" spans="1:13" ht="144" x14ac:dyDescent="0.35">
      <c r="A96" s="38"/>
      <c r="B96" s="663" t="s">
        <v>743</v>
      </c>
      <c r="C96" s="326">
        <v>14603.4</v>
      </c>
      <c r="D96" s="199">
        <v>902</v>
      </c>
      <c r="E96" s="61"/>
      <c r="F96" s="61"/>
    </row>
    <row r="97" spans="1:6" ht="72" x14ac:dyDescent="0.35">
      <c r="A97" s="38"/>
      <c r="B97" s="663" t="s">
        <v>744</v>
      </c>
      <c r="C97" s="326">
        <v>14918.399999999998</v>
      </c>
      <c r="D97" s="199">
        <v>902</v>
      </c>
      <c r="E97" s="61"/>
      <c r="F97" s="61"/>
    </row>
    <row r="98" spans="1:6" ht="54" x14ac:dyDescent="0.35">
      <c r="A98" s="38"/>
      <c r="B98" s="663" t="s">
        <v>745</v>
      </c>
      <c r="C98" s="326">
        <v>35500</v>
      </c>
      <c r="D98" s="199">
        <v>925</v>
      </c>
      <c r="E98" s="61">
        <v>926</v>
      </c>
      <c r="F98" s="61">
        <v>929</v>
      </c>
    </row>
    <row r="99" spans="1:6" x14ac:dyDescent="0.35">
      <c r="A99" s="72"/>
      <c r="B99" s="113"/>
      <c r="C99" s="662"/>
      <c r="D99" s="199"/>
      <c r="E99" s="61"/>
      <c r="F99" s="61"/>
    </row>
    <row r="100" spans="1:6" x14ac:dyDescent="0.35">
      <c r="A100" s="72"/>
      <c r="B100" s="113"/>
      <c r="C100" s="662"/>
      <c r="D100" s="199"/>
      <c r="E100" s="61"/>
      <c r="F100" s="61"/>
    </row>
    <row r="101" spans="1:6" x14ac:dyDescent="0.35">
      <c r="A101" s="72"/>
      <c r="B101" s="113"/>
      <c r="C101" s="58"/>
    </row>
    <row r="102" spans="1:6" x14ac:dyDescent="0.35">
      <c r="A102" s="700" t="s">
        <v>762</v>
      </c>
      <c r="B102" s="41"/>
      <c r="C102" s="42"/>
      <c r="D102" s="59"/>
    </row>
    <row r="103" spans="1:6" x14ac:dyDescent="0.35">
      <c r="A103" s="700" t="s">
        <v>763</v>
      </c>
      <c r="B103" s="41"/>
      <c r="C103" s="42"/>
      <c r="D103" s="59"/>
    </row>
    <row r="104" spans="1:6" x14ac:dyDescent="0.35">
      <c r="A104" s="700" t="s">
        <v>375</v>
      </c>
      <c r="B104" s="41"/>
      <c r="C104" s="111" t="s">
        <v>764</v>
      </c>
      <c r="D104" s="59"/>
    </row>
    <row r="105" spans="1:6" x14ac:dyDescent="0.35">
      <c r="A105" s="701" t="s">
        <v>376</v>
      </c>
    </row>
    <row r="436" spans="11:12" x14ac:dyDescent="0.35">
      <c r="K436" s="34">
        <v>135.4</v>
      </c>
      <c r="L436" s="34">
        <v>140.9</v>
      </c>
    </row>
    <row r="437" spans="11:12" x14ac:dyDescent="0.35">
      <c r="K437" s="34">
        <v>27088.9</v>
      </c>
      <c r="L437" s="34">
        <v>28171.4</v>
      </c>
    </row>
  </sheetData>
  <autoFilter ref="B1:D437"/>
  <mergeCells count="1">
    <mergeCell ref="A9:C9"/>
  </mergeCells>
  <printOptions horizontalCentered="1"/>
  <pageMargins left="1.1811023622047245" right="0.39370078740157483" top="0.6692913385826772" bottom="0.39370078740157483" header="0" footer="0"/>
  <pageSetup paperSize="9" scale="72" fitToHeight="0" orientation="portrait" blackAndWhite="1" r:id="rId1"/>
  <headerFooter differentFirst="1">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09"/>
  <sheetViews>
    <sheetView topLeftCell="A70" zoomScale="80" zoomScaleNormal="80" workbookViewId="0">
      <selection activeCell="I7" sqref="I7"/>
    </sheetView>
  </sheetViews>
  <sheetFormatPr defaultColWidth="8.88671875" defaultRowHeight="18" x14ac:dyDescent="0.35"/>
  <cols>
    <col min="1" max="1" width="28.6640625" style="34" customWidth="1"/>
    <col min="2" max="2" width="69.109375" style="34" customWidth="1"/>
    <col min="3" max="3" width="13.5546875" style="60" customWidth="1"/>
    <col min="4" max="4" width="14.109375" style="34" customWidth="1"/>
    <col min="5" max="5" width="12.33203125" style="70" hidden="1" customWidth="1"/>
    <col min="6" max="16384" width="8.88671875" style="34"/>
  </cols>
  <sheetData>
    <row r="1" spans="1:5" x14ac:dyDescent="0.35">
      <c r="A1" s="61"/>
      <c r="B1" s="61"/>
      <c r="C1" s="34"/>
      <c r="D1" s="39" t="s">
        <v>511</v>
      </c>
      <c r="E1" s="34"/>
    </row>
    <row r="2" spans="1:5" x14ac:dyDescent="0.35">
      <c r="A2" s="61"/>
      <c r="B2" s="61"/>
      <c r="C2" s="34"/>
      <c r="D2" s="158" t="s">
        <v>765</v>
      </c>
      <c r="E2" s="34"/>
    </row>
    <row r="3" spans="1:5" x14ac:dyDescent="0.35">
      <c r="A3" s="61"/>
      <c r="B3" s="61"/>
      <c r="C3" s="34"/>
      <c r="D3" s="158"/>
      <c r="E3" s="34"/>
    </row>
    <row r="4" spans="1:5" x14ac:dyDescent="0.35">
      <c r="D4" s="39" t="s">
        <v>511</v>
      </c>
    </row>
    <row r="5" spans="1:5" x14ac:dyDescent="0.35">
      <c r="D5" s="158" t="s">
        <v>667</v>
      </c>
    </row>
    <row r="6" spans="1:5" ht="16.2" customHeight="1" x14ac:dyDescent="0.35"/>
    <row r="7" spans="1:5" ht="40.200000000000003" customHeight="1" x14ac:dyDescent="0.35">
      <c r="A7" s="721" t="s">
        <v>606</v>
      </c>
      <c r="B7" s="721"/>
      <c r="C7" s="721"/>
      <c r="D7" s="721"/>
    </row>
    <row r="8" spans="1:5" ht="9" customHeight="1" x14ac:dyDescent="0.35">
      <c r="A8" s="444"/>
      <c r="B8" s="444"/>
      <c r="C8" s="47"/>
    </row>
    <row r="9" spans="1:5" x14ac:dyDescent="0.35">
      <c r="D9" s="48" t="s">
        <v>22</v>
      </c>
    </row>
    <row r="10" spans="1:5" x14ac:dyDescent="0.35">
      <c r="A10" s="724" t="s">
        <v>13</v>
      </c>
      <c r="B10" s="724" t="s">
        <v>14</v>
      </c>
      <c r="C10" s="722" t="s">
        <v>15</v>
      </c>
      <c r="D10" s="723"/>
    </row>
    <row r="11" spans="1:5" x14ac:dyDescent="0.35">
      <c r="A11" s="725"/>
      <c r="B11" s="725"/>
      <c r="C11" s="49" t="s">
        <v>504</v>
      </c>
      <c r="D11" s="49" t="s">
        <v>592</v>
      </c>
    </row>
    <row r="12" spans="1:5" x14ac:dyDescent="0.35">
      <c r="A12" s="50">
        <v>1</v>
      </c>
      <c r="B12" s="50">
        <v>2</v>
      </c>
      <c r="C12" s="51">
        <v>3</v>
      </c>
      <c r="D12" s="51">
        <v>4</v>
      </c>
    </row>
    <row r="13" spans="1:5" x14ac:dyDescent="0.35">
      <c r="A13" s="40" t="s">
        <v>16</v>
      </c>
      <c r="B13" s="52" t="s">
        <v>311</v>
      </c>
      <c r="C13" s="53">
        <v>1280866</v>
      </c>
      <c r="D13" s="53">
        <v>1172345.8999999999</v>
      </c>
    </row>
    <row r="14" spans="1:5" ht="36" x14ac:dyDescent="0.35">
      <c r="A14" s="38" t="s">
        <v>17</v>
      </c>
      <c r="B14" s="63" t="s">
        <v>18</v>
      </c>
      <c r="C14" s="66">
        <v>1280866</v>
      </c>
      <c r="D14" s="66">
        <v>1172345.8999999999</v>
      </c>
    </row>
    <row r="15" spans="1:5" ht="36" x14ac:dyDescent="0.35">
      <c r="A15" s="38" t="s">
        <v>395</v>
      </c>
      <c r="B15" s="63" t="s">
        <v>340</v>
      </c>
      <c r="C15" s="66">
        <v>169927</v>
      </c>
      <c r="D15" s="66">
        <v>182469.7</v>
      </c>
    </row>
    <row r="16" spans="1:5" x14ac:dyDescent="0.35">
      <c r="A16" s="38" t="s">
        <v>396</v>
      </c>
      <c r="B16" s="63" t="s">
        <v>19</v>
      </c>
      <c r="C16" s="66">
        <v>169927</v>
      </c>
      <c r="D16" s="66">
        <v>182469.7</v>
      </c>
    </row>
    <row r="17" spans="1:5" ht="54" x14ac:dyDescent="0.35">
      <c r="A17" s="38" t="s">
        <v>392</v>
      </c>
      <c r="B17" s="63" t="s">
        <v>426</v>
      </c>
      <c r="C17" s="66">
        <v>169927</v>
      </c>
      <c r="D17" s="66">
        <v>182469.7</v>
      </c>
    </row>
    <row r="18" spans="1:5" ht="36" x14ac:dyDescent="0.35">
      <c r="A18" s="38" t="s">
        <v>397</v>
      </c>
      <c r="B18" s="64" t="s">
        <v>369</v>
      </c>
      <c r="C18" s="66">
        <v>195281.50000000003</v>
      </c>
      <c r="D18" s="66">
        <v>72511.3</v>
      </c>
    </row>
    <row r="19" spans="1:5" ht="36" x14ac:dyDescent="0.35">
      <c r="A19" s="38" t="s">
        <v>418</v>
      </c>
      <c r="B19" s="64" t="s">
        <v>419</v>
      </c>
      <c r="C19" s="66">
        <v>89289.9</v>
      </c>
      <c r="D19" s="66">
        <v>0</v>
      </c>
    </row>
    <row r="20" spans="1:5" ht="54" x14ac:dyDescent="0.35">
      <c r="A20" s="38" t="s">
        <v>416</v>
      </c>
      <c r="B20" s="64" t="s">
        <v>417</v>
      </c>
      <c r="C20" s="66">
        <v>89289.9</v>
      </c>
      <c r="D20" s="66">
        <v>0</v>
      </c>
    </row>
    <row r="21" spans="1:5" ht="90" x14ac:dyDescent="0.35">
      <c r="A21" s="38"/>
      <c r="B21" s="228" t="s">
        <v>533</v>
      </c>
      <c r="C21" s="66">
        <v>17429.099999999999</v>
      </c>
      <c r="D21" s="66">
        <v>0</v>
      </c>
    </row>
    <row r="22" spans="1:5" ht="54" x14ac:dyDescent="0.35">
      <c r="A22" s="38"/>
      <c r="B22" s="227" t="s">
        <v>463</v>
      </c>
      <c r="C22" s="66">
        <v>60312.3</v>
      </c>
      <c r="D22" s="66">
        <v>0</v>
      </c>
      <c r="E22" s="70">
        <v>921</v>
      </c>
    </row>
    <row r="23" spans="1:5" ht="90" x14ac:dyDescent="0.35">
      <c r="A23" s="38"/>
      <c r="B23" s="227" t="s">
        <v>757</v>
      </c>
      <c r="C23" s="66">
        <v>11548.5</v>
      </c>
      <c r="D23" s="66">
        <v>0</v>
      </c>
      <c r="E23" s="70">
        <v>921</v>
      </c>
    </row>
    <row r="24" spans="1:5" s="46" customFormat="1" ht="72" x14ac:dyDescent="0.35">
      <c r="A24" s="37" t="s">
        <v>456</v>
      </c>
      <c r="B24" s="64" t="s">
        <v>457</v>
      </c>
      <c r="C24" s="66">
        <v>61420.800000000003</v>
      </c>
      <c r="D24" s="66">
        <v>60879</v>
      </c>
      <c r="E24" s="70"/>
    </row>
    <row r="25" spans="1:5" s="46" customFormat="1" ht="72" customHeight="1" x14ac:dyDescent="0.35">
      <c r="A25" s="37" t="s">
        <v>452</v>
      </c>
      <c r="B25" s="64" t="s">
        <v>453</v>
      </c>
      <c r="C25" s="66">
        <v>61420.800000000003</v>
      </c>
      <c r="D25" s="66">
        <v>60879</v>
      </c>
      <c r="E25" s="70">
        <v>925</v>
      </c>
    </row>
    <row r="26" spans="1:5" s="46" customFormat="1" x14ac:dyDescent="0.35">
      <c r="A26" s="37" t="s">
        <v>570</v>
      </c>
      <c r="B26" s="64" t="s">
        <v>571</v>
      </c>
      <c r="C26" s="66">
        <v>496.2</v>
      </c>
      <c r="D26" s="66">
        <v>444.3</v>
      </c>
      <c r="E26" s="70"/>
    </row>
    <row r="27" spans="1:5" s="46" customFormat="1" ht="36" x14ac:dyDescent="0.35">
      <c r="A27" s="37" t="s">
        <v>569</v>
      </c>
      <c r="B27" s="64" t="s">
        <v>572</v>
      </c>
      <c r="C27" s="66">
        <v>496.2</v>
      </c>
      <c r="D27" s="66">
        <v>444.3</v>
      </c>
      <c r="E27" s="70">
        <v>926</v>
      </c>
    </row>
    <row r="28" spans="1:5" s="46" customFormat="1" ht="72" x14ac:dyDescent="0.35">
      <c r="A28" s="37"/>
      <c r="B28" s="228" t="s">
        <v>573</v>
      </c>
      <c r="C28" s="66">
        <v>496.2</v>
      </c>
      <c r="D28" s="66">
        <v>444.3</v>
      </c>
      <c r="E28" s="70"/>
    </row>
    <row r="29" spans="1:5" s="46" customFormat="1" ht="54" x14ac:dyDescent="0.35">
      <c r="A29" s="37" t="s">
        <v>580</v>
      </c>
      <c r="B29" s="64" t="s">
        <v>581</v>
      </c>
      <c r="C29" s="66">
        <v>518.6</v>
      </c>
      <c r="D29" s="66">
        <v>0</v>
      </c>
      <c r="E29" s="70"/>
    </row>
    <row r="30" spans="1:5" s="46" customFormat="1" ht="36" x14ac:dyDescent="0.35">
      <c r="A30" s="37" t="s">
        <v>582</v>
      </c>
      <c r="B30" s="64" t="s">
        <v>583</v>
      </c>
      <c r="C30" s="66">
        <v>518.6</v>
      </c>
      <c r="D30" s="66">
        <v>0</v>
      </c>
      <c r="E30" s="70"/>
    </row>
    <row r="31" spans="1:5" s="46" customFormat="1" ht="126" x14ac:dyDescent="0.35">
      <c r="A31" s="37"/>
      <c r="B31" s="228" t="s">
        <v>584</v>
      </c>
      <c r="C31" s="66">
        <v>518.6</v>
      </c>
      <c r="D31" s="66">
        <v>0</v>
      </c>
      <c r="E31" s="70">
        <v>925</v>
      </c>
    </row>
    <row r="32" spans="1:5" x14ac:dyDescent="0.35">
      <c r="A32" s="37" t="s">
        <v>398</v>
      </c>
      <c r="B32" s="64" t="s">
        <v>305</v>
      </c>
      <c r="C32" s="66">
        <v>43556</v>
      </c>
      <c r="D32" s="66">
        <v>11188</v>
      </c>
    </row>
    <row r="33" spans="1:5" x14ac:dyDescent="0.35">
      <c r="A33" s="37" t="s">
        <v>389</v>
      </c>
      <c r="B33" s="64" t="s">
        <v>611</v>
      </c>
      <c r="C33" s="66">
        <v>43556</v>
      </c>
      <c r="D33" s="66">
        <v>11188</v>
      </c>
    </row>
    <row r="34" spans="1:5" ht="234" x14ac:dyDescent="0.35">
      <c r="A34" s="54"/>
      <c r="B34" s="227" t="s">
        <v>610</v>
      </c>
      <c r="C34" s="68">
        <v>40</v>
      </c>
      <c r="D34" s="68">
        <v>40</v>
      </c>
      <c r="E34" s="70">
        <v>926</v>
      </c>
    </row>
    <row r="35" spans="1:5" ht="54" x14ac:dyDescent="0.35">
      <c r="A35" s="54"/>
      <c r="B35" s="227" t="s">
        <v>406</v>
      </c>
      <c r="C35" s="68">
        <v>1903.3000000000002</v>
      </c>
      <c r="D35" s="68">
        <v>1903.3000000000002</v>
      </c>
      <c r="E35" s="70">
        <v>929</v>
      </c>
    </row>
    <row r="36" spans="1:5" ht="72" x14ac:dyDescent="0.35">
      <c r="A36" s="54"/>
      <c r="B36" s="227" t="s">
        <v>534</v>
      </c>
      <c r="C36" s="68">
        <v>10072</v>
      </c>
      <c r="D36" s="68">
        <v>9244.7000000000007</v>
      </c>
      <c r="E36" s="70">
        <v>925</v>
      </c>
    </row>
    <row r="37" spans="1:5" ht="162" x14ac:dyDescent="0.35">
      <c r="A37" s="54"/>
      <c r="B37" s="227" t="s">
        <v>535</v>
      </c>
      <c r="C37" s="68">
        <v>3510.5</v>
      </c>
      <c r="D37" s="68">
        <v>0</v>
      </c>
      <c r="E37" s="70">
        <v>925</v>
      </c>
    </row>
    <row r="38" spans="1:5" ht="54" x14ac:dyDescent="0.35">
      <c r="A38" s="54"/>
      <c r="B38" s="227" t="s">
        <v>723</v>
      </c>
      <c r="C38" s="68">
        <v>1164</v>
      </c>
      <c r="D38" s="68">
        <v>0</v>
      </c>
      <c r="E38" s="70">
        <v>902</v>
      </c>
    </row>
    <row r="39" spans="1:5" ht="72" x14ac:dyDescent="0.35">
      <c r="A39" s="54"/>
      <c r="B39" s="228" t="s">
        <v>736</v>
      </c>
      <c r="C39" s="68">
        <v>26866.2</v>
      </c>
      <c r="D39" s="68">
        <v>0</v>
      </c>
    </row>
    <row r="40" spans="1:5" ht="36" x14ac:dyDescent="0.35">
      <c r="A40" s="38" t="s">
        <v>399</v>
      </c>
      <c r="B40" s="63" t="s">
        <v>341</v>
      </c>
      <c r="C40" s="66">
        <v>915657.5</v>
      </c>
      <c r="D40" s="66">
        <v>917364.89999999991</v>
      </c>
    </row>
    <row r="41" spans="1:5" ht="39.75" customHeight="1" x14ac:dyDescent="0.35">
      <c r="A41" s="38" t="s">
        <v>400</v>
      </c>
      <c r="B41" s="63" t="s">
        <v>20</v>
      </c>
      <c r="C41" s="66">
        <v>774608.39999999991</v>
      </c>
      <c r="D41" s="66">
        <v>774816.6</v>
      </c>
    </row>
    <row r="42" spans="1:5" ht="54" x14ac:dyDescent="0.35">
      <c r="A42" s="38" t="s">
        <v>390</v>
      </c>
      <c r="B42" s="63" t="s">
        <v>612</v>
      </c>
      <c r="C42" s="66">
        <v>774608.39999999991</v>
      </c>
      <c r="D42" s="66">
        <v>774816.6</v>
      </c>
    </row>
    <row r="43" spans="1:5" ht="162" x14ac:dyDescent="0.35">
      <c r="A43" s="38"/>
      <c r="B43" s="227" t="s">
        <v>420</v>
      </c>
      <c r="C43" s="68">
        <v>187.5</v>
      </c>
      <c r="D43" s="68">
        <v>187.5</v>
      </c>
      <c r="E43" s="70">
        <v>929</v>
      </c>
    </row>
    <row r="44" spans="1:5" ht="54" x14ac:dyDescent="0.35">
      <c r="A44" s="38"/>
      <c r="B44" s="228" t="s">
        <v>421</v>
      </c>
      <c r="C44" s="326">
        <v>16526.2</v>
      </c>
      <c r="D44" s="326">
        <v>16526.2</v>
      </c>
      <c r="E44" s="70">
        <v>902</v>
      </c>
    </row>
    <row r="45" spans="1:5" ht="72" x14ac:dyDescent="0.35">
      <c r="A45" s="54"/>
      <c r="B45" s="228" t="s">
        <v>261</v>
      </c>
      <c r="C45" s="326">
        <v>2502.6</v>
      </c>
      <c r="D45" s="326">
        <v>2502.6</v>
      </c>
      <c r="E45" s="70">
        <v>925</v>
      </c>
    </row>
    <row r="46" spans="1:5" ht="162" x14ac:dyDescent="0.35">
      <c r="A46" s="38"/>
      <c r="B46" s="228" t="s">
        <v>613</v>
      </c>
      <c r="C46" s="326">
        <v>749.1</v>
      </c>
      <c r="D46" s="326">
        <v>749.1</v>
      </c>
      <c r="E46" s="70">
        <v>902</v>
      </c>
    </row>
    <row r="47" spans="1:5" s="55" customFormat="1" ht="72" x14ac:dyDescent="0.35">
      <c r="A47" s="65"/>
      <c r="B47" s="228" t="s">
        <v>21</v>
      </c>
      <c r="C47" s="326">
        <v>63</v>
      </c>
      <c r="D47" s="326">
        <v>63</v>
      </c>
      <c r="E47" s="70">
        <v>902</v>
      </c>
    </row>
    <row r="48" spans="1:5" s="55" customFormat="1" ht="148.94999999999999" customHeight="1" x14ac:dyDescent="0.35">
      <c r="A48" s="54"/>
      <c r="B48" s="228" t="s">
        <v>264</v>
      </c>
      <c r="C48" s="326">
        <v>2246.5</v>
      </c>
      <c r="D48" s="326">
        <v>2336.4</v>
      </c>
      <c r="E48" s="70"/>
    </row>
    <row r="49" spans="1:5" s="55" customFormat="1" ht="56.4" customHeight="1" x14ac:dyDescent="0.35">
      <c r="A49" s="54" t="s">
        <v>260</v>
      </c>
      <c r="B49" s="228" t="s">
        <v>422</v>
      </c>
      <c r="C49" s="326">
        <v>2246.5</v>
      </c>
      <c r="D49" s="326">
        <v>2336.4</v>
      </c>
      <c r="E49" s="70">
        <v>925</v>
      </c>
    </row>
    <row r="50" spans="1:5" ht="162" x14ac:dyDescent="0.35">
      <c r="A50" s="54"/>
      <c r="B50" s="228" t="s">
        <v>382</v>
      </c>
      <c r="C50" s="326">
        <v>31504.799999999999</v>
      </c>
      <c r="D50" s="326">
        <v>31504.799999999999</v>
      </c>
      <c r="E50" s="70">
        <v>921</v>
      </c>
    </row>
    <row r="51" spans="1:5" ht="157.19999999999999" customHeight="1" x14ac:dyDescent="0.35">
      <c r="A51" s="38"/>
      <c r="B51" s="228" t="s">
        <v>505</v>
      </c>
      <c r="C51" s="326">
        <v>3298.8</v>
      </c>
      <c r="D51" s="326">
        <v>3298.8</v>
      </c>
      <c r="E51" s="70">
        <v>902</v>
      </c>
    </row>
    <row r="52" spans="1:5" ht="90" x14ac:dyDescent="0.35">
      <c r="A52" s="54"/>
      <c r="B52" s="228" t="s">
        <v>344</v>
      </c>
      <c r="C52" s="326">
        <v>707328</v>
      </c>
      <c r="D52" s="326">
        <v>707366</v>
      </c>
    </row>
    <row r="53" spans="1:5" ht="20.25" customHeight="1" x14ac:dyDescent="0.35">
      <c r="A53" s="54" t="s">
        <v>260</v>
      </c>
      <c r="B53" s="228" t="s">
        <v>262</v>
      </c>
      <c r="C53" s="67">
        <v>244740.80000000002</v>
      </c>
      <c r="D53" s="67">
        <v>244740.80000000002</v>
      </c>
      <c r="E53" s="70">
        <v>925</v>
      </c>
    </row>
    <row r="54" spans="1:5" x14ac:dyDescent="0.35">
      <c r="A54" s="54"/>
      <c r="B54" s="327" t="s">
        <v>263</v>
      </c>
      <c r="C54" s="67">
        <v>462587.2</v>
      </c>
      <c r="D54" s="67">
        <v>462625.2</v>
      </c>
      <c r="E54" s="70">
        <v>925</v>
      </c>
    </row>
    <row r="55" spans="1:5" ht="198" x14ac:dyDescent="0.35">
      <c r="A55" s="54"/>
      <c r="B55" s="328" t="s">
        <v>482</v>
      </c>
      <c r="C55" s="326">
        <v>2172.6</v>
      </c>
      <c r="D55" s="326">
        <v>2166.6999999999998</v>
      </c>
      <c r="E55" s="70">
        <v>925</v>
      </c>
    </row>
    <row r="56" spans="1:5" ht="90" x14ac:dyDescent="0.35">
      <c r="A56" s="54"/>
      <c r="B56" s="228" t="s">
        <v>440</v>
      </c>
      <c r="C56" s="326">
        <v>5797.1</v>
      </c>
      <c r="D56" s="326">
        <v>6029.1</v>
      </c>
      <c r="E56" s="70">
        <v>925</v>
      </c>
    </row>
    <row r="57" spans="1:5" ht="126" x14ac:dyDescent="0.35">
      <c r="A57" s="54"/>
      <c r="B57" s="228" t="s">
        <v>549</v>
      </c>
      <c r="C57" s="326">
        <v>2232.1999999999998</v>
      </c>
      <c r="D57" s="326">
        <v>2086.4</v>
      </c>
      <c r="E57" s="70">
        <v>925</v>
      </c>
    </row>
    <row r="58" spans="1:5" s="45" customFormat="1" ht="90" x14ac:dyDescent="0.3">
      <c r="A58" s="37" t="s">
        <v>401</v>
      </c>
      <c r="B58" s="63" t="s">
        <v>259</v>
      </c>
      <c r="C58" s="69">
        <v>6292.9</v>
      </c>
      <c r="D58" s="69">
        <v>6292.9</v>
      </c>
      <c r="E58" s="70"/>
    </row>
    <row r="59" spans="1:5" ht="93" customHeight="1" x14ac:dyDescent="0.35">
      <c r="A59" s="37" t="s">
        <v>394</v>
      </c>
      <c r="B59" s="63" t="s">
        <v>8</v>
      </c>
      <c r="C59" s="69">
        <v>6292.9</v>
      </c>
      <c r="D59" s="69">
        <v>6292.9</v>
      </c>
      <c r="E59" s="71">
        <v>925</v>
      </c>
    </row>
    <row r="60" spans="1:5" ht="72" x14ac:dyDescent="0.35">
      <c r="A60" s="37" t="s">
        <v>554</v>
      </c>
      <c r="B60" s="63" t="s">
        <v>555</v>
      </c>
      <c r="C60" s="69">
        <v>15729.7</v>
      </c>
      <c r="D60" s="69">
        <v>15729.7</v>
      </c>
      <c r="E60" s="71"/>
    </row>
    <row r="61" spans="1:5" ht="72" x14ac:dyDescent="0.35">
      <c r="A61" s="37" t="s">
        <v>556</v>
      </c>
      <c r="B61" s="63" t="s">
        <v>557</v>
      </c>
      <c r="C61" s="69">
        <v>15729.7</v>
      </c>
      <c r="D61" s="69">
        <v>15729.7</v>
      </c>
      <c r="E61" s="71">
        <v>921</v>
      </c>
    </row>
    <row r="62" spans="1:5" ht="72" x14ac:dyDescent="0.35">
      <c r="A62" s="38" t="s">
        <v>402</v>
      </c>
      <c r="B62" s="222" t="s">
        <v>381</v>
      </c>
      <c r="C62" s="66">
        <v>20.3</v>
      </c>
      <c r="D62" s="66">
        <v>17.7</v>
      </c>
    </row>
    <row r="63" spans="1:5" ht="75" customHeight="1" x14ac:dyDescent="0.35">
      <c r="A63" s="38" t="s">
        <v>391</v>
      </c>
      <c r="B63" s="222" t="s">
        <v>370</v>
      </c>
      <c r="C63" s="66">
        <v>20.3</v>
      </c>
      <c r="D63" s="66">
        <v>17.7</v>
      </c>
      <c r="E63" s="70">
        <v>902</v>
      </c>
    </row>
    <row r="64" spans="1:5" ht="75" customHeight="1" x14ac:dyDescent="0.35">
      <c r="A64" s="38" t="s">
        <v>668</v>
      </c>
      <c r="B64" s="222" t="s">
        <v>670</v>
      </c>
      <c r="C64" s="66">
        <v>5457.5</v>
      </c>
      <c r="D64" s="66">
        <v>5457.5</v>
      </c>
    </row>
    <row r="65" spans="1:5" ht="90" x14ac:dyDescent="0.35">
      <c r="A65" s="38" t="s">
        <v>669</v>
      </c>
      <c r="B65" s="222" t="s">
        <v>671</v>
      </c>
      <c r="C65" s="66">
        <v>5457.5</v>
      </c>
      <c r="D65" s="66">
        <v>5457.5</v>
      </c>
      <c r="E65" s="70">
        <v>925</v>
      </c>
    </row>
    <row r="66" spans="1:5" ht="144" x14ac:dyDescent="0.35">
      <c r="A66" s="37" t="s">
        <v>506</v>
      </c>
      <c r="B66" s="63" t="s">
        <v>687</v>
      </c>
      <c r="C66" s="69">
        <v>35752.9</v>
      </c>
      <c r="D66" s="69">
        <v>35752.9</v>
      </c>
      <c r="E66" s="200"/>
    </row>
    <row r="67" spans="1:5" ht="144" x14ac:dyDescent="0.35">
      <c r="A67" s="37" t="s">
        <v>507</v>
      </c>
      <c r="B67" s="63" t="s">
        <v>686</v>
      </c>
      <c r="C67" s="69">
        <v>35752.9</v>
      </c>
      <c r="D67" s="69">
        <v>35752.9</v>
      </c>
      <c r="E67" s="71">
        <v>925</v>
      </c>
    </row>
    <row r="68" spans="1:5" ht="36" x14ac:dyDescent="0.35">
      <c r="A68" s="38" t="s">
        <v>560</v>
      </c>
      <c r="B68" s="222" t="s">
        <v>559</v>
      </c>
      <c r="C68" s="69">
        <v>77795.799999999988</v>
      </c>
      <c r="D68" s="69">
        <v>79297.599999999991</v>
      </c>
      <c r="E68" s="71"/>
    </row>
    <row r="69" spans="1:5" ht="36" x14ac:dyDescent="0.35">
      <c r="A69" s="38" t="s">
        <v>561</v>
      </c>
      <c r="B69" s="222" t="s">
        <v>562</v>
      </c>
      <c r="C69" s="69">
        <v>77795.799999999988</v>
      </c>
      <c r="D69" s="69">
        <v>79297.599999999991</v>
      </c>
      <c r="E69" s="71"/>
    </row>
    <row r="70" spans="1:5" x14ac:dyDescent="0.35">
      <c r="A70" s="72"/>
      <c r="B70" s="113"/>
      <c r="C70" s="114"/>
      <c r="D70" s="114"/>
    </row>
    <row r="71" spans="1:5" x14ac:dyDescent="0.35">
      <c r="A71" s="56"/>
      <c r="B71" s="57"/>
      <c r="C71" s="58"/>
    </row>
    <row r="72" spans="1:5" x14ac:dyDescent="0.35">
      <c r="A72" s="700" t="s">
        <v>762</v>
      </c>
      <c r="B72" s="41"/>
      <c r="C72" s="42"/>
      <c r="D72" s="42"/>
      <c r="E72" s="197"/>
    </row>
    <row r="73" spans="1:5" x14ac:dyDescent="0.35">
      <c r="A73" s="700" t="s">
        <v>763</v>
      </c>
      <c r="B73" s="41"/>
      <c r="C73" s="42"/>
      <c r="D73" s="42"/>
      <c r="E73" s="197"/>
    </row>
    <row r="74" spans="1:5" x14ac:dyDescent="0.35">
      <c r="A74" s="700" t="s">
        <v>375</v>
      </c>
      <c r="B74" s="41"/>
      <c r="C74" s="45"/>
      <c r="D74" s="111" t="s">
        <v>764</v>
      </c>
      <c r="E74" s="197"/>
    </row>
    <row r="75" spans="1:5" x14ac:dyDescent="0.35">
      <c r="A75" s="701" t="s">
        <v>376</v>
      </c>
    </row>
    <row r="408" spans="9:10" x14ac:dyDescent="0.35">
      <c r="I408" s="34">
        <v>135.4</v>
      </c>
      <c r="J408" s="34">
        <v>140.9</v>
      </c>
    </row>
    <row r="409" spans="9:10" x14ac:dyDescent="0.35">
      <c r="I409" s="34">
        <v>27088.9</v>
      </c>
      <c r="J409" s="34">
        <v>28171.4</v>
      </c>
    </row>
  </sheetData>
  <autoFilter ref="A12:J69"/>
  <mergeCells count="4">
    <mergeCell ref="C10:D10"/>
    <mergeCell ref="A10:A11"/>
    <mergeCell ref="B10:B11"/>
    <mergeCell ref="A7:D7"/>
  </mergeCells>
  <printOptions horizontalCentered="1"/>
  <pageMargins left="1.1811023622047245" right="0.39370078740157483" top="0.6692913385826772" bottom="0.39370078740157483" header="0.31496062992125984" footer="0"/>
  <pageSetup paperSize="9" scale="62" orientation="portrait" blackAndWhite="1" r:id="rId1"/>
  <headerFooter differentFirst="1">
    <oddHeader>&amp;C&amp;"Times New Roman,обычный"&amp;P</oddHeader>
  </headerFooter>
  <rowBreaks count="1" manualBreakCount="1">
    <brk id="5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I65"/>
  <sheetViews>
    <sheetView topLeftCell="A34" zoomScale="90" zoomScaleNormal="90" zoomScaleSheetLayoutView="80" workbookViewId="0">
      <selection activeCell="K7" sqref="K7"/>
    </sheetView>
  </sheetViews>
  <sheetFormatPr defaultColWidth="9.109375" defaultRowHeight="18" x14ac:dyDescent="0.35"/>
  <cols>
    <col min="1" max="1" width="6.109375" style="284" customWidth="1"/>
    <col min="2" max="2" width="9.109375" style="284" customWidth="1"/>
    <col min="3" max="3" width="59.88671875" style="284" customWidth="1"/>
    <col min="4" max="4" width="18.6640625" style="285" customWidth="1"/>
    <col min="5" max="5" width="15.33203125" style="284" customWidth="1"/>
    <col min="6" max="6" width="14.33203125" style="284" customWidth="1"/>
    <col min="7" max="7" width="11.109375" style="284" hidden="1" customWidth="1"/>
    <col min="8" max="9" width="11.33203125" style="284" hidden="1" customWidth="1"/>
    <col min="10" max="16384" width="9.109375" style="284"/>
  </cols>
  <sheetData>
    <row r="1" spans="1:9" x14ac:dyDescent="0.35">
      <c r="F1" s="158" t="s">
        <v>512</v>
      </c>
    </row>
    <row r="2" spans="1:9" x14ac:dyDescent="0.35">
      <c r="F2" s="158" t="s">
        <v>765</v>
      </c>
    </row>
    <row r="3" spans="1:9" x14ac:dyDescent="0.35">
      <c r="F3" s="158"/>
    </row>
    <row r="4" spans="1:9" x14ac:dyDescent="0.35">
      <c r="A4" s="34"/>
      <c r="B4" s="34"/>
      <c r="C4" s="34"/>
      <c r="D4" s="284"/>
      <c r="F4" s="158" t="s">
        <v>513</v>
      </c>
    </row>
    <row r="5" spans="1:9" x14ac:dyDescent="0.35">
      <c r="A5" s="34"/>
      <c r="B5" s="34"/>
      <c r="C5" s="34"/>
      <c r="D5" s="284"/>
      <c r="F5" s="158" t="s">
        <v>667</v>
      </c>
    </row>
    <row r="8" spans="1:9" x14ac:dyDescent="0.35">
      <c r="A8" s="730" t="s">
        <v>159</v>
      </c>
      <c r="B8" s="730"/>
      <c r="C8" s="730"/>
      <c r="D8" s="730"/>
      <c r="E8" s="730"/>
      <c r="F8" s="730"/>
    </row>
    <row r="9" spans="1:9" x14ac:dyDescent="0.35">
      <c r="A9" s="730" t="s">
        <v>593</v>
      </c>
      <c r="B9" s="730"/>
      <c r="C9" s="730"/>
      <c r="D9" s="730"/>
      <c r="E9" s="730"/>
      <c r="F9" s="730"/>
    </row>
    <row r="10" spans="1:9" x14ac:dyDescent="0.35">
      <c r="D10" s="284"/>
    </row>
    <row r="11" spans="1:9" x14ac:dyDescent="0.35">
      <c r="D11" s="284"/>
      <c r="F11" s="286" t="s">
        <v>22</v>
      </c>
    </row>
    <row r="12" spans="1:9" ht="22.95" customHeight="1" x14ac:dyDescent="0.35">
      <c r="A12" s="731" t="s">
        <v>160</v>
      </c>
      <c r="B12" s="733" t="s">
        <v>324</v>
      </c>
      <c r="C12" s="733" t="s">
        <v>24</v>
      </c>
      <c r="D12" s="727" t="s">
        <v>15</v>
      </c>
      <c r="E12" s="728"/>
      <c r="F12" s="729"/>
    </row>
    <row r="13" spans="1:9" x14ac:dyDescent="0.35">
      <c r="A13" s="732"/>
      <c r="B13" s="734"/>
      <c r="C13" s="734"/>
      <c r="D13" s="188" t="s">
        <v>458</v>
      </c>
      <c r="E13" s="188" t="s">
        <v>504</v>
      </c>
      <c r="F13" s="188" t="s">
        <v>592</v>
      </c>
    </row>
    <row r="14" spans="1:9" x14ac:dyDescent="0.35">
      <c r="A14" s="230">
        <v>1</v>
      </c>
      <c r="B14" s="230">
        <v>2</v>
      </c>
      <c r="C14" s="230">
        <v>3</v>
      </c>
      <c r="D14" s="231">
        <v>4</v>
      </c>
      <c r="E14" s="306">
        <v>5</v>
      </c>
      <c r="F14" s="306">
        <v>6</v>
      </c>
    </row>
    <row r="15" spans="1:9" x14ac:dyDescent="0.35">
      <c r="A15" s="249"/>
      <c r="B15" s="249"/>
      <c r="C15" s="288" t="s">
        <v>161</v>
      </c>
      <c r="D15" s="289">
        <f>D17+D24+D27+D31+D35+D42+D45+D55+D50+D58-0.1</f>
        <v>2708057.4718999998</v>
      </c>
      <c r="E15" s="289">
        <f>E17+E24+E27+E31+E35+E42+E45+E55+E50+E58</f>
        <v>1958815.3</v>
      </c>
      <c r="F15" s="289">
        <f>F17+F24+F27+F31+F35+F42+F45+F55+F50+F58</f>
        <v>1887225.6</v>
      </c>
      <c r="G15" s="290">
        <f>D15-'прил9 (ведом 23)'!M14</f>
        <v>0</v>
      </c>
      <c r="H15" s="290">
        <f>E15-'прил10 (ведом 24-25)'!M16</f>
        <v>0</v>
      </c>
      <c r="I15" s="290">
        <f>F15-'прил10 (ведом 24-25)'!N16</f>
        <v>0</v>
      </c>
    </row>
    <row r="16" spans="1:9" x14ac:dyDescent="0.35">
      <c r="A16" s="249"/>
      <c r="B16" s="249"/>
      <c r="C16" s="291" t="s">
        <v>162</v>
      </c>
      <c r="D16" s="207"/>
      <c r="E16" s="301"/>
      <c r="F16" s="287"/>
    </row>
    <row r="17" spans="1:8" x14ac:dyDescent="0.35">
      <c r="A17" s="233">
        <v>1</v>
      </c>
      <c r="B17" s="292" t="s">
        <v>163</v>
      </c>
      <c r="C17" s="293" t="s">
        <v>36</v>
      </c>
      <c r="D17" s="235">
        <f>SUM(D18:D23)</f>
        <v>283974.78402999998</v>
      </c>
      <c r="E17" s="235">
        <f>SUM(E18:E23)</f>
        <v>225385.13160000002</v>
      </c>
      <c r="F17" s="235">
        <f>SUM(F18:F23)</f>
        <v>233653.23160000003</v>
      </c>
    </row>
    <row r="18" spans="1:8" ht="54" x14ac:dyDescent="0.35">
      <c r="A18" s="236"/>
      <c r="B18" s="205" t="s">
        <v>164</v>
      </c>
      <c r="C18" s="206" t="s">
        <v>165</v>
      </c>
      <c r="D18" s="207">
        <f>'прил9 (ведом 23)'!M873</f>
        <v>2536.8000000000002</v>
      </c>
      <c r="E18" s="202">
        <f>'прил10 (ведом 24-25)'!M611</f>
        <v>2612.1999999999998</v>
      </c>
      <c r="F18" s="202">
        <f>'прил10 (ведом 24-25)'!N611</f>
        <v>2612.1999999999998</v>
      </c>
    </row>
    <row r="19" spans="1:8" ht="72" x14ac:dyDescent="0.35">
      <c r="A19" s="236"/>
      <c r="B19" s="205" t="s">
        <v>166</v>
      </c>
      <c r="C19" s="206" t="s">
        <v>51</v>
      </c>
      <c r="D19" s="207">
        <f>'прил9 (ведом 23)'!M874</f>
        <v>83818.684000000008</v>
      </c>
      <c r="E19" s="202">
        <f>'прил10 (ведом 24-25)'!M612</f>
        <v>83362.000000000015</v>
      </c>
      <c r="F19" s="202">
        <f>'прил10 (ведом 24-25)'!N612</f>
        <v>83398.000000000015</v>
      </c>
    </row>
    <row r="20" spans="1:8" x14ac:dyDescent="0.35">
      <c r="A20" s="236"/>
      <c r="B20" s="205" t="s">
        <v>387</v>
      </c>
      <c r="C20" s="219" t="s">
        <v>383</v>
      </c>
      <c r="D20" s="207">
        <f>'прил9 (ведом 23)'!M875</f>
        <v>19.8</v>
      </c>
      <c r="E20" s="202">
        <f>'прил10 (ведом 24-25)'!M613</f>
        <v>20.3</v>
      </c>
      <c r="F20" s="202">
        <f>'прил10 (ведом 24-25)'!N613</f>
        <v>17.7</v>
      </c>
    </row>
    <row r="21" spans="1:8" ht="54" x14ac:dyDescent="0.35">
      <c r="A21" s="236"/>
      <c r="B21" s="205" t="s">
        <v>167</v>
      </c>
      <c r="C21" s="206" t="s">
        <v>129</v>
      </c>
      <c r="D21" s="207">
        <f>'прил9 (ведом 23)'!M876</f>
        <v>38216.506999999998</v>
      </c>
      <c r="E21" s="202">
        <f>'прил10 (ведом 24-25)'!M614</f>
        <v>37649.699999999997</v>
      </c>
      <c r="F21" s="202">
        <f>'прил10 (ведом 24-25)'!N614</f>
        <v>37650.5</v>
      </c>
    </row>
    <row r="22" spans="1:8" x14ac:dyDescent="0.35">
      <c r="A22" s="236"/>
      <c r="B22" s="205" t="s">
        <v>168</v>
      </c>
      <c r="C22" s="206" t="s">
        <v>66</v>
      </c>
      <c r="D22" s="207">
        <f>'прил9 (ведом 23)'!M877</f>
        <v>11734.905939999995</v>
      </c>
      <c r="E22" s="202">
        <f>'прил10 (ведом 24-25)'!M615</f>
        <v>29961.8</v>
      </c>
      <c r="F22" s="202">
        <f>'прил10 (ведом 24-25)'!N615</f>
        <v>35000</v>
      </c>
    </row>
    <row r="23" spans="1:8" x14ac:dyDescent="0.35">
      <c r="A23" s="236"/>
      <c r="B23" s="205" t="s">
        <v>169</v>
      </c>
      <c r="C23" s="206" t="s">
        <v>70</v>
      </c>
      <c r="D23" s="207">
        <f>'прил9 (ведом 23)'!M878</f>
        <v>147648.08709000002</v>
      </c>
      <c r="E23" s="202">
        <f>'прил10 (ведом 24-25)'!M616</f>
        <v>71779.131600000008</v>
      </c>
      <c r="F23" s="202">
        <f>'прил10 (ведом 24-25)'!N616</f>
        <v>74974.831600000005</v>
      </c>
    </row>
    <row r="24" spans="1:8" ht="35.4" x14ac:dyDescent="0.35">
      <c r="A24" s="233">
        <v>2</v>
      </c>
      <c r="B24" s="292" t="s">
        <v>170</v>
      </c>
      <c r="C24" s="293" t="s">
        <v>78</v>
      </c>
      <c r="D24" s="235">
        <f>SUM(D25:D26)</f>
        <v>22568.947999999997</v>
      </c>
      <c r="E24" s="235">
        <f>SUM(E25:E26)</f>
        <v>12719.499999999996</v>
      </c>
      <c r="F24" s="235">
        <f>SUM(F25:F26)</f>
        <v>12720.499999999996</v>
      </c>
    </row>
    <row r="25" spans="1:8" ht="54" x14ac:dyDescent="0.35">
      <c r="A25" s="236"/>
      <c r="B25" s="205" t="s">
        <v>461</v>
      </c>
      <c r="C25" s="206" t="s">
        <v>462</v>
      </c>
      <c r="D25" s="207">
        <f>'прил9 (ведом 23)'!M881</f>
        <v>9493.3999999999978</v>
      </c>
      <c r="E25" s="202">
        <f>'прил10 (ведом 24-25)'!M619</f>
        <v>362.29999999999995</v>
      </c>
      <c r="F25" s="202">
        <f>'прил10 (ведом 24-25)'!N619</f>
        <v>362.29999999999995</v>
      </c>
    </row>
    <row r="26" spans="1:8" ht="36" x14ac:dyDescent="0.35">
      <c r="A26" s="236"/>
      <c r="B26" s="205" t="s">
        <v>171</v>
      </c>
      <c r="C26" s="206" t="s">
        <v>87</v>
      </c>
      <c r="D26" s="207">
        <f>'прил9 (ведом 23)'!M882</f>
        <v>13075.547999999997</v>
      </c>
      <c r="E26" s="202">
        <f>'прил10 (ведом 24-25)'!M620</f>
        <v>12357.199999999997</v>
      </c>
      <c r="F26" s="202">
        <f>'прил10 (ведом 24-25)'!N620</f>
        <v>12358.199999999997</v>
      </c>
    </row>
    <row r="27" spans="1:8" x14ac:dyDescent="0.35">
      <c r="A27" s="233">
        <v>3</v>
      </c>
      <c r="B27" s="292" t="s">
        <v>172</v>
      </c>
      <c r="C27" s="293" t="s">
        <v>92</v>
      </c>
      <c r="D27" s="235">
        <f>SUM(D28:D30)</f>
        <v>96837.715599999996</v>
      </c>
      <c r="E27" s="235">
        <f>SUM(E28:E30)</f>
        <v>27573.599999999999</v>
      </c>
      <c r="F27" s="235">
        <f>SUM(F28:F30)</f>
        <v>26840.6</v>
      </c>
      <c r="H27" s="447"/>
    </row>
    <row r="28" spans="1:8" x14ac:dyDescent="0.35">
      <c r="A28" s="233"/>
      <c r="B28" s="205" t="s">
        <v>173</v>
      </c>
      <c r="C28" s="206" t="s">
        <v>93</v>
      </c>
      <c r="D28" s="207">
        <f>'прил9 (ведом 23)'!M885</f>
        <v>14369.400000000001</v>
      </c>
      <c r="E28" s="202">
        <f>'прил10 (ведом 24-25)'!M623</f>
        <v>19075.7</v>
      </c>
      <c r="F28" s="202">
        <f>'прил10 (ведом 24-25)'!N623</f>
        <v>19075.7</v>
      </c>
    </row>
    <row r="29" spans="1:8" x14ac:dyDescent="0.35">
      <c r="A29" s="236"/>
      <c r="B29" s="205" t="s">
        <v>174</v>
      </c>
      <c r="C29" s="206" t="s">
        <v>98</v>
      </c>
      <c r="D29" s="207">
        <f>'прил9 (ведом 23)'!M886</f>
        <v>12364.4156</v>
      </c>
      <c r="E29" s="202">
        <f>'прил10 (ведом 24-25)'!M624</f>
        <v>6181.8</v>
      </c>
      <c r="F29" s="202">
        <f>'прил10 (ведом 24-25)'!N624</f>
        <v>6648.8</v>
      </c>
    </row>
    <row r="30" spans="1:8" x14ac:dyDescent="0.35">
      <c r="A30" s="236"/>
      <c r="B30" s="205" t="s">
        <v>175</v>
      </c>
      <c r="C30" s="206" t="s">
        <v>106</v>
      </c>
      <c r="D30" s="207">
        <f>'прил9 (ведом 23)'!M887</f>
        <v>70103.899999999994</v>
      </c>
      <c r="E30" s="202">
        <f>'прил10 (ведом 24-25)'!M625</f>
        <v>2316.1</v>
      </c>
      <c r="F30" s="202">
        <f>'прил10 (ведом 24-25)'!N625</f>
        <v>1116.0999999999999</v>
      </c>
      <c r="G30" s="447"/>
    </row>
    <row r="31" spans="1:8" x14ac:dyDescent="0.35">
      <c r="A31" s="233">
        <v>4</v>
      </c>
      <c r="B31" s="292" t="s">
        <v>176</v>
      </c>
      <c r="C31" s="293" t="s">
        <v>177</v>
      </c>
      <c r="D31" s="235">
        <f>SUM(D32:D34)</f>
        <v>147459.60000000003</v>
      </c>
      <c r="E31" s="235">
        <f t="shared" ref="E31:F31" si="0">SUM(E32:E34)</f>
        <v>69245.3</v>
      </c>
      <c r="F31" s="235">
        <f t="shared" si="0"/>
        <v>5773.4</v>
      </c>
    </row>
    <row r="32" spans="1:8" x14ac:dyDescent="0.35">
      <c r="A32" s="236"/>
      <c r="B32" s="205" t="s">
        <v>519</v>
      </c>
      <c r="C32" s="206" t="s">
        <v>477</v>
      </c>
      <c r="D32" s="207">
        <f>'прил9 (ведом 23)'!M890</f>
        <v>60690.600000000006</v>
      </c>
      <c r="E32" s="207">
        <f>'прил10 (ведом 24-25)'!M628</f>
        <v>0</v>
      </c>
      <c r="F32" s="207">
        <f>'прил10 (ведом 24-25)'!N628</f>
        <v>0</v>
      </c>
    </row>
    <row r="33" spans="1:6" x14ac:dyDescent="0.35">
      <c r="A33" s="233"/>
      <c r="B33" s="205" t="s">
        <v>335</v>
      </c>
      <c r="C33" s="206" t="s">
        <v>333</v>
      </c>
      <c r="D33" s="207">
        <f>'прил9 (ведом 23)'!M891</f>
        <v>79683.3</v>
      </c>
      <c r="E33" s="207">
        <f>'прил10 (ведом 24-25)'!M629</f>
        <v>63486.700000000004</v>
      </c>
      <c r="F33" s="207">
        <f>'прил10 (ведом 24-25)'!N629</f>
        <v>0</v>
      </c>
    </row>
    <row r="34" spans="1:6" x14ac:dyDescent="0.35">
      <c r="A34" s="233"/>
      <c r="B34" s="205" t="s">
        <v>637</v>
      </c>
      <c r="C34" s="593" t="s">
        <v>635</v>
      </c>
      <c r="D34" s="207">
        <f>'прил9 (ведом 23)'!M893</f>
        <v>7085.7000000000007</v>
      </c>
      <c r="E34" s="207">
        <f>'прил10 (ведом 24-25)'!M630</f>
        <v>5758.6</v>
      </c>
      <c r="F34" s="207">
        <f>'прил10 (ведом 24-25)'!N148</f>
        <v>5773.4</v>
      </c>
    </row>
    <row r="35" spans="1:6" x14ac:dyDescent="0.35">
      <c r="A35" s="233">
        <v>5</v>
      </c>
      <c r="B35" s="292" t="s">
        <v>178</v>
      </c>
      <c r="C35" s="293" t="s">
        <v>179</v>
      </c>
      <c r="D35" s="235">
        <f>SUM(D36:D41)</f>
        <v>1698595.3483000002</v>
      </c>
      <c r="E35" s="235">
        <f>SUM(E36:E41)</f>
        <v>1336307.4999999998</v>
      </c>
      <c r="F35" s="235">
        <f>SUM(F36:F41)</f>
        <v>1349950.5</v>
      </c>
    </row>
    <row r="36" spans="1:6" x14ac:dyDescent="0.35">
      <c r="A36" s="236"/>
      <c r="B36" s="205" t="s">
        <v>180</v>
      </c>
      <c r="C36" s="206" t="s">
        <v>181</v>
      </c>
      <c r="D36" s="207">
        <f>'прил9 (ведом 23)'!M896</f>
        <v>510727.48000000004</v>
      </c>
      <c r="E36" s="207">
        <f>'прил10 (ведом 24-25)'!M633</f>
        <v>386488.20000000007</v>
      </c>
      <c r="F36" s="207">
        <f>'прил10 (ведом 24-25)'!N633</f>
        <v>399716.60000000003</v>
      </c>
    </row>
    <row r="37" spans="1:6" x14ac:dyDescent="0.35">
      <c r="A37" s="236"/>
      <c r="B37" s="205" t="s">
        <v>182</v>
      </c>
      <c r="C37" s="206" t="s">
        <v>183</v>
      </c>
      <c r="D37" s="207">
        <f>'прил9 (ведом 23)'!M897+0.1</f>
        <v>928795.01530000009</v>
      </c>
      <c r="E37" s="207">
        <f>'прил10 (ведом 24-25)'!M634</f>
        <v>722307.79999999981</v>
      </c>
      <c r="F37" s="207">
        <f>'прил10 (ведом 24-25)'!N634</f>
        <v>712311.5</v>
      </c>
    </row>
    <row r="38" spans="1:6" x14ac:dyDescent="0.35">
      <c r="A38" s="236"/>
      <c r="B38" s="205" t="s">
        <v>348</v>
      </c>
      <c r="C38" s="206" t="s">
        <v>349</v>
      </c>
      <c r="D38" s="207">
        <f>'прил9 (ведом 23)'!M898</f>
        <v>158784.247</v>
      </c>
      <c r="E38" s="207">
        <f>'прил10 (ведом 24-25)'!M635</f>
        <v>130206.39999999999</v>
      </c>
      <c r="F38" s="207">
        <f>'прил10 (ведом 24-25)'!N635</f>
        <v>140861.70000000001</v>
      </c>
    </row>
    <row r="39" spans="1:6" ht="36" x14ac:dyDescent="0.35">
      <c r="A39" s="236"/>
      <c r="B39" s="205" t="s">
        <v>529</v>
      </c>
      <c r="C39" s="206" t="s">
        <v>530</v>
      </c>
      <c r="D39" s="207">
        <f>'прил9 (ведом 23)'!M899</f>
        <v>284.59299999999996</v>
      </c>
      <c r="E39" s="207">
        <f>'прил10 (ведом 24-25)'!M636</f>
        <v>190.7</v>
      </c>
      <c r="F39" s="207">
        <f>'прил10 (ведом 24-25)'!N636</f>
        <v>190.7</v>
      </c>
    </row>
    <row r="40" spans="1:6" x14ac:dyDescent="0.35">
      <c r="A40" s="233"/>
      <c r="B40" s="205" t="s">
        <v>184</v>
      </c>
      <c r="C40" s="206" t="s">
        <v>350</v>
      </c>
      <c r="D40" s="207">
        <f>'прил9 (ведом 23)'!M900</f>
        <v>5856.9699999999993</v>
      </c>
      <c r="E40" s="207">
        <f>'прил10 (ведом 24-25)'!M637</f>
        <v>3836.5</v>
      </c>
      <c r="F40" s="207">
        <f>'прил10 (ведом 24-25)'!N637</f>
        <v>3836.5</v>
      </c>
    </row>
    <row r="41" spans="1:6" x14ac:dyDescent="0.35">
      <c r="A41" s="236"/>
      <c r="B41" s="205" t="s">
        <v>185</v>
      </c>
      <c r="C41" s="206" t="s">
        <v>186</v>
      </c>
      <c r="D41" s="207">
        <f>'прил9 (ведом 23)'!M901</f>
        <v>94147.043000000005</v>
      </c>
      <c r="E41" s="207">
        <f>'прил10 (ведом 24-25)'!M638</f>
        <v>93277.900000000009</v>
      </c>
      <c r="F41" s="207">
        <f>'прил10 (ведом 24-25)'!N638</f>
        <v>93033.500000000015</v>
      </c>
    </row>
    <row r="42" spans="1:6" x14ac:dyDescent="0.35">
      <c r="A42" s="233">
        <v>6</v>
      </c>
      <c r="B42" s="292" t="s">
        <v>187</v>
      </c>
      <c r="C42" s="293" t="s">
        <v>188</v>
      </c>
      <c r="D42" s="235">
        <f>SUM(D43:D44)</f>
        <v>67380</v>
      </c>
      <c r="E42" s="235">
        <f>SUM(E43:E44)</f>
        <v>35657.800000000003</v>
      </c>
      <c r="F42" s="235">
        <f>SUM(F43:F44)</f>
        <v>35603.899999999994</v>
      </c>
    </row>
    <row r="43" spans="1:6" x14ac:dyDescent="0.35">
      <c r="A43" s="236"/>
      <c r="B43" s="205" t="s">
        <v>189</v>
      </c>
      <c r="C43" s="206" t="s">
        <v>190</v>
      </c>
      <c r="D43" s="207">
        <f>'прил9 (ведом 23)'!M904</f>
        <v>54957.999999999993</v>
      </c>
      <c r="E43" s="207">
        <f>'прил10 (ведом 24-25)'!M641</f>
        <v>24215.8</v>
      </c>
      <c r="F43" s="207">
        <f>'прил10 (ведом 24-25)'!N641</f>
        <v>24157.399999999998</v>
      </c>
    </row>
    <row r="44" spans="1:6" ht="18.75" customHeight="1" x14ac:dyDescent="0.35">
      <c r="A44" s="236"/>
      <c r="B44" s="205" t="s">
        <v>191</v>
      </c>
      <c r="C44" s="206" t="s">
        <v>192</v>
      </c>
      <c r="D44" s="207">
        <f>'прил9 (ведом 23)'!M905</f>
        <v>12422</v>
      </c>
      <c r="E44" s="202">
        <f>'прил10 (ведом 24-25)'!M642</f>
        <v>11442</v>
      </c>
      <c r="F44" s="202">
        <f>'прил10 (ведом 24-25)'!N642</f>
        <v>11446.5</v>
      </c>
    </row>
    <row r="45" spans="1:6" s="294" customFormat="1" ht="17.399999999999999" x14ac:dyDescent="0.3">
      <c r="A45" s="233">
        <v>7</v>
      </c>
      <c r="B45" s="233">
        <v>1000</v>
      </c>
      <c r="C45" s="293" t="s">
        <v>119</v>
      </c>
      <c r="D45" s="235">
        <f>SUM(D46:D49)</f>
        <v>168431.27597000002</v>
      </c>
      <c r="E45" s="235">
        <f>SUM(E46:E49)</f>
        <v>129641.1684</v>
      </c>
      <c r="F45" s="235">
        <f>SUM(F46:F49)</f>
        <v>131142.96840000001</v>
      </c>
    </row>
    <row r="46" spans="1:6" x14ac:dyDescent="0.35">
      <c r="A46" s="236"/>
      <c r="B46" s="236">
        <v>1001</v>
      </c>
      <c r="C46" s="206" t="s">
        <v>355</v>
      </c>
      <c r="D46" s="207">
        <f>'прил9 (ведом 23)'!M908</f>
        <v>1539.6</v>
      </c>
      <c r="E46" s="207">
        <f>'прил10 (ведом 24-25)'!M645</f>
        <v>1320</v>
      </c>
      <c r="F46" s="207">
        <f>'прил10 (ведом 24-25)'!N645</f>
        <v>1320</v>
      </c>
    </row>
    <row r="47" spans="1:6" x14ac:dyDescent="0.35">
      <c r="A47" s="236"/>
      <c r="B47" s="236">
        <v>1003</v>
      </c>
      <c r="C47" s="206" t="s">
        <v>733</v>
      </c>
      <c r="D47" s="207">
        <f>'прил9 (ведом 23)'!M909</f>
        <v>2070</v>
      </c>
      <c r="E47" s="207">
        <v>0</v>
      </c>
      <c r="F47" s="207">
        <v>0</v>
      </c>
    </row>
    <row r="48" spans="1:6" x14ac:dyDescent="0.35">
      <c r="A48" s="236"/>
      <c r="B48" s="236">
        <v>1004</v>
      </c>
      <c r="C48" s="206" t="s">
        <v>193</v>
      </c>
      <c r="D48" s="207">
        <f>'прил9 (ведом 23)'!M910</f>
        <v>153353.17597000001</v>
      </c>
      <c r="E48" s="207">
        <f>'прил10 (ведом 24-25)'!M646</f>
        <v>118276.7684</v>
      </c>
      <c r="F48" s="207">
        <f>'прил10 (ведом 24-25)'!N646</f>
        <v>119778.5684</v>
      </c>
    </row>
    <row r="49" spans="1:8" x14ac:dyDescent="0.35">
      <c r="A49" s="236"/>
      <c r="B49" s="236">
        <v>1006</v>
      </c>
      <c r="C49" s="206" t="s">
        <v>194</v>
      </c>
      <c r="D49" s="207">
        <f>'прил9 (ведом 23)'!M911</f>
        <v>11468.5</v>
      </c>
      <c r="E49" s="207">
        <f>'прил10 (ведом 24-25)'!M647</f>
        <v>10044.400000000001</v>
      </c>
      <c r="F49" s="207">
        <f>'прил10 (ведом 24-25)'!N647</f>
        <v>10044.400000000001</v>
      </c>
    </row>
    <row r="50" spans="1:8" x14ac:dyDescent="0.35">
      <c r="A50" s="233">
        <v>8</v>
      </c>
      <c r="B50" s="295">
        <v>1100</v>
      </c>
      <c r="C50" s="288" t="s">
        <v>195</v>
      </c>
      <c r="D50" s="235">
        <f>SUM(D51:D54)</f>
        <v>153832.9</v>
      </c>
      <c r="E50" s="235">
        <f>SUM(E51:E54)</f>
        <v>79997.3</v>
      </c>
      <c r="F50" s="235">
        <f>SUM(F51:F54)</f>
        <v>38624.5</v>
      </c>
    </row>
    <row r="51" spans="1:8" x14ac:dyDescent="0.35">
      <c r="A51" s="236"/>
      <c r="B51" s="296">
        <v>1101</v>
      </c>
      <c r="C51" s="297" t="s">
        <v>360</v>
      </c>
      <c r="D51" s="207">
        <f>'прил9 (ведом 23)'!M914</f>
        <v>83143.606480000002</v>
      </c>
      <c r="E51" s="207">
        <f>'прил10 (ведом 24-25)'!M650</f>
        <v>15512.600000000002</v>
      </c>
      <c r="F51" s="207">
        <f>'прил10 (ведом 24-25)'!N650</f>
        <v>3622.8</v>
      </c>
    </row>
    <row r="52" spans="1:8" x14ac:dyDescent="0.35">
      <c r="A52" s="233"/>
      <c r="B52" s="205" t="s">
        <v>196</v>
      </c>
      <c r="C52" s="238" t="s">
        <v>197</v>
      </c>
      <c r="D52" s="207">
        <f>'прил9 (ведом 23)'!M915</f>
        <v>27257.599999999999</v>
      </c>
      <c r="E52" s="207">
        <f>'прил10 (ведом 24-25)'!M651</f>
        <v>30481.200000000001</v>
      </c>
      <c r="F52" s="207">
        <f>'прил10 (ведом 24-25)'!N651</f>
        <v>629.70000000000005</v>
      </c>
    </row>
    <row r="53" spans="1:8" x14ac:dyDescent="0.35">
      <c r="A53" s="233"/>
      <c r="B53" s="205" t="s">
        <v>707</v>
      </c>
      <c r="C53" s="238" t="s">
        <v>706</v>
      </c>
      <c r="D53" s="207">
        <f>'прил9 (ведом 23)'!M916</f>
        <v>40460.593520000002</v>
      </c>
      <c r="E53" s="207">
        <f>'прил10 (ведом 24-25)'!M652</f>
        <v>30944.799999999999</v>
      </c>
      <c r="F53" s="207">
        <f>'прил10 (ведом 24-25)'!N652</f>
        <v>31312.2</v>
      </c>
    </row>
    <row r="54" spans="1:8" ht="36" x14ac:dyDescent="0.35">
      <c r="A54" s="236"/>
      <c r="B54" s="205" t="s">
        <v>198</v>
      </c>
      <c r="C54" s="243" t="s">
        <v>199</v>
      </c>
      <c r="D54" s="207">
        <f>'прил9 (ведом 23)'!M917</f>
        <v>2971.1000000000004</v>
      </c>
      <c r="E54" s="202">
        <f>'прил10 (ведом 24-25)'!M653</f>
        <v>3058.7000000000003</v>
      </c>
      <c r="F54" s="202">
        <f>'прил10 (ведом 24-25)'!N653</f>
        <v>3059.7999999999997</v>
      </c>
    </row>
    <row r="55" spans="1:8" ht="52.8" x14ac:dyDescent="0.35">
      <c r="A55" s="233">
        <v>9</v>
      </c>
      <c r="B55" s="295">
        <v>1400</v>
      </c>
      <c r="C55" s="293" t="s">
        <v>200</v>
      </c>
      <c r="D55" s="298">
        <f>SUM(D56:D57)</f>
        <v>68977</v>
      </c>
      <c r="E55" s="298">
        <f t="shared" ref="E55:F55" si="1">SUM(E56:E57)</f>
        <v>7500</v>
      </c>
      <c r="F55" s="298">
        <f t="shared" si="1"/>
        <v>7500</v>
      </c>
    </row>
    <row r="56" spans="1:8" ht="54" x14ac:dyDescent="0.35">
      <c r="A56" s="299"/>
      <c r="B56" s="296">
        <v>1401</v>
      </c>
      <c r="C56" s="206" t="s">
        <v>201</v>
      </c>
      <c r="D56" s="300">
        <f>'прил9 (ведом 23)'!M923</f>
        <v>7500</v>
      </c>
      <c r="E56" s="241">
        <f>'прил10 (ведом 24-25)'!M659</f>
        <v>7500</v>
      </c>
      <c r="F56" s="241">
        <f>'прил10 (ведом 24-25)'!N659</f>
        <v>7500</v>
      </c>
    </row>
    <row r="57" spans="1:8" ht="36" x14ac:dyDescent="0.35">
      <c r="A57" s="299"/>
      <c r="B57" s="296">
        <v>1403</v>
      </c>
      <c r="C57" s="206" t="s">
        <v>679</v>
      </c>
      <c r="D57" s="300">
        <f>'прил9 (ведом 23)'!M925</f>
        <v>61477</v>
      </c>
      <c r="E57" s="241">
        <v>0</v>
      </c>
      <c r="F57" s="241">
        <v>0</v>
      </c>
    </row>
    <row r="58" spans="1:8" s="208" customFormat="1" ht="17.399999999999999" x14ac:dyDescent="0.3">
      <c r="A58" s="232">
        <v>10</v>
      </c>
      <c r="B58" s="234"/>
      <c r="C58" s="203" t="s">
        <v>362</v>
      </c>
      <c r="D58" s="239">
        <f>SUM(D59:D59)</f>
        <v>0</v>
      </c>
      <c r="E58" s="239">
        <f>SUM(E59:E59)</f>
        <v>34788</v>
      </c>
      <c r="F58" s="239">
        <f>SUM(F59:F59)</f>
        <v>45416</v>
      </c>
    </row>
    <row r="59" spans="1:8" s="208" customFormat="1" x14ac:dyDescent="0.35">
      <c r="A59" s="240"/>
      <c r="B59" s="237"/>
      <c r="C59" s="204" t="s">
        <v>362</v>
      </c>
      <c r="D59" s="241">
        <v>0</v>
      </c>
      <c r="E59" s="241">
        <f>'прил10 (ведом 24-25)'!M662</f>
        <v>34788</v>
      </c>
      <c r="F59" s="241">
        <f>'прил10 (ведом 24-25)'!N662</f>
        <v>45416</v>
      </c>
    </row>
    <row r="62" spans="1:8" s="305" customFormat="1" x14ac:dyDescent="0.35">
      <c r="A62" s="698" t="s">
        <v>762</v>
      </c>
      <c r="B62" s="302"/>
      <c r="C62" s="303"/>
      <c r="D62" s="303"/>
      <c r="E62" s="303"/>
      <c r="F62" s="303"/>
      <c r="G62" s="43"/>
      <c r="H62" s="304"/>
    </row>
    <row r="63" spans="1:8" s="305" customFormat="1" x14ac:dyDescent="0.35">
      <c r="A63" s="698" t="s">
        <v>763</v>
      </c>
      <c r="B63" s="302"/>
      <c r="C63" s="303"/>
      <c r="D63" s="303"/>
      <c r="E63" s="303"/>
      <c r="F63" s="303"/>
      <c r="G63" s="43"/>
      <c r="H63" s="304"/>
    </row>
    <row r="64" spans="1:8" s="305" customFormat="1" x14ac:dyDescent="0.35">
      <c r="A64" s="698" t="s">
        <v>375</v>
      </c>
      <c r="B64" s="302"/>
      <c r="E64" s="303"/>
      <c r="F64" s="111" t="s">
        <v>764</v>
      </c>
    </row>
    <row r="65" spans="1:1" x14ac:dyDescent="0.35">
      <c r="A65" s="699" t="s">
        <v>376</v>
      </c>
    </row>
  </sheetData>
  <autoFilter ref="A1:A64"/>
  <mergeCells count="6">
    <mergeCell ref="D12:F12"/>
    <mergeCell ref="A8:F8"/>
    <mergeCell ref="A9:F9"/>
    <mergeCell ref="A12:A13"/>
    <mergeCell ref="B12:B13"/>
    <mergeCell ref="C12:C13"/>
  </mergeCells>
  <printOptions horizontalCentered="1"/>
  <pageMargins left="1.1811023622047245" right="0.39370078740157483" top="0.78740157480314965" bottom="0.78740157480314965" header="0" footer="0"/>
  <pageSetup paperSize="9" scale="69" fitToHeight="0" orientation="portrait" blackAndWhite="1" r:id="rId1"/>
  <headerFooter differentFirst="1" alignWithMargins="0">
    <oddHeader>&amp;C&amp;"Times New Roman,обычный"&amp;12&amp;P</oddHeader>
  </headerFooter>
  <rowBreaks count="1" manualBreakCount="1">
    <brk id="4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649"/>
  <sheetViews>
    <sheetView zoomScale="80" zoomScaleNormal="80" zoomScaleSheetLayoutView="80" workbookViewId="0">
      <pane xSplit="1" ySplit="6" topLeftCell="B25" activePane="bottomRight" state="frozen"/>
      <selection activeCell="D47" sqref="D47"/>
      <selection pane="topRight" activeCell="D47" sqref="D47"/>
      <selection pane="bottomLeft" activeCell="D47" sqref="D47"/>
      <selection pane="bottomRight" activeCell="O613" sqref="O613"/>
    </sheetView>
  </sheetViews>
  <sheetFormatPr defaultColWidth="9.109375" defaultRowHeight="15.6" x14ac:dyDescent="0.3"/>
  <cols>
    <col min="1" max="1" width="4.5546875" style="331" customWidth="1"/>
    <col min="2" max="2" width="62.44140625" style="403" customWidth="1"/>
    <col min="3" max="3" width="3.109375" style="404" customWidth="1"/>
    <col min="4" max="4" width="2" style="404" customWidth="1"/>
    <col min="5" max="5" width="3.109375" style="404" customWidth="1"/>
    <col min="6" max="6" width="8.6640625" style="404" customWidth="1"/>
    <col min="7" max="7" width="5.5546875" style="402" customWidth="1"/>
    <col min="8" max="8" width="15.6640625" style="332" customWidth="1"/>
    <col min="9" max="9" width="9.109375" style="45"/>
    <col min="10" max="10" width="17.6640625" style="45" hidden="1" customWidth="1"/>
    <col min="11" max="14" width="9.109375" style="45"/>
    <col min="15" max="15" width="58.6640625" style="45" customWidth="1"/>
    <col min="16" max="16384" width="9.109375" style="45"/>
  </cols>
  <sheetData>
    <row r="1" spans="1:12" ht="18" x14ac:dyDescent="0.35">
      <c r="H1" s="158" t="s">
        <v>563</v>
      </c>
    </row>
    <row r="2" spans="1:12" ht="18" x14ac:dyDescent="0.35">
      <c r="H2" s="158" t="s">
        <v>765</v>
      </c>
    </row>
    <row r="3" spans="1:12" ht="18" x14ac:dyDescent="0.35">
      <c r="H3" s="158"/>
    </row>
    <row r="4" spans="1:12" s="35" customFormat="1" ht="18" x14ac:dyDescent="0.35">
      <c r="H4" s="158" t="s">
        <v>514</v>
      </c>
      <c r="K4" s="39"/>
      <c r="L4" s="623"/>
    </row>
    <row r="5" spans="1:12" s="35" customFormat="1" ht="18" x14ac:dyDescent="0.35">
      <c r="H5" s="158" t="s">
        <v>667</v>
      </c>
      <c r="K5" s="39"/>
      <c r="L5" s="624"/>
    </row>
    <row r="8" spans="1:12" ht="72" customHeight="1" x14ac:dyDescent="0.3">
      <c r="A8" s="735" t="s">
        <v>594</v>
      </c>
      <c r="B8" s="735"/>
      <c r="C8" s="735"/>
      <c r="D8" s="735"/>
      <c r="E8" s="735"/>
      <c r="F8" s="735"/>
      <c r="G8" s="735"/>
      <c r="H8" s="735"/>
    </row>
    <row r="9" spans="1:12" x14ac:dyDescent="0.3">
      <c r="A9" s="45"/>
      <c r="B9" s="45"/>
      <c r="C9" s="331"/>
      <c r="D9" s="331"/>
      <c r="E9" s="331"/>
      <c r="F9" s="331"/>
      <c r="G9" s="332"/>
    </row>
    <row r="10" spans="1:12" ht="18" x14ac:dyDescent="0.35">
      <c r="A10" s="333"/>
      <c r="B10" s="41"/>
      <c r="C10" s="42"/>
      <c r="D10" s="42"/>
      <c r="E10" s="42"/>
      <c r="F10" s="42"/>
      <c r="G10" s="45"/>
      <c r="H10" s="406" t="s">
        <v>22</v>
      </c>
    </row>
    <row r="11" spans="1:12" ht="37.200000000000003" customHeight="1" x14ac:dyDescent="0.3">
      <c r="A11" s="706" t="s">
        <v>23</v>
      </c>
      <c r="B11" s="707" t="s">
        <v>24</v>
      </c>
      <c r="C11" s="736" t="s">
        <v>28</v>
      </c>
      <c r="D11" s="737"/>
      <c r="E11" s="737"/>
      <c r="F11" s="738"/>
      <c r="G11" s="707" t="s">
        <v>29</v>
      </c>
      <c r="H11" s="407" t="s">
        <v>15</v>
      </c>
    </row>
    <row r="12" spans="1:12" ht="18" x14ac:dyDescent="0.35">
      <c r="A12" s="230">
        <v>1</v>
      </c>
      <c r="B12" s="336">
        <v>2</v>
      </c>
      <c r="C12" s="739" t="s">
        <v>30</v>
      </c>
      <c r="D12" s="740"/>
      <c r="E12" s="740"/>
      <c r="F12" s="741"/>
      <c r="G12" s="242" t="s">
        <v>31</v>
      </c>
      <c r="H12" s="231">
        <v>5</v>
      </c>
    </row>
    <row r="13" spans="1:12" ht="19.5" customHeight="1" x14ac:dyDescent="0.35">
      <c r="A13" s="337"/>
      <c r="B13" s="338" t="s">
        <v>202</v>
      </c>
      <c r="C13" s="339"/>
      <c r="D13" s="339"/>
      <c r="E13" s="339"/>
      <c r="F13" s="339"/>
      <c r="G13" s="340"/>
      <c r="H13" s="341">
        <f>H14+H160+H222+H272+H297+H336+H362+H401+H464+H473+H479+H489+H499+H505+H571+H623+H443+H565+H582</f>
        <v>2708057.4718999993</v>
      </c>
      <c r="J13" s="408">
        <f>H13-'прил9 (ведом 23)'!M14</f>
        <v>0</v>
      </c>
    </row>
    <row r="14" spans="1:12" s="347" customFormat="1" ht="52.2" x14ac:dyDescent="0.3">
      <c r="A14" s="343">
        <v>1</v>
      </c>
      <c r="B14" s="505" t="s">
        <v>205</v>
      </c>
      <c r="C14" s="344" t="s">
        <v>39</v>
      </c>
      <c r="D14" s="344" t="s">
        <v>42</v>
      </c>
      <c r="E14" s="344" t="s">
        <v>43</v>
      </c>
      <c r="F14" s="345" t="s">
        <v>44</v>
      </c>
      <c r="G14" s="346"/>
      <c r="H14" s="258">
        <f>H15+H96+H124</f>
        <v>1617024.5853000002</v>
      </c>
    </row>
    <row r="15" spans="1:12" ht="18" x14ac:dyDescent="0.35">
      <c r="A15" s="337"/>
      <c r="B15" s="506" t="s">
        <v>206</v>
      </c>
      <c r="C15" s="703" t="s">
        <v>39</v>
      </c>
      <c r="D15" s="703" t="s">
        <v>45</v>
      </c>
      <c r="E15" s="703" t="s">
        <v>43</v>
      </c>
      <c r="F15" s="704" t="s">
        <v>44</v>
      </c>
      <c r="G15" s="242"/>
      <c r="H15" s="221">
        <f>H16+H41+H90</f>
        <v>1442575.4953000001</v>
      </c>
    </row>
    <row r="16" spans="1:12" ht="18" x14ac:dyDescent="0.35">
      <c r="A16" s="337"/>
      <c r="B16" s="506" t="s">
        <v>267</v>
      </c>
      <c r="C16" s="212" t="s">
        <v>39</v>
      </c>
      <c r="D16" s="213" t="s">
        <v>45</v>
      </c>
      <c r="E16" s="213" t="s">
        <v>37</v>
      </c>
      <c r="F16" s="214" t="s">
        <v>44</v>
      </c>
      <c r="G16" s="242"/>
      <c r="H16" s="221">
        <f>H26+H29+H31+H17+H21+H23+H19+H35+H37+H33+H39</f>
        <v>516002.77999999997</v>
      </c>
    </row>
    <row r="17" spans="1:8" ht="36" x14ac:dyDescent="0.35">
      <c r="A17" s="337"/>
      <c r="B17" s="506" t="s">
        <v>464</v>
      </c>
      <c r="C17" s="212" t="s">
        <v>39</v>
      </c>
      <c r="D17" s="213" t="s">
        <v>45</v>
      </c>
      <c r="E17" s="213" t="s">
        <v>37</v>
      </c>
      <c r="F17" s="214" t="s">
        <v>91</v>
      </c>
      <c r="G17" s="28"/>
      <c r="H17" s="221">
        <f>H18</f>
        <v>105963.19999999998</v>
      </c>
    </row>
    <row r="18" spans="1:8" ht="36" x14ac:dyDescent="0.35">
      <c r="A18" s="337"/>
      <c r="B18" s="506" t="s">
        <v>76</v>
      </c>
      <c r="C18" s="212" t="s">
        <v>39</v>
      </c>
      <c r="D18" s="213" t="s">
        <v>45</v>
      </c>
      <c r="E18" s="213" t="s">
        <v>37</v>
      </c>
      <c r="F18" s="214" t="s">
        <v>91</v>
      </c>
      <c r="G18" s="28" t="s">
        <v>77</v>
      </c>
      <c r="H18" s="221">
        <f>'прил9 (ведом 23)'!M460</f>
        <v>105963.19999999998</v>
      </c>
    </row>
    <row r="19" spans="1:8" ht="18" x14ac:dyDescent="0.35">
      <c r="A19" s="337"/>
      <c r="B19" s="507" t="s">
        <v>465</v>
      </c>
      <c r="C19" s="212" t="s">
        <v>39</v>
      </c>
      <c r="D19" s="213" t="s">
        <v>45</v>
      </c>
      <c r="E19" s="213" t="s">
        <v>37</v>
      </c>
      <c r="F19" s="214" t="s">
        <v>380</v>
      </c>
      <c r="G19" s="28"/>
      <c r="H19" s="221">
        <f>H20</f>
        <v>14681.199999999999</v>
      </c>
    </row>
    <row r="20" spans="1:8" ht="36" x14ac:dyDescent="0.35">
      <c r="A20" s="337"/>
      <c r="B20" s="507" t="s">
        <v>76</v>
      </c>
      <c r="C20" s="212" t="s">
        <v>39</v>
      </c>
      <c r="D20" s="213" t="s">
        <v>45</v>
      </c>
      <c r="E20" s="213" t="s">
        <v>37</v>
      </c>
      <c r="F20" s="214" t="s">
        <v>380</v>
      </c>
      <c r="G20" s="28" t="s">
        <v>77</v>
      </c>
      <c r="H20" s="221">
        <f>'прил9 (ведом 23)'!M462</f>
        <v>14681.199999999999</v>
      </c>
    </row>
    <row r="21" spans="1:8" ht="36" x14ac:dyDescent="0.35">
      <c r="A21" s="337"/>
      <c r="B21" s="507" t="s">
        <v>207</v>
      </c>
      <c r="C21" s="212" t="s">
        <v>39</v>
      </c>
      <c r="D21" s="213" t="s">
        <v>45</v>
      </c>
      <c r="E21" s="213" t="s">
        <v>37</v>
      </c>
      <c r="F21" s="214" t="s">
        <v>273</v>
      </c>
      <c r="G21" s="28"/>
      <c r="H21" s="221">
        <f>H22</f>
        <v>31159.599999999999</v>
      </c>
    </row>
    <row r="22" spans="1:8" ht="36" x14ac:dyDescent="0.35">
      <c r="A22" s="337"/>
      <c r="B22" s="507" t="s">
        <v>76</v>
      </c>
      <c r="C22" s="212" t="s">
        <v>39</v>
      </c>
      <c r="D22" s="213" t="s">
        <v>45</v>
      </c>
      <c r="E22" s="213" t="s">
        <v>37</v>
      </c>
      <c r="F22" s="214" t="s">
        <v>273</v>
      </c>
      <c r="G22" s="28" t="s">
        <v>77</v>
      </c>
      <c r="H22" s="221">
        <f>'прил9 (ведом 23)'!M464</f>
        <v>31159.599999999999</v>
      </c>
    </row>
    <row r="23" spans="1:8" ht="36" x14ac:dyDescent="0.35">
      <c r="A23" s="337"/>
      <c r="B23" s="507" t="s">
        <v>208</v>
      </c>
      <c r="C23" s="212" t="s">
        <v>39</v>
      </c>
      <c r="D23" s="213" t="s">
        <v>45</v>
      </c>
      <c r="E23" s="213" t="s">
        <v>37</v>
      </c>
      <c r="F23" s="214" t="s">
        <v>274</v>
      </c>
      <c r="G23" s="28"/>
      <c r="H23" s="221">
        <f>H24+H25</f>
        <v>4929.6799999999994</v>
      </c>
    </row>
    <row r="24" spans="1:8" ht="36" x14ac:dyDescent="0.35">
      <c r="A24" s="337"/>
      <c r="B24" s="508" t="s">
        <v>203</v>
      </c>
      <c r="C24" s="212" t="s">
        <v>39</v>
      </c>
      <c r="D24" s="213" t="s">
        <v>45</v>
      </c>
      <c r="E24" s="213" t="s">
        <v>37</v>
      </c>
      <c r="F24" s="214" t="s">
        <v>274</v>
      </c>
      <c r="G24" s="28" t="s">
        <v>204</v>
      </c>
      <c r="H24" s="221">
        <f>'прил9 (ведом 23)'!M406</f>
        <v>3231.2799999999997</v>
      </c>
    </row>
    <row r="25" spans="1:8" ht="50.25" customHeight="1" x14ac:dyDescent="0.35">
      <c r="A25" s="337"/>
      <c r="B25" s="507" t="s">
        <v>76</v>
      </c>
      <c r="C25" s="212" t="s">
        <v>39</v>
      </c>
      <c r="D25" s="213" t="s">
        <v>45</v>
      </c>
      <c r="E25" s="213" t="s">
        <v>37</v>
      </c>
      <c r="F25" s="214" t="s">
        <v>274</v>
      </c>
      <c r="G25" s="28" t="s">
        <v>77</v>
      </c>
      <c r="H25" s="215">
        <f>'прил9 (ведом 23)'!M466</f>
        <v>1698.3999999999999</v>
      </c>
    </row>
    <row r="26" spans="1:8" ht="120" customHeight="1" x14ac:dyDescent="0.35">
      <c r="A26" s="337"/>
      <c r="B26" s="506" t="s">
        <v>283</v>
      </c>
      <c r="C26" s="212" t="s">
        <v>39</v>
      </c>
      <c r="D26" s="213" t="s">
        <v>45</v>
      </c>
      <c r="E26" s="213" t="s">
        <v>37</v>
      </c>
      <c r="F26" s="214" t="s">
        <v>284</v>
      </c>
      <c r="G26" s="28"/>
      <c r="H26" s="221">
        <f>SUM(H27:H28)</f>
        <v>6685.2</v>
      </c>
    </row>
    <row r="27" spans="1:8" ht="36" x14ac:dyDescent="0.35">
      <c r="A27" s="337"/>
      <c r="B27" s="506" t="s">
        <v>55</v>
      </c>
      <c r="C27" s="212" t="s">
        <v>39</v>
      </c>
      <c r="D27" s="213" t="s">
        <v>45</v>
      </c>
      <c r="E27" s="213" t="s">
        <v>37</v>
      </c>
      <c r="F27" s="214" t="s">
        <v>284</v>
      </c>
      <c r="G27" s="28" t="s">
        <v>56</v>
      </c>
      <c r="H27" s="221">
        <f>'прил9 (ведом 23)'!M636</f>
        <v>98.7</v>
      </c>
    </row>
    <row r="28" spans="1:8" ht="18" x14ac:dyDescent="0.35">
      <c r="A28" s="337"/>
      <c r="B28" s="509" t="s">
        <v>120</v>
      </c>
      <c r="C28" s="212" t="s">
        <v>39</v>
      </c>
      <c r="D28" s="213" t="s">
        <v>45</v>
      </c>
      <c r="E28" s="213" t="s">
        <v>37</v>
      </c>
      <c r="F28" s="214" t="s">
        <v>284</v>
      </c>
      <c r="G28" s="28" t="s">
        <v>121</v>
      </c>
      <c r="H28" s="221">
        <f>'прил9 (ведом 23)'!M637</f>
        <v>6586.5</v>
      </c>
    </row>
    <row r="29" spans="1:8" ht="162" x14ac:dyDescent="0.35">
      <c r="A29" s="337"/>
      <c r="B29" s="506" t="s">
        <v>268</v>
      </c>
      <c r="C29" s="212" t="s">
        <v>39</v>
      </c>
      <c r="D29" s="213" t="s">
        <v>45</v>
      </c>
      <c r="E29" s="213" t="s">
        <v>37</v>
      </c>
      <c r="F29" s="214" t="s">
        <v>269</v>
      </c>
      <c r="G29" s="28"/>
      <c r="H29" s="221">
        <f>H30</f>
        <v>580.4</v>
      </c>
    </row>
    <row r="30" spans="1:8" ht="36" x14ac:dyDescent="0.35">
      <c r="A30" s="337"/>
      <c r="B30" s="506" t="s">
        <v>76</v>
      </c>
      <c r="C30" s="212" t="s">
        <v>39</v>
      </c>
      <c r="D30" s="213" t="s">
        <v>45</v>
      </c>
      <c r="E30" s="213" t="s">
        <v>37</v>
      </c>
      <c r="F30" s="214" t="s">
        <v>269</v>
      </c>
      <c r="G30" s="28" t="s">
        <v>77</v>
      </c>
      <c r="H30" s="221">
        <f>'прил9 (ведом 23)'!M468</f>
        <v>580.4</v>
      </c>
    </row>
    <row r="31" spans="1:8" ht="90" x14ac:dyDescent="0.35">
      <c r="A31" s="337"/>
      <c r="B31" s="506" t="s">
        <v>345</v>
      </c>
      <c r="C31" s="212" t="s">
        <v>39</v>
      </c>
      <c r="D31" s="213" t="s">
        <v>45</v>
      </c>
      <c r="E31" s="213" t="s">
        <v>37</v>
      </c>
      <c r="F31" s="214" t="s">
        <v>270</v>
      </c>
      <c r="G31" s="28"/>
      <c r="H31" s="221">
        <f>H32</f>
        <v>251582.4</v>
      </c>
    </row>
    <row r="32" spans="1:8" ht="36" x14ac:dyDescent="0.35">
      <c r="A32" s="337"/>
      <c r="B32" s="509" t="s">
        <v>76</v>
      </c>
      <c r="C32" s="212" t="s">
        <v>39</v>
      </c>
      <c r="D32" s="213" t="s">
        <v>45</v>
      </c>
      <c r="E32" s="213" t="s">
        <v>37</v>
      </c>
      <c r="F32" s="214" t="s">
        <v>270</v>
      </c>
      <c r="G32" s="28" t="s">
        <v>77</v>
      </c>
      <c r="H32" s="221">
        <f>'прил9 (ведом 23)'!M470</f>
        <v>251582.4</v>
      </c>
    </row>
    <row r="33" spans="1:8" ht="54" x14ac:dyDescent="0.35">
      <c r="A33" s="337"/>
      <c r="B33" s="593" t="s">
        <v>695</v>
      </c>
      <c r="C33" s="709" t="s">
        <v>39</v>
      </c>
      <c r="D33" s="710" t="s">
        <v>45</v>
      </c>
      <c r="E33" s="710" t="s">
        <v>37</v>
      </c>
      <c r="F33" s="711" t="s">
        <v>694</v>
      </c>
      <c r="G33" s="10"/>
      <c r="H33" s="221">
        <f>H34</f>
        <v>4901.7</v>
      </c>
    </row>
    <row r="34" spans="1:8" ht="36" x14ac:dyDescent="0.35">
      <c r="A34" s="337"/>
      <c r="B34" s="593" t="s">
        <v>76</v>
      </c>
      <c r="C34" s="709" t="s">
        <v>39</v>
      </c>
      <c r="D34" s="710" t="s">
        <v>45</v>
      </c>
      <c r="E34" s="710" t="s">
        <v>37</v>
      </c>
      <c r="F34" s="711" t="s">
        <v>694</v>
      </c>
      <c r="G34" s="10" t="s">
        <v>77</v>
      </c>
      <c r="H34" s="221">
        <f>'прил9 (ведом 23)'!M472</f>
        <v>4901.7</v>
      </c>
    </row>
    <row r="35" spans="1:8" ht="108" x14ac:dyDescent="0.35">
      <c r="A35" s="337"/>
      <c r="B35" s="508" t="s">
        <v>503</v>
      </c>
      <c r="C35" s="212" t="s">
        <v>39</v>
      </c>
      <c r="D35" s="213" t="s">
        <v>45</v>
      </c>
      <c r="E35" s="213" t="s">
        <v>37</v>
      </c>
      <c r="F35" s="214" t="s">
        <v>502</v>
      </c>
      <c r="G35" s="28"/>
      <c r="H35" s="221">
        <f>H36</f>
        <v>85084.400000000009</v>
      </c>
    </row>
    <row r="36" spans="1:8" ht="36" x14ac:dyDescent="0.35">
      <c r="A36" s="337"/>
      <c r="B36" s="508" t="s">
        <v>203</v>
      </c>
      <c r="C36" s="212" t="s">
        <v>39</v>
      </c>
      <c r="D36" s="213" t="s">
        <v>45</v>
      </c>
      <c r="E36" s="213" t="s">
        <v>37</v>
      </c>
      <c r="F36" s="214" t="s">
        <v>502</v>
      </c>
      <c r="G36" s="28" t="s">
        <v>204</v>
      </c>
      <c r="H36" s="221">
        <f>'прил9 (ведом 23)'!M408</f>
        <v>85084.400000000009</v>
      </c>
    </row>
    <row r="37" spans="1:8" ht="162" x14ac:dyDescent="0.35">
      <c r="A37" s="337"/>
      <c r="B37" s="510" t="s">
        <v>552</v>
      </c>
      <c r="C37" s="709" t="s">
        <v>39</v>
      </c>
      <c r="D37" s="710" t="s">
        <v>45</v>
      </c>
      <c r="E37" s="710" t="s">
        <v>37</v>
      </c>
      <c r="F37" s="711" t="s">
        <v>553</v>
      </c>
      <c r="G37" s="10"/>
      <c r="H37" s="221">
        <f>H38</f>
        <v>1469.3</v>
      </c>
    </row>
    <row r="38" spans="1:8" ht="36" x14ac:dyDescent="0.35">
      <c r="A38" s="337"/>
      <c r="B38" s="510" t="s">
        <v>76</v>
      </c>
      <c r="C38" s="709" t="s">
        <v>39</v>
      </c>
      <c r="D38" s="710" t="s">
        <v>45</v>
      </c>
      <c r="E38" s="710" t="s">
        <v>37</v>
      </c>
      <c r="F38" s="711" t="s">
        <v>553</v>
      </c>
      <c r="G38" s="10" t="s">
        <v>77</v>
      </c>
      <c r="H38" s="221">
        <f>'прил9 (ведом 23)'!M474</f>
        <v>1469.3</v>
      </c>
    </row>
    <row r="39" spans="1:8" ht="126" x14ac:dyDescent="0.35">
      <c r="A39" s="337"/>
      <c r="B39" s="510" t="s">
        <v>753</v>
      </c>
      <c r="C39" s="709" t="s">
        <v>39</v>
      </c>
      <c r="D39" s="710" t="s">
        <v>45</v>
      </c>
      <c r="E39" s="710" t="s">
        <v>37</v>
      </c>
      <c r="F39" s="711" t="s">
        <v>752</v>
      </c>
      <c r="G39" s="10"/>
      <c r="H39" s="221">
        <f>H40</f>
        <v>8965.7000000000007</v>
      </c>
    </row>
    <row r="40" spans="1:8" ht="36" x14ac:dyDescent="0.35">
      <c r="A40" s="337"/>
      <c r="B40" s="510" t="s">
        <v>76</v>
      </c>
      <c r="C40" s="709" t="s">
        <v>39</v>
      </c>
      <c r="D40" s="710" t="s">
        <v>45</v>
      </c>
      <c r="E40" s="710" t="s">
        <v>37</v>
      </c>
      <c r="F40" s="711" t="s">
        <v>752</v>
      </c>
      <c r="G40" s="10" t="s">
        <v>77</v>
      </c>
      <c r="H40" s="221">
        <f>'прил9 (ведом 23)'!M476</f>
        <v>8965.7000000000007</v>
      </c>
    </row>
    <row r="41" spans="1:8" ht="18" x14ac:dyDescent="0.35">
      <c r="A41" s="337"/>
      <c r="B41" s="506" t="s">
        <v>272</v>
      </c>
      <c r="C41" s="212" t="s">
        <v>39</v>
      </c>
      <c r="D41" s="213" t="s">
        <v>45</v>
      </c>
      <c r="E41" s="213" t="s">
        <v>39</v>
      </c>
      <c r="F41" s="214" t="s">
        <v>44</v>
      </c>
      <c r="G41" s="28"/>
      <c r="H41" s="221">
        <f>H50+H53+H63+H67+H71+H42+H47+H79+H60+H58+H76+H86+H84+H82+H74</f>
        <v>920915.81530000013</v>
      </c>
    </row>
    <row r="42" spans="1:8" ht="36" x14ac:dyDescent="0.35">
      <c r="A42" s="337"/>
      <c r="B42" s="506" t="s">
        <v>464</v>
      </c>
      <c r="C42" s="212" t="s">
        <v>39</v>
      </c>
      <c r="D42" s="213" t="s">
        <v>45</v>
      </c>
      <c r="E42" s="213" t="s">
        <v>39</v>
      </c>
      <c r="F42" s="214" t="s">
        <v>91</v>
      </c>
      <c r="G42" s="28"/>
      <c r="H42" s="221">
        <f>SUM(H43:H46)</f>
        <v>78980.639999999985</v>
      </c>
    </row>
    <row r="43" spans="1:8" ht="90" x14ac:dyDescent="0.35">
      <c r="A43" s="337"/>
      <c r="B43" s="507" t="s">
        <v>49</v>
      </c>
      <c r="C43" s="212" t="s">
        <v>39</v>
      </c>
      <c r="D43" s="213" t="s">
        <v>45</v>
      </c>
      <c r="E43" s="213" t="s">
        <v>39</v>
      </c>
      <c r="F43" s="214" t="s">
        <v>91</v>
      </c>
      <c r="G43" s="28" t="s">
        <v>50</v>
      </c>
      <c r="H43" s="221">
        <f>'прил9 (ведом 23)'!M496</f>
        <v>361.1</v>
      </c>
    </row>
    <row r="44" spans="1:8" ht="36" x14ac:dyDescent="0.35">
      <c r="A44" s="337"/>
      <c r="B44" s="507" t="s">
        <v>55</v>
      </c>
      <c r="C44" s="212" t="s">
        <v>39</v>
      </c>
      <c r="D44" s="213" t="s">
        <v>45</v>
      </c>
      <c r="E44" s="213" t="s">
        <v>39</v>
      </c>
      <c r="F44" s="214" t="s">
        <v>91</v>
      </c>
      <c r="G44" s="28" t="s">
        <v>56</v>
      </c>
      <c r="H44" s="221">
        <f>'прил9 (ведом 23)'!M497</f>
        <v>7370.2400000000007</v>
      </c>
    </row>
    <row r="45" spans="1:8" ht="36" x14ac:dyDescent="0.35">
      <c r="A45" s="337"/>
      <c r="B45" s="506" t="s">
        <v>76</v>
      </c>
      <c r="C45" s="212" t="s">
        <v>39</v>
      </c>
      <c r="D45" s="213" t="s">
        <v>45</v>
      </c>
      <c r="E45" s="213" t="s">
        <v>39</v>
      </c>
      <c r="F45" s="214" t="s">
        <v>91</v>
      </c>
      <c r="G45" s="28" t="s">
        <v>77</v>
      </c>
      <c r="H45" s="221">
        <f>'прил9 (ведом 23)'!M498</f>
        <v>70750.799999999988</v>
      </c>
    </row>
    <row r="46" spans="1:8" ht="18" x14ac:dyDescent="0.35">
      <c r="A46" s="337"/>
      <c r="B46" s="506" t="s">
        <v>57</v>
      </c>
      <c r="C46" s="212" t="s">
        <v>39</v>
      </c>
      <c r="D46" s="213" t="s">
        <v>45</v>
      </c>
      <c r="E46" s="213" t="s">
        <v>39</v>
      </c>
      <c r="F46" s="214" t="s">
        <v>91</v>
      </c>
      <c r="G46" s="28" t="s">
        <v>58</v>
      </c>
      <c r="H46" s="221">
        <f>'прил9 (ведом 23)'!M499</f>
        <v>498.5</v>
      </c>
    </row>
    <row r="47" spans="1:8" ht="18" x14ac:dyDescent="0.35">
      <c r="A47" s="337"/>
      <c r="B47" s="507" t="s">
        <v>465</v>
      </c>
      <c r="C47" s="212" t="s">
        <v>39</v>
      </c>
      <c r="D47" s="213" t="s">
        <v>45</v>
      </c>
      <c r="E47" s="213" t="s">
        <v>39</v>
      </c>
      <c r="F47" s="214" t="s">
        <v>380</v>
      </c>
      <c r="G47" s="28"/>
      <c r="H47" s="221">
        <f>SUM(H48:H49)</f>
        <v>24167.165159999997</v>
      </c>
    </row>
    <row r="48" spans="1:8" ht="36" x14ac:dyDescent="0.35">
      <c r="A48" s="337"/>
      <c r="B48" s="507" t="s">
        <v>55</v>
      </c>
      <c r="C48" s="212" t="s">
        <v>39</v>
      </c>
      <c r="D48" s="213" t="s">
        <v>45</v>
      </c>
      <c r="E48" s="213" t="s">
        <v>39</v>
      </c>
      <c r="F48" s="214" t="s">
        <v>380</v>
      </c>
      <c r="G48" s="28" t="s">
        <v>56</v>
      </c>
      <c r="H48" s="221">
        <f>'прил9 (ведом 23)'!M501</f>
        <v>5454.7901600000005</v>
      </c>
    </row>
    <row r="49" spans="1:8" ht="36" x14ac:dyDescent="0.35">
      <c r="A49" s="337"/>
      <c r="B49" s="506" t="s">
        <v>76</v>
      </c>
      <c r="C49" s="212" t="s">
        <v>39</v>
      </c>
      <c r="D49" s="213" t="s">
        <v>45</v>
      </c>
      <c r="E49" s="213" t="s">
        <v>39</v>
      </c>
      <c r="F49" s="214" t="s">
        <v>380</v>
      </c>
      <c r="G49" s="28" t="s">
        <v>77</v>
      </c>
      <c r="H49" s="221">
        <f>'прил9 (ведом 23)'!M502</f>
        <v>18712.374999999996</v>
      </c>
    </row>
    <row r="50" spans="1:8" ht="36" x14ac:dyDescent="0.35">
      <c r="A50" s="337"/>
      <c r="B50" s="506" t="s">
        <v>207</v>
      </c>
      <c r="C50" s="212" t="s">
        <v>39</v>
      </c>
      <c r="D50" s="213" t="s">
        <v>45</v>
      </c>
      <c r="E50" s="213" t="s">
        <v>39</v>
      </c>
      <c r="F50" s="214" t="s">
        <v>273</v>
      </c>
      <c r="G50" s="28"/>
      <c r="H50" s="221">
        <f>SUM(H51:H52)</f>
        <v>31093.599999999999</v>
      </c>
    </row>
    <row r="51" spans="1:8" ht="36" x14ac:dyDescent="0.35">
      <c r="A51" s="337"/>
      <c r="B51" s="507" t="s">
        <v>55</v>
      </c>
      <c r="C51" s="212" t="s">
        <v>39</v>
      </c>
      <c r="D51" s="213" t="s">
        <v>45</v>
      </c>
      <c r="E51" s="213" t="s">
        <v>39</v>
      </c>
      <c r="F51" s="214" t="s">
        <v>273</v>
      </c>
      <c r="G51" s="28" t="s">
        <v>56</v>
      </c>
      <c r="H51" s="221">
        <f>'прил9 (ведом 23)'!M504</f>
        <v>4381.8999999999996</v>
      </c>
    </row>
    <row r="52" spans="1:8" ht="36" x14ac:dyDescent="0.35">
      <c r="A52" s="337"/>
      <c r="B52" s="506" t="s">
        <v>76</v>
      </c>
      <c r="C52" s="212" t="s">
        <v>39</v>
      </c>
      <c r="D52" s="213" t="s">
        <v>45</v>
      </c>
      <c r="E52" s="213" t="s">
        <v>39</v>
      </c>
      <c r="F52" s="214" t="s">
        <v>273</v>
      </c>
      <c r="G52" s="28" t="s">
        <v>77</v>
      </c>
      <c r="H52" s="221">
        <f>'прил9 (ведом 23)'!M505</f>
        <v>26711.699999999997</v>
      </c>
    </row>
    <row r="53" spans="1:8" ht="36" x14ac:dyDescent="0.35">
      <c r="A53" s="337"/>
      <c r="B53" s="506" t="s">
        <v>208</v>
      </c>
      <c r="C53" s="212" t="s">
        <v>39</v>
      </c>
      <c r="D53" s="213" t="s">
        <v>45</v>
      </c>
      <c r="E53" s="213" t="s">
        <v>39</v>
      </c>
      <c r="F53" s="214" t="s">
        <v>274</v>
      </c>
      <c r="G53" s="28"/>
      <c r="H53" s="221">
        <f>SUM(H54:H57)</f>
        <v>62650.110139999997</v>
      </c>
    </row>
    <row r="54" spans="1:8" ht="90" x14ac:dyDescent="0.35">
      <c r="A54" s="337"/>
      <c r="B54" s="510" t="s">
        <v>49</v>
      </c>
      <c r="C54" s="212" t="s">
        <v>39</v>
      </c>
      <c r="D54" s="213" t="s">
        <v>45</v>
      </c>
      <c r="E54" s="213" t="s">
        <v>39</v>
      </c>
      <c r="F54" s="214" t="s">
        <v>274</v>
      </c>
      <c r="G54" s="28" t="s">
        <v>50</v>
      </c>
      <c r="H54" s="221">
        <f>'прил9 (ведом 23)'!M507</f>
        <v>93.8</v>
      </c>
    </row>
    <row r="55" spans="1:8" ht="36" x14ac:dyDescent="0.35">
      <c r="A55" s="337"/>
      <c r="B55" s="507" t="s">
        <v>55</v>
      </c>
      <c r="C55" s="212" t="s">
        <v>39</v>
      </c>
      <c r="D55" s="213" t="s">
        <v>45</v>
      </c>
      <c r="E55" s="213" t="s">
        <v>39</v>
      </c>
      <c r="F55" s="214" t="s">
        <v>274</v>
      </c>
      <c r="G55" s="28" t="s">
        <v>56</v>
      </c>
      <c r="H55" s="221">
        <f>'прил9 (ведом 23)'!M508</f>
        <v>27664.510139999999</v>
      </c>
    </row>
    <row r="56" spans="1:8" ht="36" x14ac:dyDescent="0.35">
      <c r="A56" s="337"/>
      <c r="B56" s="508" t="s">
        <v>203</v>
      </c>
      <c r="C56" s="212" t="s">
        <v>39</v>
      </c>
      <c r="D56" s="213" t="s">
        <v>45</v>
      </c>
      <c r="E56" s="213" t="s">
        <v>39</v>
      </c>
      <c r="F56" s="214" t="s">
        <v>274</v>
      </c>
      <c r="G56" s="28" t="s">
        <v>204</v>
      </c>
      <c r="H56" s="221">
        <f>'прил9 (ведом 23)'!M414+'прил9 (ведом 23)'!M509</f>
        <v>4140.2999999999993</v>
      </c>
    </row>
    <row r="57" spans="1:8" ht="36" x14ac:dyDescent="0.35">
      <c r="A57" s="337"/>
      <c r="B57" s="506" t="s">
        <v>76</v>
      </c>
      <c r="C57" s="212" t="s">
        <v>39</v>
      </c>
      <c r="D57" s="213" t="s">
        <v>45</v>
      </c>
      <c r="E57" s="213" t="s">
        <v>39</v>
      </c>
      <c r="F57" s="214" t="s">
        <v>274</v>
      </c>
      <c r="G57" s="28" t="s">
        <v>77</v>
      </c>
      <c r="H57" s="221">
        <f>'прил9 (ведом 23)'!M510</f>
        <v>30751.5</v>
      </c>
    </row>
    <row r="58" spans="1:8" ht="54" x14ac:dyDescent="0.35">
      <c r="A58" s="337"/>
      <c r="B58" s="507" t="s">
        <v>520</v>
      </c>
      <c r="C58" s="212" t="s">
        <v>39</v>
      </c>
      <c r="D58" s="213" t="s">
        <v>45</v>
      </c>
      <c r="E58" s="213" t="s">
        <v>39</v>
      </c>
      <c r="F58" s="214" t="s">
        <v>521</v>
      </c>
      <c r="G58" s="28"/>
      <c r="H58" s="215">
        <f>H59</f>
        <v>30</v>
      </c>
    </row>
    <row r="59" spans="1:8" ht="36" x14ac:dyDescent="0.35">
      <c r="A59" s="337"/>
      <c r="B59" s="507" t="s">
        <v>76</v>
      </c>
      <c r="C59" s="212" t="s">
        <v>39</v>
      </c>
      <c r="D59" s="213" t="s">
        <v>45</v>
      </c>
      <c r="E59" s="213" t="s">
        <v>39</v>
      </c>
      <c r="F59" s="214" t="s">
        <v>521</v>
      </c>
      <c r="G59" s="28" t="s">
        <v>77</v>
      </c>
      <c r="H59" s="215">
        <f>'прил9 (ведом 23)'!M512</f>
        <v>30</v>
      </c>
    </row>
    <row r="60" spans="1:8" ht="234" x14ac:dyDescent="0.35">
      <c r="A60" s="337"/>
      <c r="B60" s="507" t="s">
        <v>604</v>
      </c>
      <c r="C60" s="212" t="s">
        <v>39</v>
      </c>
      <c r="D60" s="213" t="s">
        <v>45</v>
      </c>
      <c r="E60" s="213" t="s">
        <v>39</v>
      </c>
      <c r="F60" s="214" t="s">
        <v>522</v>
      </c>
      <c r="G60" s="28"/>
      <c r="H60" s="221">
        <f>H61+H62</f>
        <v>36976.799999999996</v>
      </c>
    </row>
    <row r="61" spans="1:8" ht="90" x14ac:dyDescent="0.35">
      <c r="A61" s="337"/>
      <c r="B61" s="507" t="s">
        <v>49</v>
      </c>
      <c r="C61" s="212" t="s">
        <v>39</v>
      </c>
      <c r="D61" s="213" t="s">
        <v>45</v>
      </c>
      <c r="E61" s="213" t="s">
        <v>39</v>
      </c>
      <c r="F61" s="214" t="s">
        <v>522</v>
      </c>
      <c r="G61" s="28" t="s">
        <v>50</v>
      </c>
      <c r="H61" s="221">
        <f>'прил9 (ведом 23)'!M514</f>
        <v>2968.5</v>
      </c>
    </row>
    <row r="62" spans="1:8" ht="36" x14ac:dyDescent="0.35">
      <c r="A62" s="337"/>
      <c r="B62" s="507" t="s">
        <v>76</v>
      </c>
      <c r="C62" s="212" t="s">
        <v>39</v>
      </c>
      <c r="D62" s="213" t="s">
        <v>45</v>
      </c>
      <c r="E62" s="213" t="s">
        <v>39</v>
      </c>
      <c r="F62" s="214" t="s">
        <v>522</v>
      </c>
      <c r="G62" s="28" t="s">
        <v>77</v>
      </c>
      <c r="H62" s="221">
        <f>'прил9 (ведом 23)'!M515</f>
        <v>34008.299999999996</v>
      </c>
    </row>
    <row r="63" spans="1:8" ht="162" x14ac:dyDescent="0.35">
      <c r="A63" s="337"/>
      <c r="B63" s="506" t="s">
        <v>268</v>
      </c>
      <c r="C63" s="212" t="s">
        <v>39</v>
      </c>
      <c r="D63" s="213" t="s">
        <v>45</v>
      </c>
      <c r="E63" s="213" t="s">
        <v>39</v>
      </c>
      <c r="F63" s="214" t="s">
        <v>269</v>
      </c>
      <c r="G63" s="28"/>
      <c r="H63" s="221">
        <f>SUM(H64:H66)</f>
        <v>1767.1999999999998</v>
      </c>
    </row>
    <row r="64" spans="1:8" ht="90" x14ac:dyDescent="0.35">
      <c r="A64" s="337"/>
      <c r="B64" s="507" t="s">
        <v>49</v>
      </c>
      <c r="C64" s="212" t="s">
        <v>39</v>
      </c>
      <c r="D64" s="213" t="s">
        <v>45</v>
      </c>
      <c r="E64" s="213" t="s">
        <v>39</v>
      </c>
      <c r="F64" s="214" t="s">
        <v>269</v>
      </c>
      <c r="G64" s="28" t="s">
        <v>50</v>
      </c>
      <c r="H64" s="221">
        <f>'прил9 (ведом 23)'!M517</f>
        <v>77.5</v>
      </c>
    </row>
    <row r="65" spans="1:8" ht="18" x14ac:dyDescent="0.35">
      <c r="A65" s="337"/>
      <c r="B65" s="507" t="s">
        <v>120</v>
      </c>
      <c r="C65" s="212" t="s">
        <v>39</v>
      </c>
      <c r="D65" s="213" t="s">
        <v>45</v>
      </c>
      <c r="E65" s="213" t="s">
        <v>39</v>
      </c>
      <c r="F65" s="214" t="s">
        <v>269</v>
      </c>
      <c r="G65" s="28" t="s">
        <v>121</v>
      </c>
      <c r="H65" s="221">
        <f>'прил9 (ведом 23)'!M518</f>
        <v>5.5</v>
      </c>
    </row>
    <row r="66" spans="1:8" ht="36" x14ac:dyDescent="0.35">
      <c r="A66" s="337"/>
      <c r="B66" s="506" t="s">
        <v>76</v>
      </c>
      <c r="C66" s="212" t="s">
        <v>39</v>
      </c>
      <c r="D66" s="213" t="s">
        <v>45</v>
      </c>
      <c r="E66" s="213" t="s">
        <v>39</v>
      </c>
      <c r="F66" s="214" t="s">
        <v>269</v>
      </c>
      <c r="G66" s="28" t="s">
        <v>77</v>
      </c>
      <c r="H66" s="221">
        <f>'прил9 (ведом 23)'!M519</f>
        <v>1684.1999999999998</v>
      </c>
    </row>
    <row r="67" spans="1:8" ht="90" x14ac:dyDescent="0.35">
      <c r="A67" s="337"/>
      <c r="B67" s="506" t="s">
        <v>345</v>
      </c>
      <c r="C67" s="212" t="s">
        <v>39</v>
      </c>
      <c r="D67" s="213" t="s">
        <v>45</v>
      </c>
      <c r="E67" s="213" t="s">
        <v>39</v>
      </c>
      <c r="F67" s="214" t="s">
        <v>270</v>
      </c>
      <c r="G67" s="28"/>
      <c r="H67" s="221">
        <f>SUM(H68:H70)</f>
        <v>488730</v>
      </c>
    </row>
    <row r="68" spans="1:8" ht="90" x14ac:dyDescent="0.35">
      <c r="A68" s="337"/>
      <c r="B68" s="506" t="s">
        <v>49</v>
      </c>
      <c r="C68" s="212" t="s">
        <v>39</v>
      </c>
      <c r="D68" s="213" t="s">
        <v>45</v>
      </c>
      <c r="E68" s="213" t="s">
        <v>39</v>
      </c>
      <c r="F68" s="214" t="s">
        <v>270</v>
      </c>
      <c r="G68" s="28" t="s">
        <v>50</v>
      </c>
      <c r="H68" s="221">
        <f>'прил9 (ведом 23)'!M521</f>
        <v>30582.3</v>
      </c>
    </row>
    <row r="69" spans="1:8" ht="36" x14ac:dyDescent="0.35">
      <c r="A69" s="337"/>
      <c r="B69" s="506" t="s">
        <v>55</v>
      </c>
      <c r="C69" s="212" t="s">
        <v>39</v>
      </c>
      <c r="D69" s="213" t="s">
        <v>45</v>
      </c>
      <c r="E69" s="213" t="s">
        <v>39</v>
      </c>
      <c r="F69" s="214" t="s">
        <v>270</v>
      </c>
      <c r="G69" s="28" t="s">
        <v>56</v>
      </c>
      <c r="H69" s="221">
        <f>'прил9 (ведом 23)'!M522</f>
        <v>2385.8000000000002</v>
      </c>
    </row>
    <row r="70" spans="1:8" ht="36" x14ac:dyDescent="0.35">
      <c r="A70" s="337"/>
      <c r="B70" s="506" t="s">
        <v>76</v>
      </c>
      <c r="C70" s="212" t="s">
        <v>39</v>
      </c>
      <c r="D70" s="213" t="s">
        <v>45</v>
      </c>
      <c r="E70" s="213" t="s">
        <v>39</v>
      </c>
      <c r="F70" s="214" t="s">
        <v>270</v>
      </c>
      <c r="G70" s="28" t="s">
        <v>77</v>
      </c>
      <c r="H70" s="221">
        <f>'прил9 (ведом 23)'!M523</f>
        <v>455761.9</v>
      </c>
    </row>
    <row r="71" spans="1:8" ht="72" x14ac:dyDescent="0.35">
      <c r="A71" s="337"/>
      <c r="B71" s="506" t="s">
        <v>209</v>
      </c>
      <c r="C71" s="703" t="s">
        <v>39</v>
      </c>
      <c r="D71" s="703" t="s">
        <v>45</v>
      </c>
      <c r="E71" s="703" t="s">
        <v>39</v>
      </c>
      <c r="F71" s="704" t="s">
        <v>275</v>
      </c>
      <c r="G71" s="242"/>
      <c r="H71" s="221">
        <f>SUM(H72:H73)</f>
        <v>2182.0999999999995</v>
      </c>
    </row>
    <row r="72" spans="1:8" ht="36" x14ac:dyDescent="0.35">
      <c r="A72" s="337"/>
      <c r="B72" s="507" t="s">
        <v>55</v>
      </c>
      <c r="C72" s="212" t="s">
        <v>39</v>
      </c>
      <c r="D72" s="213" t="s">
        <v>45</v>
      </c>
      <c r="E72" s="213" t="s">
        <v>39</v>
      </c>
      <c r="F72" s="214" t="s">
        <v>275</v>
      </c>
      <c r="G72" s="28" t="s">
        <v>56</v>
      </c>
      <c r="H72" s="221">
        <f>'прил9 (ведом 23)'!M525</f>
        <v>87.699999999999989</v>
      </c>
    </row>
    <row r="73" spans="1:8" ht="36" x14ac:dyDescent="0.35">
      <c r="A73" s="337"/>
      <c r="B73" s="506" t="s">
        <v>76</v>
      </c>
      <c r="C73" s="703" t="s">
        <v>39</v>
      </c>
      <c r="D73" s="703" t="s">
        <v>45</v>
      </c>
      <c r="E73" s="703" t="s">
        <v>39</v>
      </c>
      <c r="F73" s="704" t="s">
        <v>275</v>
      </c>
      <c r="G73" s="242" t="s">
        <v>77</v>
      </c>
      <c r="H73" s="221">
        <f>'прил9 (ведом 23)'!M526</f>
        <v>2094.3999999999996</v>
      </c>
    </row>
    <row r="74" spans="1:8" ht="54" x14ac:dyDescent="0.35">
      <c r="A74" s="337"/>
      <c r="B74" s="510" t="s">
        <v>695</v>
      </c>
      <c r="C74" s="709" t="s">
        <v>39</v>
      </c>
      <c r="D74" s="710" t="s">
        <v>45</v>
      </c>
      <c r="E74" s="710" t="s">
        <v>39</v>
      </c>
      <c r="F74" s="711" t="s">
        <v>694</v>
      </c>
      <c r="G74" s="10"/>
      <c r="H74" s="221">
        <f>H75</f>
        <v>22664.799999999999</v>
      </c>
    </row>
    <row r="75" spans="1:8" ht="36" x14ac:dyDescent="0.35">
      <c r="A75" s="337"/>
      <c r="B75" s="510" t="s">
        <v>76</v>
      </c>
      <c r="C75" s="709" t="s">
        <v>39</v>
      </c>
      <c r="D75" s="710" t="s">
        <v>45</v>
      </c>
      <c r="E75" s="710" t="s">
        <v>39</v>
      </c>
      <c r="F75" s="711" t="s">
        <v>694</v>
      </c>
      <c r="G75" s="10" t="s">
        <v>77</v>
      </c>
      <c r="H75" s="221">
        <f>'прил9 (ведом 23)'!M528</f>
        <v>22664.799999999999</v>
      </c>
    </row>
    <row r="76" spans="1:8" ht="126" x14ac:dyDescent="0.35">
      <c r="A76" s="337"/>
      <c r="B76" s="507" t="s">
        <v>551</v>
      </c>
      <c r="C76" s="212" t="s">
        <v>39</v>
      </c>
      <c r="D76" s="213" t="s">
        <v>45</v>
      </c>
      <c r="E76" s="213" t="s">
        <v>39</v>
      </c>
      <c r="F76" s="214" t="s">
        <v>550</v>
      </c>
      <c r="G76" s="242"/>
      <c r="H76" s="221">
        <f>SUM(H77:H78)</f>
        <v>1272.1999999999998</v>
      </c>
    </row>
    <row r="77" spans="1:8" ht="36" x14ac:dyDescent="0.35">
      <c r="A77" s="337"/>
      <c r="B77" s="507" t="s">
        <v>55</v>
      </c>
      <c r="C77" s="212" t="s">
        <v>39</v>
      </c>
      <c r="D77" s="213" t="s">
        <v>45</v>
      </c>
      <c r="E77" s="213" t="s">
        <v>39</v>
      </c>
      <c r="F77" s="214" t="s">
        <v>550</v>
      </c>
      <c r="G77" s="28" t="s">
        <v>56</v>
      </c>
      <c r="H77" s="221">
        <f>'прил9 (ведом 23)'!M530</f>
        <v>24.900000000000006</v>
      </c>
    </row>
    <row r="78" spans="1:8" ht="36" x14ac:dyDescent="0.35">
      <c r="A78" s="337"/>
      <c r="B78" s="507" t="s">
        <v>76</v>
      </c>
      <c r="C78" s="212" t="s">
        <v>39</v>
      </c>
      <c r="D78" s="213" t="s">
        <v>45</v>
      </c>
      <c r="E78" s="213" t="s">
        <v>39</v>
      </c>
      <c r="F78" s="214" t="s">
        <v>550</v>
      </c>
      <c r="G78" s="28" t="s">
        <v>77</v>
      </c>
      <c r="H78" s="221">
        <f>'прил9 (ведом 23)'!M532</f>
        <v>1247.2999999999997</v>
      </c>
    </row>
    <row r="79" spans="1:8" ht="72" x14ac:dyDescent="0.35">
      <c r="A79" s="337"/>
      <c r="B79" s="507" t="s">
        <v>455</v>
      </c>
      <c r="C79" s="212" t="s">
        <v>39</v>
      </c>
      <c r="D79" s="213" t="s">
        <v>45</v>
      </c>
      <c r="E79" s="213" t="s">
        <v>39</v>
      </c>
      <c r="F79" s="214" t="s">
        <v>454</v>
      </c>
      <c r="G79" s="28"/>
      <c r="H79" s="221">
        <f>H80+H81</f>
        <v>66492.899999999994</v>
      </c>
    </row>
    <row r="80" spans="1:8" ht="36" x14ac:dyDescent="0.35">
      <c r="A80" s="337"/>
      <c r="B80" s="507" t="s">
        <v>55</v>
      </c>
      <c r="C80" s="212" t="s">
        <v>39</v>
      </c>
      <c r="D80" s="213" t="s">
        <v>45</v>
      </c>
      <c r="E80" s="213" t="s">
        <v>39</v>
      </c>
      <c r="F80" s="214" t="s">
        <v>454</v>
      </c>
      <c r="G80" s="28" t="s">
        <v>56</v>
      </c>
      <c r="H80" s="221">
        <f>'прил9 (ведом 23)'!M534</f>
        <v>2004.5</v>
      </c>
    </row>
    <row r="81" spans="1:8" ht="36" x14ac:dyDescent="0.35">
      <c r="A81" s="337"/>
      <c r="B81" s="507" t="s">
        <v>76</v>
      </c>
      <c r="C81" s="212" t="s">
        <v>39</v>
      </c>
      <c r="D81" s="213" t="s">
        <v>45</v>
      </c>
      <c r="E81" s="213" t="s">
        <v>39</v>
      </c>
      <c r="F81" s="214" t="s">
        <v>454</v>
      </c>
      <c r="G81" s="28" t="s">
        <v>77</v>
      </c>
      <c r="H81" s="221">
        <f>'прил9 (ведом 23)'!M535</f>
        <v>64488.399999999994</v>
      </c>
    </row>
    <row r="82" spans="1:8" ht="36" x14ac:dyDescent="0.35">
      <c r="A82" s="337"/>
      <c r="B82" s="510" t="s">
        <v>654</v>
      </c>
      <c r="C82" s="709" t="s">
        <v>39</v>
      </c>
      <c r="D82" s="710" t="s">
        <v>45</v>
      </c>
      <c r="E82" s="710" t="s">
        <v>39</v>
      </c>
      <c r="F82" s="711" t="s">
        <v>662</v>
      </c>
      <c r="G82" s="10"/>
      <c r="H82" s="221">
        <f>H83</f>
        <v>40386.799999999996</v>
      </c>
    </row>
    <row r="83" spans="1:8" ht="36" x14ac:dyDescent="0.35">
      <c r="A83" s="337"/>
      <c r="B83" s="510" t="s">
        <v>76</v>
      </c>
      <c r="C83" s="709" t="s">
        <v>39</v>
      </c>
      <c r="D83" s="710" t="s">
        <v>45</v>
      </c>
      <c r="E83" s="710" t="s">
        <v>39</v>
      </c>
      <c r="F83" s="711" t="s">
        <v>662</v>
      </c>
      <c r="G83" s="10" t="s">
        <v>77</v>
      </c>
      <c r="H83" s="221">
        <f>'прил9 (ведом 23)'!M537</f>
        <v>40386.799999999996</v>
      </c>
    </row>
    <row r="84" spans="1:8" ht="108" x14ac:dyDescent="0.35">
      <c r="A84" s="337"/>
      <c r="B84" s="599" t="s">
        <v>503</v>
      </c>
      <c r="C84" s="369" t="s">
        <v>39</v>
      </c>
      <c r="D84" s="370" t="s">
        <v>45</v>
      </c>
      <c r="E84" s="370" t="s">
        <v>39</v>
      </c>
      <c r="F84" s="371" t="s">
        <v>502</v>
      </c>
      <c r="G84" s="429"/>
      <c r="H84" s="221">
        <f>H85</f>
        <v>47702</v>
      </c>
    </row>
    <row r="85" spans="1:8" ht="36" x14ac:dyDescent="0.35">
      <c r="A85" s="337"/>
      <c r="B85" s="599" t="s">
        <v>203</v>
      </c>
      <c r="C85" s="607" t="s">
        <v>39</v>
      </c>
      <c r="D85" s="608" t="s">
        <v>45</v>
      </c>
      <c r="E85" s="608" t="s">
        <v>39</v>
      </c>
      <c r="F85" s="609" t="s">
        <v>502</v>
      </c>
      <c r="G85" s="429" t="s">
        <v>204</v>
      </c>
      <c r="H85" s="221">
        <f>'прил9 (ведом 23)'!M416</f>
        <v>47702</v>
      </c>
    </row>
    <row r="86" spans="1:8" ht="72" x14ac:dyDescent="0.35">
      <c r="A86" s="337"/>
      <c r="B86" s="507" t="s">
        <v>548</v>
      </c>
      <c r="C86" s="212" t="s">
        <v>39</v>
      </c>
      <c r="D86" s="213" t="s">
        <v>45</v>
      </c>
      <c r="E86" s="213" t="s">
        <v>39</v>
      </c>
      <c r="F86" s="214" t="s">
        <v>547</v>
      </c>
      <c r="G86" s="28"/>
      <c r="H86" s="221">
        <f>H87+H88+H89</f>
        <v>15819.5</v>
      </c>
    </row>
    <row r="87" spans="1:8" ht="36" x14ac:dyDescent="0.35">
      <c r="A87" s="337"/>
      <c r="B87" s="507" t="s">
        <v>55</v>
      </c>
      <c r="C87" s="212" t="s">
        <v>39</v>
      </c>
      <c r="D87" s="213" t="s">
        <v>45</v>
      </c>
      <c r="E87" s="213" t="s">
        <v>39</v>
      </c>
      <c r="F87" s="214" t="s">
        <v>547</v>
      </c>
      <c r="G87" s="28" t="s">
        <v>56</v>
      </c>
      <c r="H87" s="221">
        <f>'прил9 (ведом 23)'!M539</f>
        <v>199.39999999999998</v>
      </c>
    </row>
    <row r="88" spans="1:8" ht="18" x14ac:dyDescent="0.35">
      <c r="A88" s="337"/>
      <c r="B88" s="507" t="s">
        <v>120</v>
      </c>
      <c r="C88" s="212" t="s">
        <v>39</v>
      </c>
      <c r="D88" s="213" t="s">
        <v>45</v>
      </c>
      <c r="E88" s="213" t="s">
        <v>39</v>
      </c>
      <c r="F88" s="214" t="s">
        <v>547</v>
      </c>
      <c r="G88" s="28" t="s">
        <v>121</v>
      </c>
      <c r="H88" s="221">
        <f>'прил9 (ведом 23)'!M540</f>
        <v>140.9</v>
      </c>
    </row>
    <row r="89" spans="1:8" ht="36" x14ac:dyDescent="0.35">
      <c r="A89" s="337"/>
      <c r="B89" s="507" t="s">
        <v>76</v>
      </c>
      <c r="C89" s="212" t="s">
        <v>39</v>
      </c>
      <c r="D89" s="213" t="s">
        <v>45</v>
      </c>
      <c r="E89" s="213" t="s">
        <v>39</v>
      </c>
      <c r="F89" s="214" t="s">
        <v>547</v>
      </c>
      <c r="G89" s="28" t="s">
        <v>77</v>
      </c>
      <c r="H89" s="221">
        <f>'прил9 (ведом 23)'!M541</f>
        <v>15479.2</v>
      </c>
    </row>
    <row r="90" spans="1:8" ht="36" x14ac:dyDescent="0.35">
      <c r="A90" s="337"/>
      <c r="B90" s="510" t="s">
        <v>661</v>
      </c>
      <c r="C90" s="709" t="s">
        <v>39</v>
      </c>
      <c r="D90" s="710" t="s">
        <v>45</v>
      </c>
      <c r="E90" s="710" t="s">
        <v>655</v>
      </c>
      <c r="F90" s="711" t="s">
        <v>44</v>
      </c>
      <c r="G90" s="10"/>
      <c r="H90" s="221">
        <f>H91+H94</f>
        <v>5656.9</v>
      </c>
    </row>
    <row r="91" spans="1:8" ht="72" x14ac:dyDescent="0.35">
      <c r="A91" s="337"/>
      <c r="B91" s="510" t="s">
        <v>674</v>
      </c>
      <c r="C91" s="709" t="s">
        <v>39</v>
      </c>
      <c r="D91" s="710" t="s">
        <v>45</v>
      </c>
      <c r="E91" s="710" t="s">
        <v>655</v>
      </c>
      <c r="F91" s="711" t="s">
        <v>673</v>
      </c>
      <c r="G91" s="10"/>
      <c r="H91" s="221">
        <f>H92+H93</f>
        <v>5560</v>
      </c>
    </row>
    <row r="92" spans="1:8" ht="90" x14ac:dyDescent="0.35">
      <c r="A92" s="337"/>
      <c r="B92" s="510" t="s">
        <v>49</v>
      </c>
      <c r="C92" s="709" t="s">
        <v>39</v>
      </c>
      <c r="D92" s="710" t="s">
        <v>45</v>
      </c>
      <c r="E92" s="710" t="s">
        <v>655</v>
      </c>
      <c r="F92" s="711" t="s">
        <v>673</v>
      </c>
      <c r="G92" s="10" t="s">
        <v>50</v>
      </c>
      <c r="H92" s="221">
        <f>'прил9 (ведом 23)'!M544</f>
        <v>406.82925</v>
      </c>
    </row>
    <row r="93" spans="1:8" ht="36" x14ac:dyDescent="0.35">
      <c r="A93" s="337"/>
      <c r="B93" s="510" t="s">
        <v>76</v>
      </c>
      <c r="C93" s="709" t="s">
        <v>39</v>
      </c>
      <c r="D93" s="710" t="s">
        <v>45</v>
      </c>
      <c r="E93" s="710" t="s">
        <v>655</v>
      </c>
      <c r="F93" s="711" t="s">
        <v>673</v>
      </c>
      <c r="G93" s="10" t="s">
        <v>77</v>
      </c>
      <c r="H93" s="221">
        <f>'прил9 (ведом 23)'!M545</f>
        <v>5153.1707500000002</v>
      </c>
    </row>
    <row r="94" spans="1:8" ht="90" x14ac:dyDescent="0.35">
      <c r="A94" s="337"/>
      <c r="B94" s="510" t="s">
        <v>657</v>
      </c>
      <c r="C94" s="709" t="s">
        <v>39</v>
      </c>
      <c r="D94" s="710" t="s">
        <v>45</v>
      </c>
      <c r="E94" s="710" t="s">
        <v>655</v>
      </c>
      <c r="F94" s="711" t="s">
        <v>656</v>
      </c>
      <c r="G94" s="10"/>
      <c r="H94" s="221">
        <f>H95</f>
        <v>96.9</v>
      </c>
    </row>
    <row r="95" spans="1:8" ht="36" x14ac:dyDescent="0.35">
      <c r="A95" s="337"/>
      <c r="B95" s="510" t="s">
        <v>76</v>
      </c>
      <c r="C95" s="709" t="s">
        <v>39</v>
      </c>
      <c r="D95" s="710" t="s">
        <v>45</v>
      </c>
      <c r="E95" s="710" t="s">
        <v>655</v>
      </c>
      <c r="F95" s="711" t="s">
        <v>656</v>
      </c>
      <c r="G95" s="10" t="s">
        <v>77</v>
      </c>
      <c r="H95" s="221">
        <f>'прил9 (ведом 23)'!M547</f>
        <v>96.9</v>
      </c>
    </row>
    <row r="96" spans="1:8" ht="18" x14ac:dyDescent="0.35">
      <c r="A96" s="337"/>
      <c r="B96" s="506" t="s">
        <v>210</v>
      </c>
      <c r="C96" s="212" t="s">
        <v>39</v>
      </c>
      <c r="D96" s="213" t="s">
        <v>89</v>
      </c>
      <c r="E96" s="213" t="s">
        <v>43</v>
      </c>
      <c r="F96" s="214" t="s">
        <v>44</v>
      </c>
      <c r="G96" s="242"/>
      <c r="H96" s="221">
        <f>H97+H121</f>
        <v>81652.546999999991</v>
      </c>
    </row>
    <row r="97" spans="1:8" ht="36" x14ac:dyDescent="0.35">
      <c r="A97" s="337"/>
      <c r="B97" s="506" t="s">
        <v>276</v>
      </c>
      <c r="C97" s="212" t="s">
        <v>39</v>
      </c>
      <c r="D97" s="213" t="s">
        <v>89</v>
      </c>
      <c r="E97" s="213" t="s">
        <v>37</v>
      </c>
      <c r="F97" s="214" t="s">
        <v>44</v>
      </c>
      <c r="G97" s="242"/>
      <c r="H97" s="221">
        <f>H98+H113+H105+H115+H108+H110+H118+H103</f>
        <v>81544.546999999991</v>
      </c>
    </row>
    <row r="98" spans="1:8" ht="36" x14ac:dyDescent="0.35">
      <c r="A98" s="337"/>
      <c r="B98" s="506" t="s">
        <v>464</v>
      </c>
      <c r="C98" s="212" t="s">
        <v>39</v>
      </c>
      <c r="D98" s="213" t="s">
        <v>89</v>
      </c>
      <c r="E98" s="213" t="s">
        <v>37</v>
      </c>
      <c r="F98" s="214" t="s">
        <v>91</v>
      </c>
      <c r="G98" s="28"/>
      <c r="H98" s="221">
        <f>SUM(H99:H102)</f>
        <v>54847.646999999997</v>
      </c>
    </row>
    <row r="99" spans="1:8" ht="90" x14ac:dyDescent="0.35">
      <c r="A99" s="337"/>
      <c r="B99" s="507" t="s">
        <v>49</v>
      </c>
      <c r="C99" s="212" t="s">
        <v>39</v>
      </c>
      <c r="D99" s="213" t="s">
        <v>89</v>
      </c>
      <c r="E99" s="213" t="s">
        <v>37</v>
      </c>
      <c r="F99" s="214" t="s">
        <v>91</v>
      </c>
      <c r="G99" s="28" t="s">
        <v>50</v>
      </c>
      <c r="H99" s="221">
        <f>'прил9 (ведом 23)'!M557</f>
        <v>16744.599999999999</v>
      </c>
    </row>
    <row r="100" spans="1:8" ht="36" x14ac:dyDescent="0.35">
      <c r="A100" s="337"/>
      <c r="B100" s="507" t="s">
        <v>55</v>
      </c>
      <c r="C100" s="212" t="s">
        <v>39</v>
      </c>
      <c r="D100" s="213" t="s">
        <v>89</v>
      </c>
      <c r="E100" s="213" t="s">
        <v>37</v>
      </c>
      <c r="F100" s="214" t="s">
        <v>91</v>
      </c>
      <c r="G100" s="28" t="s">
        <v>56</v>
      </c>
      <c r="H100" s="221">
        <f>'прил9 (ведом 23)'!M558+'прил9 (ведом 23)'!M589</f>
        <v>2139.5260699999999</v>
      </c>
    </row>
    <row r="101" spans="1:8" ht="36" x14ac:dyDescent="0.35">
      <c r="A101" s="337"/>
      <c r="B101" s="506" t="s">
        <v>76</v>
      </c>
      <c r="C101" s="212" t="s">
        <v>39</v>
      </c>
      <c r="D101" s="213" t="s">
        <v>89</v>
      </c>
      <c r="E101" s="213" t="s">
        <v>37</v>
      </c>
      <c r="F101" s="214" t="s">
        <v>91</v>
      </c>
      <c r="G101" s="28" t="s">
        <v>77</v>
      </c>
      <c r="H101" s="221">
        <f>'прил9 (ведом 23)'!M559</f>
        <v>35756.820930000002</v>
      </c>
    </row>
    <row r="102" spans="1:8" ht="18" x14ac:dyDescent="0.35">
      <c r="A102" s="337"/>
      <c r="B102" s="507" t="s">
        <v>57</v>
      </c>
      <c r="C102" s="212" t="s">
        <v>39</v>
      </c>
      <c r="D102" s="213" t="s">
        <v>89</v>
      </c>
      <c r="E102" s="213" t="s">
        <v>37</v>
      </c>
      <c r="F102" s="214" t="s">
        <v>91</v>
      </c>
      <c r="G102" s="28" t="s">
        <v>58</v>
      </c>
      <c r="H102" s="221">
        <f>'прил9 (ведом 23)'!M560</f>
        <v>206.70000000000002</v>
      </c>
    </row>
    <row r="103" spans="1:8" ht="18" x14ac:dyDescent="0.35">
      <c r="A103" s="337"/>
      <c r="B103" s="510" t="s">
        <v>465</v>
      </c>
      <c r="C103" s="709" t="s">
        <v>39</v>
      </c>
      <c r="D103" s="710" t="s">
        <v>89</v>
      </c>
      <c r="E103" s="710" t="s">
        <v>37</v>
      </c>
      <c r="F103" s="711" t="s">
        <v>380</v>
      </c>
      <c r="G103" s="10"/>
      <c r="H103" s="221">
        <f>H104</f>
        <v>498</v>
      </c>
    </row>
    <row r="104" spans="1:8" ht="36" x14ac:dyDescent="0.35">
      <c r="A104" s="337"/>
      <c r="B104" s="510" t="s">
        <v>76</v>
      </c>
      <c r="C104" s="709" t="s">
        <v>39</v>
      </c>
      <c r="D104" s="710" t="s">
        <v>89</v>
      </c>
      <c r="E104" s="710" t="s">
        <v>37</v>
      </c>
      <c r="F104" s="711" t="s">
        <v>380</v>
      </c>
      <c r="G104" s="10" t="s">
        <v>77</v>
      </c>
      <c r="H104" s="221">
        <f>'прил9 (ведом 23)'!M562</f>
        <v>498</v>
      </c>
    </row>
    <row r="105" spans="1:8" ht="36" x14ac:dyDescent="0.35">
      <c r="A105" s="337"/>
      <c r="B105" s="507" t="s">
        <v>207</v>
      </c>
      <c r="C105" s="212" t="s">
        <v>39</v>
      </c>
      <c r="D105" s="213" t="s">
        <v>89</v>
      </c>
      <c r="E105" s="213" t="s">
        <v>37</v>
      </c>
      <c r="F105" s="214" t="s">
        <v>273</v>
      </c>
      <c r="G105" s="28"/>
      <c r="H105" s="221">
        <f>SUM(H106:H107)</f>
        <v>5841.0000000000009</v>
      </c>
    </row>
    <row r="106" spans="1:8" ht="36" x14ac:dyDescent="0.35">
      <c r="A106" s="337"/>
      <c r="B106" s="507" t="s">
        <v>55</v>
      </c>
      <c r="C106" s="212" t="s">
        <v>39</v>
      </c>
      <c r="D106" s="213" t="s">
        <v>89</v>
      </c>
      <c r="E106" s="213" t="s">
        <v>37</v>
      </c>
      <c r="F106" s="214" t="s">
        <v>273</v>
      </c>
      <c r="G106" s="28" t="s">
        <v>56</v>
      </c>
      <c r="H106" s="221">
        <f>'прил9 (ведом 23)'!M564</f>
        <v>1643.6000000000004</v>
      </c>
    </row>
    <row r="107" spans="1:8" ht="36" x14ac:dyDescent="0.35">
      <c r="A107" s="337"/>
      <c r="B107" s="511" t="s">
        <v>76</v>
      </c>
      <c r="C107" s="212" t="s">
        <v>39</v>
      </c>
      <c r="D107" s="213" t="s">
        <v>89</v>
      </c>
      <c r="E107" s="213" t="s">
        <v>37</v>
      </c>
      <c r="F107" s="214" t="s">
        <v>273</v>
      </c>
      <c r="G107" s="28" t="s">
        <v>77</v>
      </c>
      <c r="H107" s="221">
        <f>'прил9 (ведом 23)'!M565</f>
        <v>4197.4000000000005</v>
      </c>
    </row>
    <row r="108" spans="1:8" ht="36" x14ac:dyDescent="0.35">
      <c r="A108" s="337"/>
      <c r="B108" s="507" t="s">
        <v>208</v>
      </c>
      <c r="C108" s="212" t="s">
        <v>39</v>
      </c>
      <c r="D108" s="213" t="s">
        <v>89</v>
      </c>
      <c r="E108" s="213" t="s">
        <v>37</v>
      </c>
      <c r="F108" s="214" t="s">
        <v>274</v>
      </c>
      <c r="G108" s="28"/>
      <c r="H108" s="221">
        <f>H109</f>
        <v>697.40000000000009</v>
      </c>
    </row>
    <row r="109" spans="1:8" ht="36" x14ac:dyDescent="0.35">
      <c r="A109" s="337"/>
      <c r="B109" s="511" t="s">
        <v>76</v>
      </c>
      <c r="C109" s="212" t="s">
        <v>39</v>
      </c>
      <c r="D109" s="213" t="s">
        <v>89</v>
      </c>
      <c r="E109" s="213" t="s">
        <v>37</v>
      </c>
      <c r="F109" s="214" t="s">
        <v>274</v>
      </c>
      <c r="G109" s="28" t="s">
        <v>77</v>
      </c>
      <c r="H109" s="221">
        <f>'прил9 (ведом 23)'!M567</f>
        <v>697.40000000000009</v>
      </c>
    </row>
    <row r="110" spans="1:8" ht="54" x14ac:dyDescent="0.35">
      <c r="A110" s="337"/>
      <c r="B110" s="511" t="s">
        <v>528</v>
      </c>
      <c r="C110" s="212" t="s">
        <v>39</v>
      </c>
      <c r="D110" s="213" t="s">
        <v>89</v>
      </c>
      <c r="E110" s="213" t="s">
        <v>37</v>
      </c>
      <c r="F110" s="214" t="s">
        <v>527</v>
      </c>
      <c r="G110" s="28"/>
      <c r="H110" s="221">
        <f>SUM(H111:H112)</f>
        <v>6127.5</v>
      </c>
    </row>
    <row r="111" spans="1:8" ht="36" x14ac:dyDescent="0.35">
      <c r="A111" s="337"/>
      <c r="B111" s="511" t="s">
        <v>76</v>
      </c>
      <c r="C111" s="212" t="s">
        <v>39</v>
      </c>
      <c r="D111" s="213" t="s">
        <v>89</v>
      </c>
      <c r="E111" s="213" t="s">
        <v>37</v>
      </c>
      <c r="F111" s="214" t="s">
        <v>527</v>
      </c>
      <c r="G111" s="28" t="s">
        <v>77</v>
      </c>
      <c r="H111" s="221">
        <f>'прил9 (ведом 23)'!M569</f>
        <v>6072.6</v>
      </c>
    </row>
    <row r="112" spans="1:8" ht="18" x14ac:dyDescent="0.35">
      <c r="A112" s="337"/>
      <c r="B112" s="507" t="s">
        <v>57</v>
      </c>
      <c r="C112" s="212" t="s">
        <v>39</v>
      </c>
      <c r="D112" s="213" t="s">
        <v>89</v>
      </c>
      <c r="E112" s="213" t="s">
        <v>37</v>
      </c>
      <c r="F112" s="214" t="s">
        <v>527</v>
      </c>
      <c r="G112" s="28" t="s">
        <v>58</v>
      </c>
      <c r="H112" s="221">
        <f>'прил9 (ведом 23)'!M570</f>
        <v>54.9</v>
      </c>
    </row>
    <row r="113" spans="1:8" ht="162" x14ac:dyDescent="0.35">
      <c r="A113" s="337"/>
      <c r="B113" s="506" t="s">
        <v>268</v>
      </c>
      <c r="C113" s="212" t="s">
        <v>39</v>
      </c>
      <c r="D113" s="213" t="s">
        <v>89</v>
      </c>
      <c r="E113" s="213" t="s">
        <v>37</v>
      </c>
      <c r="F113" s="214" t="s">
        <v>269</v>
      </c>
      <c r="G113" s="28"/>
      <c r="H113" s="221">
        <f>H114</f>
        <v>85.6</v>
      </c>
    </row>
    <row r="114" spans="1:8" ht="36" x14ac:dyDescent="0.35">
      <c r="A114" s="337"/>
      <c r="B114" s="507" t="s">
        <v>76</v>
      </c>
      <c r="C114" s="212" t="s">
        <v>39</v>
      </c>
      <c r="D114" s="213" t="s">
        <v>89</v>
      </c>
      <c r="E114" s="213" t="s">
        <v>37</v>
      </c>
      <c r="F114" s="214" t="s">
        <v>269</v>
      </c>
      <c r="G114" s="28" t="s">
        <v>77</v>
      </c>
      <c r="H114" s="221">
        <f>'прил9 (ведом 23)'!M572</f>
        <v>85.6</v>
      </c>
    </row>
    <row r="115" spans="1:8" ht="90" x14ac:dyDescent="0.35">
      <c r="A115" s="337"/>
      <c r="B115" s="507" t="s">
        <v>345</v>
      </c>
      <c r="C115" s="212" t="s">
        <v>39</v>
      </c>
      <c r="D115" s="213" t="s">
        <v>89</v>
      </c>
      <c r="E115" s="213" t="s">
        <v>37</v>
      </c>
      <c r="F115" s="214" t="s">
        <v>270</v>
      </c>
      <c r="G115" s="28"/>
      <c r="H115" s="221">
        <f>SUM(H116:H117)</f>
        <v>11347.4</v>
      </c>
    </row>
    <row r="116" spans="1:8" ht="90" x14ac:dyDescent="0.35">
      <c r="A116" s="337"/>
      <c r="B116" s="510" t="s">
        <v>49</v>
      </c>
      <c r="C116" s="709" t="s">
        <v>39</v>
      </c>
      <c r="D116" s="710" t="s">
        <v>89</v>
      </c>
      <c r="E116" s="710" t="s">
        <v>37</v>
      </c>
      <c r="F116" s="711" t="s">
        <v>270</v>
      </c>
      <c r="G116" s="10" t="s">
        <v>50</v>
      </c>
      <c r="H116" s="221">
        <f>'прил9 (ведом 23)'!M574</f>
        <v>42.3</v>
      </c>
    </row>
    <row r="117" spans="1:8" ht="36" x14ac:dyDescent="0.35">
      <c r="A117" s="337"/>
      <c r="B117" s="507" t="s">
        <v>76</v>
      </c>
      <c r="C117" s="212" t="s">
        <v>39</v>
      </c>
      <c r="D117" s="213" t="s">
        <v>89</v>
      </c>
      <c r="E117" s="213" t="s">
        <v>37</v>
      </c>
      <c r="F117" s="214" t="s">
        <v>270</v>
      </c>
      <c r="G117" s="28" t="s">
        <v>77</v>
      </c>
      <c r="H117" s="221">
        <f>'прил9 (ведом 23)'!M575</f>
        <v>11305.1</v>
      </c>
    </row>
    <row r="118" spans="1:8" ht="54" x14ac:dyDescent="0.35">
      <c r="A118" s="337"/>
      <c r="B118" s="593" t="s">
        <v>695</v>
      </c>
      <c r="C118" s="709" t="s">
        <v>39</v>
      </c>
      <c r="D118" s="710" t="s">
        <v>89</v>
      </c>
      <c r="E118" s="710" t="s">
        <v>37</v>
      </c>
      <c r="F118" s="711" t="s">
        <v>694</v>
      </c>
      <c r="G118" s="10"/>
      <c r="H118" s="221">
        <f>H119+H120</f>
        <v>2100</v>
      </c>
    </row>
    <row r="119" spans="1:8" ht="36" x14ac:dyDescent="0.35">
      <c r="A119" s="337"/>
      <c r="B119" s="593" t="s">
        <v>55</v>
      </c>
      <c r="C119" s="709" t="s">
        <v>39</v>
      </c>
      <c r="D119" s="710" t="s">
        <v>89</v>
      </c>
      <c r="E119" s="710" t="s">
        <v>37</v>
      </c>
      <c r="F119" s="711" t="s">
        <v>694</v>
      </c>
      <c r="G119" s="10" t="s">
        <v>56</v>
      </c>
      <c r="H119" s="221">
        <f>'прил9 (ведом 23)'!M577</f>
        <v>400</v>
      </c>
    </row>
    <row r="120" spans="1:8" ht="36" x14ac:dyDescent="0.35">
      <c r="A120" s="337"/>
      <c r="B120" s="593" t="s">
        <v>76</v>
      </c>
      <c r="C120" s="709" t="s">
        <v>39</v>
      </c>
      <c r="D120" s="710" t="s">
        <v>89</v>
      </c>
      <c r="E120" s="710" t="s">
        <v>37</v>
      </c>
      <c r="F120" s="711" t="s">
        <v>694</v>
      </c>
      <c r="G120" s="10" t="s">
        <v>77</v>
      </c>
      <c r="H120" s="221">
        <f>'прил9 (ведом 23)'!M578</f>
        <v>1700</v>
      </c>
    </row>
    <row r="121" spans="1:8" ht="18" x14ac:dyDescent="0.35">
      <c r="A121" s="337"/>
      <c r="B121" s="507" t="s">
        <v>277</v>
      </c>
      <c r="C121" s="212" t="s">
        <v>39</v>
      </c>
      <c r="D121" s="213" t="s">
        <v>89</v>
      </c>
      <c r="E121" s="213" t="s">
        <v>39</v>
      </c>
      <c r="F121" s="214" t="s">
        <v>44</v>
      </c>
      <c r="G121" s="28"/>
      <c r="H121" s="221">
        <f>H122</f>
        <v>108</v>
      </c>
    </row>
    <row r="122" spans="1:8" ht="36" x14ac:dyDescent="0.35">
      <c r="A122" s="337"/>
      <c r="B122" s="507" t="s">
        <v>278</v>
      </c>
      <c r="C122" s="212" t="s">
        <v>39</v>
      </c>
      <c r="D122" s="213" t="s">
        <v>89</v>
      </c>
      <c r="E122" s="213" t="s">
        <v>39</v>
      </c>
      <c r="F122" s="214" t="s">
        <v>279</v>
      </c>
      <c r="G122" s="28"/>
      <c r="H122" s="221">
        <f>H123</f>
        <v>108</v>
      </c>
    </row>
    <row r="123" spans="1:8" ht="18" x14ac:dyDescent="0.35">
      <c r="A123" s="337"/>
      <c r="B123" s="507" t="s">
        <v>120</v>
      </c>
      <c r="C123" s="212" t="s">
        <v>39</v>
      </c>
      <c r="D123" s="213" t="s">
        <v>89</v>
      </c>
      <c r="E123" s="213" t="s">
        <v>39</v>
      </c>
      <c r="F123" s="214" t="s">
        <v>279</v>
      </c>
      <c r="G123" s="28" t="s">
        <v>121</v>
      </c>
      <c r="H123" s="221">
        <f>'прил9 (ведом 23)'!M599</f>
        <v>108</v>
      </c>
    </row>
    <row r="124" spans="1:8" ht="36" x14ac:dyDescent="0.35">
      <c r="A124" s="337"/>
      <c r="B124" s="506" t="s">
        <v>212</v>
      </c>
      <c r="C124" s="212" t="s">
        <v>39</v>
      </c>
      <c r="D124" s="213" t="s">
        <v>30</v>
      </c>
      <c r="E124" s="213" t="s">
        <v>43</v>
      </c>
      <c r="F124" s="214" t="s">
        <v>44</v>
      </c>
      <c r="G124" s="242"/>
      <c r="H124" s="221">
        <f>H125+H145+H150+H153+H156</f>
        <v>92796.543000000005</v>
      </c>
    </row>
    <row r="125" spans="1:8" ht="36" x14ac:dyDescent="0.35">
      <c r="A125" s="337"/>
      <c r="B125" s="506" t="s">
        <v>282</v>
      </c>
      <c r="C125" s="212" t="s">
        <v>39</v>
      </c>
      <c r="D125" s="213" t="s">
        <v>30</v>
      </c>
      <c r="E125" s="213" t="s">
        <v>37</v>
      </c>
      <c r="F125" s="214" t="s">
        <v>44</v>
      </c>
      <c r="G125" s="242"/>
      <c r="H125" s="221">
        <f>H126+H130+H143+H140+H135+H138</f>
        <v>84154.243000000002</v>
      </c>
    </row>
    <row r="126" spans="1:8" ht="36" x14ac:dyDescent="0.35">
      <c r="A126" s="337"/>
      <c r="B126" s="506" t="s">
        <v>47</v>
      </c>
      <c r="C126" s="212" t="s">
        <v>39</v>
      </c>
      <c r="D126" s="213" t="s">
        <v>30</v>
      </c>
      <c r="E126" s="213" t="s">
        <v>37</v>
      </c>
      <c r="F126" s="214" t="s">
        <v>48</v>
      </c>
      <c r="G126" s="28"/>
      <c r="H126" s="221">
        <f>SUM(H127:H129)</f>
        <v>12417.831</v>
      </c>
    </row>
    <row r="127" spans="1:8" ht="90" x14ac:dyDescent="0.35">
      <c r="A127" s="337"/>
      <c r="B127" s="506" t="s">
        <v>49</v>
      </c>
      <c r="C127" s="212" t="s">
        <v>39</v>
      </c>
      <c r="D127" s="213" t="s">
        <v>30</v>
      </c>
      <c r="E127" s="213" t="s">
        <v>37</v>
      </c>
      <c r="F127" s="214" t="s">
        <v>48</v>
      </c>
      <c r="G127" s="28" t="s">
        <v>50</v>
      </c>
      <c r="H127" s="221">
        <f>'прил9 (ведом 23)'!M603</f>
        <v>11475.4</v>
      </c>
    </row>
    <row r="128" spans="1:8" ht="36" x14ac:dyDescent="0.35">
      <c r="A128" s="337"/>
      <c r="B128" s="506" t="s">
        <v>55</v>
      </c>
      <c r="C128" s="212" t="s">
        <v>39</v>
      </c>
      <c r="D128" s="213" t="s">
        <v>30</v>
      </c>
      <c r="E128" s="213" t="s">
        <v>37</v>
      </c>
      <c r="F128" s="214" t="s">
        <v>48</v>
      </c>
      <c r="G128" s="28" t="s">
        <v>56</v>
      </c>
      <c r="H128" s="221">
        <f>'прил9 (ведом 23)'!M604</f>
        <v>925.43099999999993</v>
      </c>
    </row>
    <row r="129" spans="1:8" ht="18" x14ac:dyDescent="0.35">
      <c r="A129" s="337"/>
      <c r="B129" s="506" t="s">
        <v>57</v>
      </c>
      <c r="C129" s="212" t="s">
        <v>39</v>
      </c>
      <c r="D129" s="213" t="s">
        <v>30</v>
      </c>
      <c r="E129" s="213" t="s">
        <v>37</v>
      </c>
      <c r="F129" s="214" t="s">
        <v>48</v>
      </c>
      <c r="G129" s="28" t="s">
        <v>58</v>
      </c>
      <c r="H129" s="221">
        <f>'прил9 (ведом 23)'!M605</f>
        <v>17</v>
      </c>
    </row>
    <row r="130" spans="1:8" ht="36" x14ac:dyDescent="0.35">
      <c r="A130" s="337"/>
      <c r="B130" s="506" t="s">
        <v>464</v>
      </c>
      <c r="C130" s="212" t="s">
        <v>39</v>
      </c>
      <c r="D130" s="213" t="s">
        <v>30</v>
      </c>
      <c r="E130" s="213" t="s">
        <v>37</v>
      </c>
      <c r="F130" s="214" t="s">
        <v>91</v>
      </c>
      <c r="G130" s="28"/>
      <c r="H130" s="221">
        <f>SUM(H131:H134)</f>
        <v>61639.212</v>
      </c>
    </row>
    <row r="131" spans="1:8" ht="90" x14ac:dyDescent="0.35">
      <c r="A131" s="337"/>
      <c r="B131" s="506" t="s">
        <v>49</v>
      </c>
      <c r="C131" s="212" t="s">
        <v>39</v>
      </c>
      <c r="D131" s="213" t="s">
        <v>30</v>
      </c>
      <c r="E131" s="213" t="s">
        <v>37</v>
      </c>
      <c r="F131" s="214" t="s">
        <v>91</v>
      </c>
      <c r="G131" s="28" t="s">
        <v>50</v>
      </c>
      <c r="H131" s="221">
        <f>'прил9 (ведом 23)'!M607</f>
        <v>37351.100000000006</v>
      </c>
    </row>
    <row r="132" spans="1:8" ht="36" x14ac:dyDescent="0.35">
      <c r="A132" s="337"/>
      <c r="B132" s="506" t="s">
        <v>55</v>
      </c>
      <c r="C132" s="212" t="s">
        <v>39</v>
      </c>
      <c r="D132" s="213" t="s">
        <v>30</v>
      </c>
      <c r="E132" s="213" t="s">
        <v>37</v>
      </c>
      <c r="F132" s="214" t="s">
        <v>91</v>
      </c>
      <c r="G132" s="28" t="s">
        <v>56</v>
      </c>
      <c r="H132" s="221">
        <f>'прил9 (ведом 23)'!M608+'прил9 (ведом 23)'!M593</f>
        <v>4249.3119999999999</v>
      </c>
    </row>
    <row r="133" spans="1:8" ht="36" x14ac:dyDescent="0.35">
      <c r="A133" s="337"/>
      <c r="B133" s="507" t="s">
        <v>76</v>
      </c>
      <c r="C133" s="212" t="s">
        <v>39</v>
      </c>
      <c r="D133" s="213" t="s">
        <v>30</v>
      </c>
      <c r="E133" s="213" t="s">
        <v>37</v>
      </c>
      <c r="F133" s="214" t="s">
        <v>91</v>
      </c>
      <c r="G133" s="28" t="s">
        <v>77</v>
      </c>
      <c r="H133" s="221">
        <f>'прил9 (ведом 23)'!M609</f>
        <v>20033.100000000002</v>
      </c>
    </row>
    <row r="134" spans="1:8" ht="18" x14ac:dyDescent="0.35">
      <c r="A134" s="337"/>
      <c r="B134" s="506" t="s">
        <v>57</v>
      </c>
      <c r="C134" s="212" t="s">
        <v>39</v>
      </c>
      <c r="D134" s="213" t="s">
        <v>30</v>
      </c>
      <c r="E134" s="213" t="s">
        <v>37</v>
      </c>
      <c r="F134" s="214" t="s">
        <v>91</v>
      </c>
      <c r="G134" s="28" t="s">
        <v>58</v>
      </c>
      <c r="H134" s="221">
        <f>'прил9 (ведом 23)'!M610</f>
        <v>5.7</v>
      </c>
    </row>
    <row r="135" spans="1:8" ht="36" x14ac:dyDescent="0.35">
      <c r="A135" s="337"/>
      <c r="B135" s="507" t="s">
        <v>208</v>
      </c>
      <c r="C135" s="212" t="s">
        <v>39</v>
      </c>
      <c r="D135" s="213" t="s">
        <v>30</v>
      </c>
      <c r="E135" s="213" t="s">
        <v>37</v>
      </c>
      <c r="F135" s="214" t="s">
        <v>274</v>
      </c>
      <c r="G135" s="28"/>
      <c r="H135" s="221">
        <f>H136+H137</f>
        <v>311.7</v>
      </c>
    </row>
    <row r="136" spans="1:8" ht="36" x14ac:dyDescent="0.35">
      <c r="A136" s="337"/>
      <c r="B136" s="507" t="s">
        <v>55</v>
      </c>
      <c r="C136" s="212" t="s">
        <v>39</v>
      </c>
      <c r="D136" s="213" t="s">
        <v>30</v>
      </c>
      <c r="E136" s="213" t="s">
        <v>37</v>
      </c>
      <c r="F136" s="214" t="s">
        <v>274</v>
      </c>
      <c r="G136" s="28" t="s">
        <v>56</v>
      </c>
      <c r="H136" s="221">
        <f>'прил9 (ведом 23)'!M612</f>
        <v>10</v>
      </c>
    </row>
    <row r="137" spans="1:8" ht="36" x14ac:dyDescent="0.35">
      <c r="A137" s="337"/>
      <c r="B137" s="510" t="s">
        <v>76</v>
      </c>
      <c r="C137" s="709" t="s">
        <v>39</v>
      </c>
      <c r="D137" s="710" t="s">
        <v>30</v>
      </c>
      <c r="E137" s="710" t="s">
        <v>37</v>
      </c>
      <c r="F137" s="711" t="s">
        <v>274</v>
      </c>
      <c r="G137" s="10" t="s">
        <v>77</v>
      </c>
      <c r="H137" s="221">
        <f>'прил9 (ведом 23)'!M613</f>
        <v>301.7</v>
      </c>
    </row>
    <row r="138" spans="1:8" ht="36" x14ac:dyDescent="0.35">
      <c r="A138" s="337"/>
      <c r="B138" s="507" t="s">
        <v>579</v>
      </c>
      <c r="C138" s="212" t="s">
        <v>39</v>
      </c>
      <c r="D138" s="213" t="s">
        <v>30</v>
      </c>
      <c r="E138" s="213" t="s">
        <v>37</v>
      </c>
      <c r="F138" s="214" t="s">
        <v>578</v>
      </c>
      <c r="G138" s="28"/>
      <c r="H138" s="221">
        <f>H139</f>
        <v>518.6</v>
      </c>
    </row>
    <row r="139" spans="1:8" ht="36" x14ac:dyDescent="0.35">
      <c r="A139" s="337"/>
      <c r="B139" s="507" t="s">
        <v>76</v>
      </c>
      <c r="C139" s="212" t="s">
        <v>39</v>
      </c>
      <c r="D139" s="213" t="s">
        <v>30</v>
      </c>
      <c r="E139" s="213" t="s">
        <v>37</v>
      </c>
      <c r="F139" s="214" t="s">
        <v>578</v>
      </c>
      <c r="G139" s="28" t="s">
        <v>77</v>
      </c>
      <c r="H139" s="221">
        <f>'прил9 (ведом 23)'!M615</f>
        <v>518.6</v>
      </c>
    </row>
    <row r="140" spans="1:8" ht="90" x14ac:dyDescent="0.35">
      <c r="A140" s="337"/>
      <c r="B140" s="507" t="s">
        <v>345</v>
      </c>
      <c r="C140" s="212" t="s">
        <v>39</v>
      </c>
      <c r="D140" s="213" t="s">
        <v>30</v>
      </c>
      <c r="E140" s="213" t="s">
        <v>37</v>
      </c>
      <c r="F140" s="214" t="s">
        <v>270</v>
      </c>
      <c r="G140" s="28"/>
      <c r="H140" s="221">
        <f>H141+H142</f>
        <v>7044.7000000000007</v>
      </c>
    </row>
    <row r="141" spans="1:8" ht="90" x14ac:dyDescent="0.35">
      <c r="A141" s="337"/>
      <c r="B141" s="507" t="s">
        <v>49</v>
      </c>
      <c r="C141" s="212" t="s">
        <v>39</v>
      </c>
      <c r="D141" s="213" t="s">
        <v>30</v>
      </c>
      <c r="E141" s="213" t="s">
        <v>37</v>
      </c>
      <c r="F141" s="214" t="s">
        <v>270</v>
      </c>
      <c r="G141" s="28" t="s">
        <v>50</v>
      </c>
      <c r="H141" s="221">
        <f>'прил9 (ведом 23)'!M617</f>
        <v>6762.6</v>
      </c>
    </row>
    <row r="142" spans="1:8" ht="36" x14ac:dyDescent="0.35">
      <c r="A142" s="337"/>
      <c r="B142" s="510" t="s">
        <v>55</v>
      </c>
      <c r="C142" s="709" t="s">
        <v>39</v>
      </c>
      <c r="D142" s="710" t="s">
        <v>30</v>
      </c>
      <c r="E142" s="710" t="s">
        <v>37</v>
      </c>
      <c r="F142" s="711" t="s">
        <v>270</v>
      </c>
      <c r="G142" s="10" t="s">
        <v>56</v>
      </c>
      <c r="H142" s="221">
        <f>'прил9 (ведом 23)'!M618</f>
        <v>282.10000000000002</v>
      </c>
    </row>
    <row r="143" spans="1:8" ht="216" x14ac:dyDescent="0.35">
      <c r="A143" s="337"/>
      <c r="B143" s="507" t="s">
        <v>434</v>
      </c>
      <c r="C143" s="212" t="s">
        <v>39</v>
      </c>
      <c r="D143" s="213" t="s">
        <v>30</v>
      </c>
      <c r="E143" s="213" t="s">
        <v>37</v>
      </c>
      <c r="F143" s="214" t="s">
        <v>346</v>
      </c>
      <c r="G143" s="28"/>
      <c r="H143" s="221">
        <f>SUM(H144:H144)</f>
        <v>2222.1999999999998</v>
      </c>
    </row>
    <row r="144" spans="1:8" ht="36" x14ac:dyDescent="0.35">
      <c r="A144" s="337"/>
      <c r="B144" s="506" t="s">
        <v>76</v>
      </c>
      <c r="C144" s="212" t="s">
        <v>39</v>
      </c>
      <c r="D144" s="213" t="s">
        <v>30</v>
      </c>
      <c r="E144" s="213" t="s">
        <v>37</v>
      </c>
      <c r="F144" s="214" t="s">
        <v>346</v>
      </c>
      <c r="G144" s="28" t="s">
        <v>77</v>
      </c>
      <c r="H144" s="221">
        <f>'прил9 (ведом 23)'!M551</f>
        <v>2222.1999999999998</v>
      </c>
    </row>
    <row r="145" spans="1:8" ht="36" x14ac:dyDescent="0.35">
      <c r="A145" s="337"/>
      <c r="B145" s="507" t="s">
        <v>281</v>
      </c>
      <c r="C145" s="212" t="s">
        <v>39</v>
      </c>
      <c r="D145" s="213" t="s">
        <v>30</v>
      </c>
      <c r="E145" s="213" t="s">
        <v>39</v>
      </c>
      <c r="F145" s="214" t="s">
        <v>44</v>
      </c>
      <c r="G145" s="28"/>
      <c r="H145" s="221">
        <f>H146+H148</f>
        <v>7731.7</v>
      </c>
    </row>
    <row r="146" spans="1:8" ht="36" x14ac:dyDescent="0.35">
      <c r="A146" s="337"/>
      <c r="B146" s="507" t="s">
        <v>470</v>
      </c>
      <c r="C146" s="212" t="s">
        <v>39</v>
      </c>
      <c r="D146" s="213" t="s">
        <v>30</v>
      </c>
      <c r="E146" s="213" t="s">
        <v>39</v>
      </c>
      <c r="F146" s="214" t="s">
        <v>469</v>
      </c>
      <c r="G146" s="28"/>
      <c r="H146" s="221">
        <f>H147</f>
        <v>2157</v>
      </c>
    </row>
    <row r="147" spans="1:8" ht="36" x14ac:dyDescent="0.35">
      <c r="A147" s="337"/>
      <c r="B147" s="507" t="s">
        <v>76</v>
      </c>
      <c r="C147" s="212" t="s">
        <v>39</v>
      </c>
      <c r="D147" s="213" t="s">
        <v>30</v>
      </c>
      <c r="E147" s="213" t="s">
        <v>39</v>
      </c>
      <c r="F147" s="214" t="s">
        <v>469</v>
      </c>
      <c r="G147" s="28" t="s">
        <v>77</v>
      </c>
      <c r="H147" s="221">
        <f>'прил9 (ведом 23)'!M621</f>
        <v>2157</v>
      </c>
    </row>
    <row r="148" spans="1:8" ht="108" x14ac:dyDescent="0.35">
      <c r="A148" s="337"/>
      <c r="B148" s="507" t="s">
        <v>439</v>
      </c>
      <c r="C148" s="212" t="s">
        <v>39</v>
      </c>
      <c r="D148" s="213" t="s">
        <v>30</v>
      </c>
      <c r="E148" s="213" t="s">
        <v>39</v>
      </c>
      <c r="F148" s="214" t="s">
        <v>438</v>
      </c>
      <c r="G148" s="28"/>
      <c r="H148" s="221">
        <f>H149</f>
        <v>5574.7</v>
      </c>
    </row>
    <row r="149" spans="1:8" ht="36" x14ac:dyDescent="0.35">
      <c r="A149" s="337"/>
      <c r="B149" s="507" t="s">
        <v>76</v>
      </c>
      <c r="C149" s="212" t="s">
        <v>39</v>
      </c>
      <c r="D149" s="213" t="s">
        <v>30</v>
      </c>
      <c r="E149" s="213" t="s">
        <v>39</v>
      </c>
      <c r="F149" s="214" t="s">
        <v>438</v>
      </c>
      <c r="G149" s="28" t="s">
        <v>77</v>
      </c>
      <c r="H149" s="221">
        <f>'прил9 (ведом 23)'!M623</f>
        <v>5574.7</v>
      </c>
    </row>
    <row r="150" spans="1:8" ht="36" x14ac:dyDescent="0.35">
      <c r="A150" s="337"/>
      <c r="B150" s="512" t="s">
        <v>351</v>
      </c>
      <c r="C150" s="702" t="s">
        <v>39</v>
      </c>
      <c r="D150" s="703" t="s">
        <v>30</v>
      </c>
      <c r="E150" s="703" t="s">
        <v>63</v>
      </c>
      <c r="F150" s="704" t="s">
        <v>44</v>
      </c>
      <c r="G150" s="242"/>
      <c r="H150" s="221">
        <f>H151</f>
        <v>552.6</v>
      </c>
    </row>
    <row r="151" spans="1:8" ht="54" x14ac:dyDescent="0.35">
      <c r="A151" s="337"/>
      <c r="B151" s="512" t="s">
        <v>472</v>
      </c>
      <c r="C151" s="702" t="s">
        <v>39</v>
      </c>
      <c r="D151" s="703" t="s">
        <v>30</v>
      </c>
      <c r="E151" s="703" t="s">
        <v>63</v>
      </c>
      <c r="F151" s="704" t="s">
        <v>105</v>
      </c>
      <c r="G151" s="242"/>
      <c r="H151" s="221">
        <f>H152</f>
        <v>552.6</v>
      </c>
    </row>
    <row r="152" spans="1:8" ht="36" x14ac:dyDescent="0.35">
      <c r="A152" s="337"/>
      <c r="B152" s="512" t="s">
        <v>55</v>
      </c>
      <c r="C152" s="702" t="s">
        <v>39</v>
      </c>
      <c r="D152" s="703" t="s">
        <v>30</v>
      </c>
      <c r="E152" s="703" t="s">
        <v>63</v>
      </c>
      <c r="F152" s="704" t="s">
        <v>105</v>
      </c>
      <c r="G152" s="242" t="s">
        <v>56</v>
      </c>
      <c r="H152" s="221">
        <f>'прил9 (ведом 23)'!M447</f>
        <v>552.6</v>
      </c>
    </row>
    <row r="153" spans="1:8" ht="36" x14ac:dyDescent="0.35">
      <c r="A153" s="337"/>
      <c r="B153" s="512" t="s">
        <v>468</v>
      </c>
      <c r="C153" s="702" t="s">
        <v>39</v>
      </c>
      <c r="D153" s="703" t="s">
        <v>30</v>
      </c>
      <c r="E153" s="703" t="s">
        <v>52</v>
      </c>
      <c r="F153" s="704" t="s">
        <v>44</v>
      </c>
      <c r="G153" s="242"/>
      <c r="H153" s="221">
        <f>H154</f>
        <v>24</v>
      </c>
    </row>
    <row r="154" spans="1:8" ht="18" x14ac:dyDescent="0.35">
      <c r="A154" s="337"/>
      <c r="B154" s="512" t="s">
        <v>473</v>
      </c>
      <c r="C154" s="702" t="s">
        <v>39</v>
      </c>
      <c r="D154" s="703" t="s">
        <v>30</v>
      </c>
      <c r="E154" s="703" t="s">
        <v>52</v>
      </c>
      <c r="F154" s="704" t="s">
        <v>467</v>
      </c>
      <c r="G154" s="242"/>
      <c r="H154" s="221">
        <f>H155</f>
        <v>24</v>
      </c>
    </row>
    <row r="155" spans="1:8" ht="36" x14ac:dyDescent="0.35">
      <c r="A155" s="337"/>
      <c r="B155" s="512" t="s">
        <v>55</v>
      </c>
      <c r="C155" s="702" t="s">
        <v>39</v>
      </c>
      <c r="D155" s="703" t="s">
        <v>30</v>
      </c>
      <c r="E155" s="703" t="s">
        <v>52</v>
      </c>
      <c r="F155" s="704" t="s">
        <v>467</v>
      </c>
      <c r="G155" s="242" t="s">
        <v>56</v>
      </c>
      <c r="H155" s="221">
        <f>'прил9 (ведом 23)'!M450</f>
        <v>24</v>
      </c>
    </row>
    <row r="156" spans="1:8" ht="36" x14ac:dyDescent="0.35">
      <c r="A156" s="337"/>
      <c r="B156" s="512" t="s">
        <v>471</v>
      </c>
      <c r="C156" s="702" t="s">
        <v>39</v>
      </c>
      <c r="D156" s="703" t="s">
        <v>30</v>
      </c>
      <c r="E156" s="703" t="s">
        <v>65</v>
      </c>
      <c r="F156" s="704" t="s">
        <v>44</v>
      </c>
      <c r="G156" s="242"/>
      <c r="H156" s="221">
        <f>H157</f>
        <v>334</v>
      </c>
    </row>
    <row r="157" spans="1:8" ht="36" x14ac:dyDescent="0.35">
      <c r="A157" s="337"/>
      <c r="B157" s="512" t="s">
        <v>127</v>
      </c>
      <c r="C157" s="702" t="s">
        <v>39</v>
      </c>
      <c r="D157" s="703" t="s">
        <v>30</v>
      </c>
      <c r="E157" s="703" t="s">
        <v>65</v>
      </c>
      <c r="F157" s="704" t="s">
        <v>90</v>
      </c>
      <c r="G157" s="242"/>
      <c r="H157" s="221">
        <f>H158</f>
        <v>334</v>
      </c>
    </row>
    <row r="158" spans="1:8" ht="36" x14ac:dyDescent="0.35">
      <c r="A158" s="337"/>
      <c r="B158" s="512" t="s">
        <v>55</v>
      </c>
      <c r="C158" s="702" t="s">
        <v>39</v>
      </c>
      <c r="D158" s="703" t="s">
        <v>30</v>
      </c>
      <c r="E158" s="703" t="s">
        <v>65</v>
      </c>
      <c r="F158" s="704" t="s">
        <v>90</v>
      </c>
      <c r="G158" s="242" t="s">
        <v>56</v>
      </c>
      <c r="H158" s="221">
        <f>'прил9 (ведом 23)'!M453</f>
        <v>334</v>
      </c>
    </row>
    <row r="159" spans="1:8" ht="18" x14ac:dyDescent="0.35">
      <c r="A159" s="337"/>
      <c r="B159" s="513"/>
      <c r="C159" s="702"/>
      <c r="D159" s="703"/>
      <c r="E159" s="703"/>
      <c r="F159" s="704"/>
      <c r="G159" s="242"/>
      <c r="H159" s="221"/>
    </row>
    <row r="160" spans="1:8" s="347" customFormat="1" ht="52.2" x14ac:dyDescent="0.3">
      <c r="A160" s="352">
        <v>2</v>
      </c>
      <c r="B160" s="505" t="s">
        <v>213</v>
      </c>
      <c r="C160" s="353" t="s">
        <v>63</v>
      </c>
      <c r="D160" s="353" t="s">
        <v>42</v>
      </c>
      <c r="E160" s="353" t="s">
        <v>43</v>
      </c>
      <c r="F160" s="354" t="s">
        <v>44</v>
      </c>
      <c r="G160" s="346"/>
      <c r="H160" s="258">
        <f>H161+H201+H208</f>
        <v>144875.79999999999</v>
      </c>
    </row>
    <row r="161" spans="1:8" s="347" customFormat="1" ht="54" x14ac:dyDescent="0.35">
      <c r="A161" s="337"/>
      <c r="B161" s="514" t="s">
        <v>214</v>
      </c>
      <c r="C161" s="212" t="s">
        <v>63</v>
      </c>
      <c r="D161" s="213" t="s">
        <v>45</v>
      </c>
      <c r="E161" s="213" t="s">
        <v>43</v>
      </c>
      <c r="F161" s="214" t="s">
        <v>44</v>
      </c>
      <c r="G161" s="242"/>
      <c r="H161" s="221">
        <f>H162+H171+H174+H187+H198</f>
        <v>130536.5</v>
      </c>
    </row>
    <row r="162" spans="1:8" s="347" customFormat="1" ht="36" x14ac:dyDescent="0.35">
      <c r="A162" s="337"/>
      <c r="B162" s="514" t="s">
        <v>276</v>
      </c>
      <c r="C162" s="212" t="s">
        <v>63</v>
      </c>
      <c r="D162" s="213" t="s">
        <v>45</v>
      </c>
      <c r="E162" s="213" t="s">
        <v>37</v>
      </c>
      <c r="F162" s="214" t="s">
        <v>44</v>
      </c>
      <c r="G162" s="242"/>
      <c r="H162" s="221">
        <f>H163+H167+H165+H169</f>
        <v>76691.100000000006</v>
      </c>
    </row>
    <row r="163" spans="1:8" s="347" customFormat="1" ht="36" x14ac:dyDescent="0.35">
      <c r="A163" s="337"/>
      <c r="B163" s="506" t="s">
        <v>464</v>
      </c>
      <c r="C163" s="212" t="s">
        <v>63</v>
      </c>
      <c r="D163" s="213" t="s">
        <v>45</v>
      </c>
      <c r="E163" s="213" t="s">
        <v>37</v>
      </c>
      <c r="F163" s="214" t="s">
        <v>91</v>
      </c>
      <c r="G163" s="28"/>
      <c r="H163" s="221">
        <f>H164</f>
        <v>60082</v>
      </c>
    </row>
    <row r="164" spans="1:8" s="347" customFormat="1" ht="36" x14ac:dyDescent="0.35">
      <c r="A164" s="337"/>
      <c r="B164" s="509" t="s">
        <v>76</v>
      </c>
      <c r="C164" s="212" t="s">
        <v>63</v>
      </c>
      <c r="D164" s="213" t="s">
        <v>45</v>
      </c>
      <c r="E164" s="213" t="s">
        <v>37</v>
      </c>
      <c r="F164" s="214" t="s">
        <v>91</v>
      </c>
      <c r="G164" s="28" t="s">
        <v>77</v>
      </c>
      <c r="H164" s="221">
        <f>'прил9 (ведом 23)'!M653</f>
        <v>60082</v>
      </c>
    </row>
    <row r="165" spans="1:8" s="347" customFormat="1" ht="18" x14ac:dyDescent="0.35">
      <c r="A165" s="337"/>
      <c r="B165" s="515" t="s">
        <v>465</v>
      </c>
      <c r="C165" s="212" t="s">
        <v>63</v>
      </c>
      <c r="D165" s="213" t="s">
        <v>45</v>
      </c>
      <c r="E165" s="213" t="s">
        <v>37</v>
      </c>
      <c r="F165" s="214" t="s">
        <v>380</v>
      </c>
      <c r="G165" s="28"/>
      <c r="H165" s="221">
        <f>H166</f>
        <v>6347.8</v>
      </c>
    </row>
    <row r="166" spans="1:8" s="347" customFormat="1" ht="36" x14ac:dyDescent="0.35">
      <c r="A166" s="337"/>
      <c r="B166" s="515" t="s">
        <v>76</v>
      </c>
      <c r="C166" s="212" t="s">
        <v>63</v>
      </c>
      <c r="D166" s="213" t="s">
        <v>45</v>
      </c>
      <c r="E166" s="213" t="s">
        <v>37</v>
      </c>
      <c r="F166" s="214" t="s">
        <v>380</v>
      </c>
      <c r="G166" s="28" t="s">
        <v>77</v>
      </c>
      <c r="H166" s="221">
        <f>'прил9 (ведом 23)'!M655</f>
        <v>6347.8</v>
      </c>
    </row>
    <row r="167" spans="1:8" s="347" customFormat="1" ht="36" x14ac:dyDescent="0.35">
      <c r="A167" s="337"/>
      <c r="B167" s="515" t="s">
        <v>315</v>
      </c>
      <c r="C167" s="212" t="s">
        <v>63</v>
      </c>
      <c r="D167" s="213" t="s">
        <v>45</v>
      </c>
      <c r="E167" s="213" t="s">
        <v>37</v>
      </c>
      <c r="F167" s="214" t="s">
        <v>316</v>
      </c>
      <c r="G167" s="28"/>
      <c r="H167" s="221">
        <f>H168</f>
        <v>6966.7</v>
      </c>
    </row>
    <row r="168" spans="1:8" s="347" customFormat="1" ht="36" x14ac:dyDescent="0.35">
      <c r="A168" s="337"/>
      <c r="B168" s="515" t="s">
        <v>76</v>
      </c>
      <c r="C168" s="212" t="s">
        <v>63</v>
      </c>
      <c r="D168" s="213" t="s">
        <v>45</v>
      </c>
      <c r="E168" s="213" t="s">
        <v>37</v>
      </c>
      <c r="F168" s="214" t="s">
        <v>316</v>
      </c>
      <c r="G168" s="28" t="s">
        <v>77</v>
      </c>
      <c r="H168" s="221">
        <f>'прил9 (ведом 23)'!M657</f>
        <v>6966.7</v>
      </c>
    </row>
    <row r="169" spans="1:8" s="347" customFormat="1" ht="54" x14ac:dyDescent="0.35">
      <c r="A169" s="337"/>
      <c r="B169" s="593" t="s">
        <v>695</v>
      </c>
      <c r="C169" s="709" t="s">
        <v>63</v>
      </c>
      <c r="D169" s="710" t="s">
        <v>45</v>
      </c>
      <c r="E169" s="710" t="s">
        <v>37</v>
      </c>
      <c r="F169" s="711" t="s">
        <v>694</v>
      </c>
      <c r="G169" s="10"/>
      <c r="H169" s="221">
        <f>H170</f>
        <v>3294.6</v>
      </c>
    </row>
    <row r="170" spans="1:8" s="347" customFormat="1" ht="36" x14ac:dyDescent="0.35">
      <c r="A170" s="337"/>
      <c r="B170" s="517" t="s">
        <v>76</v>
      </c>
      <c r="C170" s="709" t="s">
        <v>63</v>
      </c>
      <c r="D170" s="710" t="s">
        <v>45</v>
      </c>
      <c r="E170" s="710" t="s">
        <v>37</v>
      </c>
      <c r="F170" s="711" t="s">
        <v>694</v>
      </c>
      <c r="G170" s="10" t="s">
        <v>77</v>
      </c>
      <c r="H170" s="221">
        <f>'прил9 (ведом 23)'!M659</f>
        <v>3294.6</v>
      </c>
    </row>
    <row r="171" spans="1:8" ht="18" x14ac:dyDescent="0.35">
      <c r="A171" s="409"/>
      <c r="B171" s="509" t="s">
        <v>277</v>
      </c>
      <c r="C171" s="212" t="s">
        <v>63</v>
      </c>
      <c r="D171" s="213" t="s">
        <v>45</v>
      </c>
      <c r="E171" s="213" t="s">
        <v>39</v>
      </c>
      <c r="F171" s="214" t="s">
        <v>44</v>
      </c>
      <c r="G171" s="28"/>
      <c r="H171" s="410">
        <f>H172</f>
        <v>450</v>
      </c>
    </row>
    <row r="172" spans="1:8" s="347" customFormat="1" ht="36" x14ac:dyDescent="0.35">
      <c r="A172" s="337"/>
      <c r="B172" s="509" t="s">
        <v>211</v>
      </c>
      <c r="C172" s="212" t="s">
        <v>63</v>
      </c>
      <c r="D172" s="213" t="s">
        <v>45</v>
      </c>
      <c r="E172" s="213" t="s">
        <v>39</v>
      </c>
      <c r="F172" s="214" t="s">
        <v>279</v>
      </c>
      <c r="G172" s="28"/>
      <c r="H172" s="221">
        <f>H173</f>
        <v>450</v>
      </c>
    </row>
    <row r="173" spans="1:8" s="347" customFormat="1" ht="18" x14ac:dyDescent="0.35">
      <c r="A173" s="337"/>
      <c r="B173" s="509" t="s">
        <v>120</v>
      </c>
      <c r="C173" s="212" t="s">
        <v>63</v>
      </c>
      <c r="D173" s="213" t="s">
        <v>45</v>
      </c>
      <c r="E173" s="213" t="s">
        <v>39</v>
      </c>
      <c r="F173" s="214" t="s">
        <v>279</v>
      </c>
      <c r="G173" s="28" t="s">
        <v>121</v>
      </c>
      <c r="H173" s="221">
        <f>'прил9 (ведом 23)'!M665</f>
        <v>450</v>
      </c>
    </row>
    <row r="174" spans="1:8" s="347" customFormat="1" ht="18" x14ac:dyDescent="0.35">
      <c r="A174" s="337"/>
      <c r="B174" s="506" t="s">
        <v>317</v>
      </c>
      <c r="C174" s="355" t="s">
        <v>63</v>
      </c>
      <c r="D174" s="356" t="s">
        <v>45</v>
      </c>
      <c r="E174" s="356" t="s">
        <v>63</v>
      </c>
      <c r="F174" s="357" t="s">
        <v>44</v>
      </c>
      <c r="G174" s="358"/>
      <c r="H174" s="221">
        <f>H175+H177+H179+H181+H185+H183</f>
        <v>15615</v>
      </c>
    </row>
    <row r="175" spans="1:8" s="347" customFormat="1" ht="36" x14ac:dyDescent="0.35">
      <c r="A175" s="337"/>
      <c r="B175" s="506" t="s">
        <v>464</v>
      </c>
      <c r="C175" s="355" t="s">
        <v>63</v>
      </c>
      <c r="D175" s="356" t="s">
        <v>45</v>
      </c>
      <c r="E175" s="356" t="s">
        <v>63</v>
      </c>
      <c r="F175" s="357" t="s">
        <v>91</v>
      </c>
      <c r="G175" s="358"/>
      <c r="H175" s="221">
        <f>H176</f>
        <v>13184.900000000001</v>
      </c>
    </row>
    <row r="176" spans="1:8" s="347" customFormat="1" ht="36" x14ac:dyDescent="0.35">
      <c r="A176" s="337"/>
      <c r="B176" s="509" t="s">
        <v>76</v>
      </c>
      <c r="C176" s="212" t="s">
        <v>63</v>
      </c>
      <c r="D176" s="213" t="s">
        <v>45</v>
      </c>
      <c r="E176" s="213" t="s">
        <v>63</v>
      </c>
      <c r="F176" s="214" t="s">
        <v>91</v>
      </c>
      <c r="G176" s="28" t="s">
        <v>77</v>
      </c>
      <c r="H176" s="221">
        <f>'прил9 (ведом 23)'!M675</f>
        <v>13184.900000000001</v>
      </c>
    </row>
    <row r="177" spans="1:8" s="347" customFormat="1" ht="18" x14ac:dyDescent="0.35">
      <c r="A177" s="337"/>
      <c r="B177" s="516" t="s">
        <v>465</v>
      </c>
      <c r="C177" s="709" t="s">
        <v>63</v>
      </c>
      <c r="D177" s="710" t="s">
        <v>45</v>
      </c>
      <c r="E177" s="710" t="s">
        <v>63</v>
      </c>
      <c r="F177" s="711" t="s">
        <v>380</v>
      </c>
      <c r="G177" s="10"/>
      <c r="H177" s="221">
        <f>H178</f>
        <v>396.3</v>
      </c>
    </row>
    <row r="178" spans="1:8" s="347" customFormat="1" ht="36" x14ac:dyDescent="0.35">
      <c r="A178" s="337"/>
      <c r="B178" s="517" t="s">
        <v>76</v>
      </c>
      <c r="C178" s="709" t="s">
        <v>63</v>
      </c>
      <c r="D178" s="710" t="s">
        <v>45</v>
      </c>
      <c r="E178" s="710" t="s">
        <v>63</v>
      </c>
      <c r="F178" s="711" t="s">
        <v>380</v>
      </c>
      <c r="G178" s="10" t="s">
        <v>77</v>
      </c>
      <c r="H178" s="221">
        <f>'прил9 (ведом 23)'!M677</f>
        <v>396.3</v>
      </c>
    </row>
    <row r="179" spans="1:8" s="347" customFormat="1" ht="36" x14ac:dyDescent="0.35">
      <c r="A179" s="337"/>
      <c r="B179" s="509" t="s">
        <v>315</v>
      </c>
      <c r="C179" s="355" t="s">
        <v>63</v>
      </c>
      <c r="D179" s="356" t="s">
        <v>45</v>
      </c>
      <c r="E179" s="356" t="s">
        <v>63</v>
      </c>
      <c r="F179" s="357" t="s">
        <v>316</v>
      </c>
      <c r="G179" s="358"/>
      <c r="H179" s="221">
        <f>H180</f>
        <v>476.59999999999997</v>
      </c>
    </row>
    <row r="180" spans="1:8" s="347" customFormat="1" ht="36" x14ac:dyDescent="0.35">
      <c r="A180" s="337"/>
      <c r="B180" s="509" t="s">
        <v>76</v>
      </c>
      <c r="C180" s="355" t="s">
        <v>63</v>
      </c>
      <c r="D180" s="356" t="s">
        <v>45</v>
      </c>
      <c r="E180" s="356" t="s">
        <v>63</v>
      </c>
      <c r="F180" s="357" t="s">
        <v>316</v>
      </c>
      <c r="G180" s="358" t="s">
        <v>77</v>
      </c>
      <c r="H180" s="221">
        <f>'прил9 (ведом 23)'!M679</f>
        <v>476.59999999999997</v>
      </c>
    </row>
    <row r="181" spans="1:8" s="347" customFormat="1" ht="54" x14ac:dyDescent="0.35">
      <c r="A181" s="337"/>
      <c r="B181" s="509" t="s">
        <v>215</v>
      </c>
      <c r="C181" s="212" t="s">
        <v>63</v>
      </c>
      <c r="D181" s="213" t="s">
        <v>45</v>
      </c>
      <c r="E181" s="213" t="s">
        <v>63</v>
      </c>
      <c r="F181" s="214" t="s">
        <v>318</v>
      </c>
      <c r="G181" s="28"/>
      <c r="H181" s="221">
        <f>H182</f>
        <v>512</v>
      </c>
    </row>
    <row r="182" spans="1:8" s="347" customFormat="1" ht="36" x14ac:dyDescent="0.35">
      <c r="A182" s="337"/>
      <c r="B182" s="509" t="s">
        <v>76</v>
      </c>
      <c r="C182" s="212" t="s">
        <v>63</v>
      </c>
      <c r="D182" s="213" t="s">
        <v>45</v>
      </c>
      <c r="E182" s="213" t="s">
        <v>63</v>
      </c>
      <c r="F182" s="214" t="s">
        <v>318</v>
      </c>
      <c r="G182" s="28" t="s">
        <v>77</v>
      </c>
      <c r="H182" s="221">
        <f>'прил9 (ведом 23)'!M681</f>
        <v>512</v>
      </c>
    </row>
    <row r="183" spans="1:8" s="347" customFormat="1" ht="54" x14ac:dyDescent="0.35">
      <c r="A183" s="337"/>
      <c r="B183" s="593" t="s">
        <v>695</v>
      </c>
      <c r="C183" s="709" t="s">
        <v>63</v>
      </c>
      <c r="D183" s="710" t="s">
        <v>45</v>
      </c>
      <c r="E183" s="710" t="s">
        <v>63</v>
      </c>
      <c r="F183" s="711" t="s">
        <v>694</v>
      </c>
      <c r="G183" s="10"/>
      <c r="H183" s="221">
        <f>H184</f>
        <v>493.8</v>
      </c>
    </row>
    <row r="184" spans="1:8" s="347" customFormat="1" ht="36" x14ac:dyDescent="0.35">
      <c r="A184" s="337"/>
      <c r="B184" s="517" t="s">
        <v>76</v>
      </c>
      <c r="C184" s="709" t="s">
        <v>63</v>
      </c>
      <c r="D184" s="710" t="s">
        <v>45</v>
      </c>
      <c r="E184" s="710" t="s">
        <v>63</v>
      </c>
      <c r="F184" s="711" t="s">
        <v>694</v>
      </c>
      <c r="G184" s="10" t="s">
        <v>77</v>
      </c>
      <c r="H184" s="221">
        <f>'прил9 (ведом 23)'!M683</f>
        <v>493.8</v>
      </c>
    </row>
    <row r="185" spans="1:8" s="347" customFormat="1" ht="18" x14ac:dyDescent="0.35">
      <c r="A185" s="337"/>
      <c r="B185" s="515" t="s">
        <v>568</v>
      </c>
      <c r="C185" s="212" t="s">
        <v>63</v>
      </c>
      <c r="D185" s="213" t="s">
        <v>45</v>
      </c>
      <c r="E185" s="213" t="s">
        <v>63</v>
      </c>
      <c r="F185" s="214" t="s">
        <v>567</v>
      </c>
      <c r="G185" s="28"/>
      <c r="H185" s="221">
        <f>H186</f>
        <v>551.4</v>
      </c>
    </row>
    <row r="186" spans="1:8" s="347" customFormat="1" ht="36" x14ac:dyDescent="0.35">
      <c r="A186" s="337"/>
      <c r="B186" s="515" t="s">
        <v>76</v>
      </c>
      <c r="C186" s="212" t="s">
        <v>63</v>
      </c>
      <c r="D186" s="213" t="s">
        <v>45</v>
      </c>
      <c r="E186" s="213" t="s">
        <v>63</v>
      </c>
      <c r="F186" s="214" t="s">
        <v>567</v>
      </c>
      <c r="G186" s="28" t="s">
        <v>77</v>
      </c>
      <c r="H186" s="221">
        <f>'прил9 (ведом 23)'!M685</f>
        <v>551.4</v>
      </c>
    </row>
    <row r="187" spans="1:8" s="347" customFormat="1" ht="36" x14ac:dyDescent="0.35">
      <c r="A187" s="337"/>
      <c r="B187" s="509" t="s">
        <v>319</v>
      </c>
      <c r="C187" s="355" t="s">
        <v>63</v>
      </c>
      <c r="D187" s="356" t="s">
        <v>45</v>
      </c>
      <c r="E187" s="356" t="s">
        <v>52</v>
      </c>
      <c r="F187" s="214" t="s">
        <v>44</v>
      </c>
      <c r="G187" s="28"/>
      <c r="H187" s="221">
        <f>H188+H192+H196+H194</f>
        <v>37479.799999999996</v>
      </c>
    </row>
    <row r="188" spans="1:8" s="347" customFormat="1" ht="36" x14ac:dyDescent="0.35">
      <c r="A188" s="337"/>
      <c r="B188" s="506" t="s">
        <v>464</v>
      </c>
      <c r="C188" s="355" t="s">
        <v>63</v>
      </c>
      <c r="D188" s="356" t="s">
        <v>45</v>
      </c>
      <c r="E188" s="356" t="s">
        <v>52</v>
      </c>
      <c r="F188" s="357" t="s">
        <v>91</v>
      </c>
      <c r="G188" s="358"/>
      <c r="H188" s="221">
        <f>SUM(H189:H191)</f>
        <v>16890.3</v>
      </c>
    </row>
    <row r="189" spans="1:8" s="347" customFormat="1" ht="90" x14ac:dyDescent="0.35">
      <c r="A189" s="337"/>
      <c r="B189" s="507" t="s">
        <v>49</v>
      </c>
      <c r="C189" s="212" t="s">
        <v>63</v>
      </c>
      <c r="D189" s="213" t="s">
        <v>45</v>
      </c>
      <c r="E189" s="213" t="s">
        <v>52</v>
      </c>
      <c r="F189" s="214" t="s">
        <v>91</v>
      </c>
      <c r="G189" s="28" t="s">
        <v>50</v>
      </c>
      <c r="H189" s="221">
        <f>'прил9 (ведом 23)'!M688</f>
        <v>15618.199999999999</v>
      </c>
    </row>
    <row r="190" spans="1:8" s="347" customFormat="1" ht="36" x14ac:dyDescent="0.35">
      <c r="A190" s="337"/>
      <c r="B190" s="507" t="s">
        <v>55</v>
      </c>
      <c r="C190" s="212" t="s">
        <v>63</v>
      </c>
      <c r="D190" s="213" t="s">
        <v>45</v>
      </c>
      <c r="E190" s="213" t="s">
        <v>52</v>
      </c>
      <c r="F190" s="214" t="s">
        <v>91</v>
      </c>
      <c r="G190" s="28" t="s">
        <v>56</v>
      </c>
      <c r="H190" s="221">
        <f>'прил9 (ведом 23)'!M689</f>
        <v>1225.0999999999999</v>
      </c>
    </row>
    <row r="191" spans="1:8" s="347" customFormat="1" ht="18" x14ac:dyDescent="0.35">
      <c r="A191" s="337"/>
      <c r="B191" s="507" t="s">
        <v>57</v>
      </c>
      <c r="C191" s="212" t="s">
        <v>63</v>
      </c>
      <c r="D191" s="213" t="s">
        <v>45</v>
      </c>
      <c r="E191" s="213" t="s">
        <v>52</v>
      </c>
      <c r="F191" s="214" t="s">
        <v>91</v>
      </c>
      <c r="G191" s="28" t="s">
        <v>58</v>
      </c>
      <c r="H191" s="221">
        <f>'прил9 (ведом 23)'!M690</f>
        <v>47</v>
      </c>
    </row>
    <row r="192" spans="1:8" s="347" customFormat="1" ht="36" x14ac:dyDescent="0.35">
      <c r="A192" s="337"/>
      <c r="B192" s="517" t="s">
        <v>76</v>
      </c>
      <c r="C192" s="709" t="s">
        <v>63</v>
      </c>
      <c r="D192" s="710" t="s">
        <v>45</v>
      </c>
      <c r="E192" s="710" t="s">
        <v>52</v>
      </c>
      <c r="F192" s="711" t="s">
        <v>380</v>
      </c>
      <c r="G192" s="10"/>
      <c r="H192" s="221">
        <f>H193</f>
        <v>833.3</v>
      </c>
    </row>
    <row r="193" spans="1:8" s="347" customFormat="1" ht="36" x14ac:dyDescent="0.35">
      <c r="A193" s="337"/>
      <c r="B193" s="510" t="s">
        <v>55</v>
      </c>
      <c r="C193" s="709" t="s">
        <v>63</v>
      </c>
      <c r="D193" s="710" t="s">
        <v>45</v>
      </c>
      <c r="E193" s="710" t="s">
        <v>52</v>
      </c>
      <c r="F193" s="711" t="s">
        <v>380</v>
      </c>
      <c r="G193" s="10" t="s">
        <v>56</v>
      </c>
      <c r="H193" s="221">
        <f>'прил9 (ведом 23)'!M692</f>
        <v>833.3</v>
      </c>
    </row>
    <row r="194" spans="1:8" s="347" customFormat="1" ht="54" x14ac:dyDescent="0.35">
      <c r="A194" s="337"/>
      <c r="B194" s="593" t="s">
        <v>695</v>
      </c>
      <c r="C194" s="709" t="s">
        <v>63</v>
      </c>
      <c r="D194" s="710" t="s">
        <v>45</v>
      </c>
      <c r="E194" s="710" t="s">
        <v>52</v>
      </c>
      <c r="F194" s="711" t="s">
        <v>694</v>
      </c>
      <c r="G194" s="10"/>
      <c r="H194" s="221">
        <f>H195</f>
        <v>1656.2</v>
      </c>
    </row>
    <row r="195" spans="1:8" s="347" customFormat="1" ht="36" x14ac:dyDescent="0.35">
      <c r="A195" s="337"/>
      <c r="B195" s="510" t="s">
        <v>55</v>
      </c>
      <c r="C195" s="709" t="s">
        <v>63</v>
      </c>
      <c r="D195" s="710" t="s">
        <v>45</v>
      </c>
      <c r="E195" s="710" t="s">
        <v>52</v>
      </c>
      <c r="F195" s="711" t="s">
        <v>694</v>
      </c>
      <c r="G195" s="10" t="s">
        <v>56</v>
      </c>
      <c r="H195" s="221">
        <f>'прил9 (ведом 23)'!M694</f>
        <v>1656.2</v>
      </c>
    </row>
    <row r="196" spans="1:8" s="347" customFormat="1" ht="90" x14ac:dyDescent="0.35">
      <c r="A196" s="337"/>
      <c r="B196" s="593" t="s">
        <v>626</v>
      </c>
      <c r="C196" s="709" t="s">
        <v>63</v>
      </c>
      <c r="D196" s="710" t="s">
        <v>45</v>
      </c>
      <c r="E196" s="710" t="s">
        <v>52</v>
      </c>
      <c r="F196" s="711" t="s">
        <v>627</v>
      </c>
      <c r="G196" s="10"/>
      <c r="H196" s="221">
        <f>H197</f>
        <v>18100</v>
      </c>
    </row>
    <row r="197" spans="1:8" s="347" customFormat="1" ht="36" x14ac:dyDescent="0.35">
      <c r="A197" s="337"/>
      <c r="B197" s="593" t="s">
        <v>55</v>
      </c>
      <c r="C197" s="709" t="s">
        <v>63</v>
      </c>
      <c r="D197" s="710" t="s">
        <v>45</v>
      </c>
      <c r="E197" s="710" t="s">
        <v>52</v>
      </c>
      <c r="F197" s="711" t="s">
        <v>627</v>
      </c>
      <c r="G197" s="10" t="s">
        <v>56</v>
      </c>
      <c r="H197" s="221">
        <f>'прил9 (ведом 23)'!M696</f>
        <v>18100</v>
      </c>
    </row>
    <row r="198" spans="1:8" s="347" customFormat="1" ht="36" x14ac:dyDescent="0.35">
      <c r="A198" s="337"/>
      <c r="B198" s="515" t="s">
        <v>281</v>
      </c>
      <c r="C198" s="212" t="s">
        <v>63</v>
      </c>
      <c r="D198" s="213" t="s">
        <v>45</v>
      </c>
      <c r="E198" s="213" t="s">
        <v>65</v>
      </c>
      <c r="F198" s="214" t="s">
        <v>44</v>
      </c>
      <c r="G198" s="28"/>
      <c r="H198" s="221">
        <f>H199</f>
        <v>300.60000000000002</v>
      </c>
    </row>
    <row r="199" spans="1:8" s="347" customFormat="1" ht="36" x14ac:dyDescent="0.35">
      <c r="A199" s="337"/>
      <c r="B199" s="515" t="s">
        <v>470</v>
      </c>
      <c r="C199" s="212" t="s">
        <v>63</v>
      </c>
      <c r="D199" s="213" t="s">
        <v>45</v>
      </c>
      <c r="E199" s="213" t="s">
        <v>65</v>
      </c>
      <c r="F199" s="214" t="s">
        <v>469</v>
      </c>
      <c r="G199" s="28"/>
      <c r="H199" s="221">
        <f>H200</f>
        <v>300.60000000000002</v>
      </c>
    </row>
    <row r="200" spans="1:8" s="347" customFormat="1" ht="36" x14ac:dyDescent="0.35">
      <c r="A200" s="337"/>
      <c r="B200" s="515" t="s">
        <v>76</v>
      </c>
      <c r="C200" s="212" t="s">
        <v>63</v>
      </c>
      <c r="D200" s="213" t="s">
        <v>45</v>
      </c>
      <c r="E200" s="213" t="s">
        <v>65</v>
      </c>
      <c r="F200" s="214" t="s">
        <v>469</v>
      </c>
      <c r="G200" s="28" t="s">
        <v>77</v>
      </c>
      <c r="H200" s="221">
        <f>'прил9 (ведом 23)'!M668</f>
        <v>300.60000000000002</v>
      </c>
    </row>
    <row r="201" spans="1:8" ht="36" x14ac:dyDescent="0.35">
      <c r="A201" s="337"/>
      <c r="B201" s="506" t="s">
        <v>326</v>
      </c>
      <c r="C201" s="355" t="s">
        <v>63</v>
      </c>
      <c r="D201" s="356" t="s">
        <v>89</v>
      </c>
      <c r="E201" s="356" t="s">
        <v>43</v>
      </c>
      <c r="F201" s="214" t="s">
        <v>44</v>
      </c>
      <c r="G201" s="358"/>
      <c r="H201" s="221">
        <f>H202</f>
        <v>2763.5000000000005</v>
      </c>
    </row>
    <row r="202" spans="1:8" ht="90" x14ac:dyDescent="0.35">
      <c r="A202" s="337"/>
      <c r="B202" s="509" t="s">
        <v>320</v>
      </c>
      <c r="C202" s="355" t="s">
        <v>63</v>
      </c>
      <c r="D202" s="356" t="s">
        <v>89</v>
      </c>
      <c r="E202" s="356" t="s">
        <v>63</v>
      </c>
      <c r="F202" s="214" t="s">
        <v>44</v>
      </c>
      <c r="G202" s="358"/>
      <c r="H202" s="221">
        <f>H203+H206</f>
        <v>2763.5000000000005</v>
      </c>
    </row>
    <row r="203" spans="1:8" ht="36" x14ac:dyDescent="0.35">
      <c r="A203" s="337"/>
      <c r="B203" s="509" t="s">
        <v>315</v>
      </c>
      <c r="C203" s="355" t="s">
        <v>63</v>
      </c>
      <c r="D203" s="356" t="s">
        <v>89</v>
      </c>
      <c r="E203" s="356" t="s">
        <v>63</v>
      </c>
      <c r="F203" s="357" t="s">
        <v>316</v>
      </c>
      <c r="G203" s="242"/>
      <c r="H203" s="221">
        <f>SUM(H204:H205)</f>
        <v>2721.3940000000002</v>
      </c>
    </row>
    <row r="204" spans="1:8" ht="36" x14ac:dyDescent="0.35">
      <c r="A204" s="337"/>
      <c r="B204" s="506" t="s">
        <v>55</v>
      </c>
      <c r="C204" s="212" t="s">
        <v>63</v>
      </c>
      <c r="D204" s="213" t="s">
        <v>89</v>
      </c>
      <c r="E204" s="213" t="s">
        <v>63</v>
      </c>
      <c r="F204" s="214" t="s">
        <v>316</v>
      </c>
      <c r="G204" s="242" t="s">
        <v>56</v>
      </c>
      <c r="H204" s="221">
        <f>'прил9 (ведом 23)'!M709+'прил9 (ведом 23)'!M700</f>
        <v>2275</v>
      </c>
    </row>
    <row r="205" spans="1:8" ht="36" x14ac:dyDescent="0.35">
      <c r="A205" s="337"/>
      <c r="B205" s="509" t="s">
        <v>76</v>
      </c>
      <c r="C205" s="212" t="s">
        <v>63</v>
      </c>
      <c r="D205" s="213" t="s">
        <v>89</v>
      </c>
      <c r="E205" s="213" t="s">
        <v>63</v>
      </c>
      <c r="F205" s="214" t="s">
        <v>316</v>
      </c>
      <c r="G205" s="28" t="s">
        <v>77</v>
      </c>
      <c r="H205" s="221">
        <f>'прил9 (ведом 23)'!M701</f>
        <v>446.39400000000001</v>
      </c>
    </row>
    <row r="206" spans="1:8" ht="36" x14ac:dyDescent="0.35">
      <c r="A206" s="337"/>
      <c r="B206" s="515" t="s">
        <v>410</v>
      </c>
      <c r="C206" s="212" t="s">
        <v>63</v>
      </c>
      <c r="D206" s="213" t="s">
        <v>89</v>
      </c>
      <c r="E206" s="213" t="s">
        <v>63</v>
      </c>
      <c r="F206" s="214" t="s">
        <v>411</v>
      </c>
      <c r="G206" s="28"/>
      <c r="H206" s="221">
        <f>H207</f>
        <v>42.106000000000002</v>
      </c>
    </row>
    <row r="207" spans="1:8" ht="36" x14ac:dyDescent="0.35">
      <c r="A207" s="337"/>
      <c r="B207" s="515" t="s">
        <v>76</v>
      </c>
      <c r="C207" s="212" t="s">
        <v>63</v>
      </c>
      <c r="D207" s="213" t="s">
        <v>89</v>
      </c>
      <c r="E207" s="213" t="s">
        <v>63</v>
      </c>
      <c r="F207" s="214" t="s">
        <v>411</v>
      </c>
      <c r="G207" s="28" t="s">
        <v>77</v>
      </c>
      <c r="H207" s="221">
        <f>'прил9 (ведом 23)'!M703</f>
        <v>42.106000000000002</v>
      </c>
    </row>
    <row r="208" spans="1:8" s="347" customFormat="1" ht="36" x14ac:dyDescent="0.35">
      <c r="A208" s="337"/>
      <c r="B208" s="506" t="s">
        <v>216</v>
      </c>
      <c r="C208" s="212" t="s">
        <v>63</v>
      </c>
      <c r="D208" s="213" t="s">
        <v>30</v>
      </c>
      <c r="E208" s="213" t="s">
        <v>43</v>
      </c>
      <c r="F208" s="214" t="s">
        <v>44</v>
      </c>
      <c r="G208" s="242"/>
      <c r="H208" s="221">
        <f>H209+H218</f>
        <v>11575.800000000001</v>
      </c>
    </row>
    <row r="209" spans="1:8" s="347" customFormat="1" ht="36" x14ac:dyDescent="0.35">
      <c r="A209" s="337"/>
      <c r="B209" s="506" t="s">
        <v>282</v>
      </c>
      <c r="C209" s="212" t="s">
        <v>63</v>
      </c>
      <c r="D209" s="213" t="s">
        <v>30</v>
      </c>
      <c r="E209" s="213" t="s">
        <v>37</v>
      </c>
      <c r="F209" s="214" t="s">
        <v>44</v>
      </c>
      <c r="G209" s="28"/>
      <c r="H209" s="221">
        <f>H210+H214</f>
        <v>11521.7</v>
      </c>
    </row>
    <row r="210" spans="1:8" ht="36" x14ac:dyDescent="0.35">
      <c r="A210" s="337"/>
      <c r="B210" s="506" t="s">
        <v>47</v>
      </c>
      <c r="C210" s="212" t="s">
        <v>63</v>
      </c>
      <c r="D210" s="213" t="s">
        <v>30</v>
      </c>
      <c r="E210" s="213" t="s">
        <v>37</v>
      </c>
      <c r="F210" s="214" t="s">
        <v>48</v>
      </c>
      <c r="G210" s="358"/>
      <c r="H210" s="221">
        <f>SUM(H211:H213)</f>
        <v>3487.2000000000003</v>
      </c>
    </row>
    <row r="211" spans="1:8" ht="90" x14ac:dyDescent="0.35">
      <c r="A211" s="337"/>
      <c r="B211" s="506" t="s">
        <v>49</v>
      </c>
      <c r="C211" s="212" t="s">
        <v>63</v>
      </c>
      <c r="D211" s="213" t="s">
        <v>30</v>
      </c>
      <c r="E211" s="213" t="s">
        <v>37</v>
      </c>
      <c r="F211" s="214" t="s">
        <v>48</v>
      </c>
      <c r="G211" s="358" t="s">
        <v>50</v>
      </c>
      <c r="H211" s="221">
        <f>'прил9 (ведом 23)'!M713</f>
        <v>3193.9</v>
      </c>
    </row>
    <row r="212" spans="1:8" ht="36" x14ac:dyDescent="0.35">
      <c r="A212" s="337"/>
      <c r="B212" s="506" t="s">
        <v>55</v>
      </c>
      <c r="C212" s="212" t="s">
        <v>63</v>
      </c>
      <c r="D212" s="213" t="s">
        <v>30</v>
      </c>
      <c r="E212" s="213" t="s">
        <v>37</v>
      </c>
      <c r="F212" s="214" t="s">
        <v>48</v>
      </c>
      <c r="G212" s="358" t="s">
        <v>56</v>
      </c>
      <c r="H212" s="221">
        <f>'прил9 (ведом 23)'!M714</f>
        <v>284.8</v>
      </c>
    </row>
    <row r="213" spans="1:8" ht="18" x14ac:dyDescent="0.35">
      <c r="A213" s="337"/>
      <c r="B213" s="506" t="s">
        <v>57</v>
      </c>
      <c r="C213" s="212" t="s">
        <v>63</v>
      </c>
      <c r="D213" s="213" t="s">
        <v>30</v>
      </c>
      <c r="E213" s="213" t="s">
        <v>37</v>
      </c>
      <c r="F213" s="214" t="s">
        <v>48</v>
      </c>
      <c r="G213" s="28" t="s">
        <v>58</v>
      </c>
      <c r="H213" s="221">
        <f>'прил9 (ведом 23)'!M715</f>
        <v>8.5</v>
      </c>
    </row>
    <row r="214" spans="1:8" ht="36" x14ac:dyDescent="0.35">
      <c r="A214" s="337"/>
      <c r="B214" s="506" t="s">
        <v>464</v>
      </c>
      <c r="C214" s="212" t="s">
        <v>63</v>
      </c>
      <c r="D214" s="213" t="s">
        <v>30</v>
      </c>
      <c r="E214" s="213" t="s">
        <v>37</v>
      </c>
      <c r="F214" s="214" t="s">
        <v>91</v>
      </c>
      <c r="G214" s="28"/>
      <c r="H214" s="221">
        <f>SUM(H215:H217)</f>
        <v>8034.5000000000009</v>
      </c>
    </row>
    <row r="215" spans="1:8" ht="90" x14ac:dyDescent="0.35">
      <c r="A215" s="337"/>
      <c r="B215" s="506" t="s">
        <v>49</v>
      </c>
      <c r="C215" s="212" t="s">
        <v>63</v>
      </c>
      <c r="D215" s="213" t="s">
        <v>30</v>
      </c>
      <c r="E215" s="213" t="s">
        <v>37</v>
      </c>
      <c r="F215" s="214" t="s">
        <v>91</v>
      </c>
      <c r="G215" s="358" t="s">
        <v>50</v>
      </c>
      <c r="H215" s="221">
        <f>'прил9 (ведом 23)'!M717</f>
        <v>7283.1</v>
      </c>
    </row>
    <row r="216" spans="1:8" ht="36" x14ac:dyDescent="0.35">
      <c r="A216" s="337"/>
      <c r="B216" s="506" t="s">
        <v>55</v>
      </c>
      <c r="C216" s="212" t="s">
        <v>63</v>
      </c>
      <c r="D216" s="213" t="s">
        <v>30</v>
      </c>
      <c r="E216" s="213" t="s">
        <v>37</v>
      </c>
      <c r="F216" s="214" t="s">
        <v>91</v>
      </c>
      <c r="G216" s="358" t="s">
        <v>56</v>
      </c>
      <c r="H216" s="221">
        <f>'прил9 (ведом 23)'!M718</f>
        <v>749.80000000000007</v>
      </c>
    </row>
    <row r="217" spans="1:8" ht="18" x14ac:dyDescent="0.35">
      <c r="A217" s="337"/>
      <c r="B217" s="506" t="s">
        <v>57</v>
      </c>
      <c r="C217" s="212" t="s">
        <v>63</v>
      </c>
      <c r="D217" s="213" t="s">
        <v>30</v>
      </c>
      <c r="E217" s="213" t="s">
        <v>37</v>
      </c>
      <c r="F217" s="214" t="s">
        <v>91</v>
      </c>
      <c r="G217" s="28" t="s">
        <v>58</v>
      </c>
      <c r="H217" s="221">
        <f>'прил9 (ведом 23)'!M719</f>
        <v>1.6</v>
      </c>
    </row>
    <row r="218" spans="1:8" ht="36" x14ac:dyDescent="0.35">
      <c r="A218" s="337"/>
      <c r="B218" s="507" t="s">
        <v>351</v>
      </c>
      <c r="C218" s="212" t="s">
        <v>63</v>
      </c>
      <c r="D218" s="213" t="s">
        <v>30</v>
      </c>
      <c r="E218" s="213" t="s">
        <v>39</v>
      </c>
      <c r="F218" s="214" t="s">
        <v>44</v>
      </c>
      <c r="G218" s="153"/>
      <c r="H218" s="221">
        <f>H219</f>
        <v>54.1</v>
      </c>
    </row>
    <row r="219" spans="1:8" ht="54" x14ac:dyDescent="0.35">
      <c r="A219" s="337"/>
      <c r="B219" s="507" t="s">
        <v>352</v>
      </c>
      <c r="C219" s="212" t="s">
        <v>63</v>
      </c>
      <c r="D219" s="213" t="s">
        <v>30</v>
      </c>
      <c r="E219" s="213" t="s">
        <v>39</v>
      </c>
      <c r="F219" s="214" t="s">
        <v>105</v>
      </c>
      <c r="G219" s="153"/>
      <c r="H219" s="221">
        <f>H220</f>
        <v>54.1</v>
      </c>
    </row>
    <row r="220" spans="1:8" ht="36" x14ac:dyDescent="0.35">
      <c r="A220" s="337"/>
      <c r="B220" s="507" t="s">
        <v>55</v>
      </c>
      <c r="C220" s="212" t="s">
        <v>63</v>
      </c>
      <c r="D220" s="213" t="s">
        <v>30</v>
      </c>
      <c r="E220" s="213" t="s">
        <v>39</v>
      </c>
      <c r="F220" s="214" t="s">
        <v>105</v>
      </c>
      <c r="G220" s="28" t="s">
        <v>56</v>
      </c>
      <c r="H220" s="221">
        <f>'прил9 (ведом 23)'!M646</f>
        <v>54.1</v>
      </c>
    </row>
    <row r="221" spans="1:8" ht="18" x14ac:dyDescent="0.35">
      <c r="A221" s="337"/>
      <c r="B221" s="513"/>
      <c r="C221" s="359"/>
      <c r="D221" s="359"/>
      <c r="E221" s="303"/>
      <c r="F221" s="360"/>
      <c r="G221" s="242"/>
      <c r="H221" s="221"/>
    </row>
    <row r="222" spans="1:8" s="347" customFormat="1" ht="52.2" x14ac:dyDescent="0.3">
      <c r="A222" s="352">
        <v>3</v>
      </c>
      <c r="B222" s="518" t="s">
        <v>217</v>
      </c>
      <c r="C222" s="353" t="s">
        <v>52</v>
      </c>
      <c r="D222" s="353" t="s">
        <v>42</v>
      </c>
      <c r="E222" s="353" t="s">
        <v>43</v>
      </c>
      <c r="F222" s="354" t="s">
        <v>44</v>
      </c>
      <c r="G222" s="346"/>
      <c r="H222" s="258">
        <f>H223+H233+H266</f>
        <v>153893.70000000001</v>
      </c>
    </row>
    <row r="223" spans="1:8" ht="18" x14ac:dyDescent="0.35">
      <c r="A223" s="337"/>
      <c r="B223" s="514" t="s">
        <v>218</v>
      </c>
      <c r="C223" s="212" t="s">
        <v>52</v>
      </c>
      <c r="D223" s="213" t="s">
        <v>45</v>
      </c>
      <c r="E223" s="213" t="s">
        <v>43</v>
      </c>
      <c r="F223" s="214" t="s">
        <v>44</v>
      </c>
      <c r="G223" s="242"/>
      <c r="H223" s="221">
        <f>H224+H227+H230</f>
        <v>2787.6</v>
      </c>
    </row>
    <row r="224" spans="1:8" ht="18" x14ac:dyDescent="0.35">
      <c r="A224" s="337"/>
      <c r="B224" s="506" t="s">
        <v>277</v>
      </c>
      <c r="C224" s="212" t="s">
        <v>52</v>
      </c>
      <c r="D224" s="213" t="s">
        <v>45</v>
      </c>
      <c r="E224" s="213" t="s">
        <v>37</v>
      </c>
      <c r="F224" s="214" t="s">
        <v>44</v>
      </c>
      <c r="G224" s="242"/>
      <c r="H224" s="221">
        <f>H225</f>
        <v>342</v>
      </c>
    </row>
    <row r="225" spans="1:8" ht="36" x14ac:dyDescent="0.35">
      <c r="A225" s="337"/>
      <c r="B225" s="506" t="s">
        <v>278</v>
      </c>
      <c r="C225" s="212" t="s">
        <v>52</v>
      </c>
      <c r="D225" s="213" t="s">
        <v>45</v>
      </c>
      <c r="E225" s="213" t="s">
        <v>37</v>
      </c>
      <c r="F225" s="214" t="s">
        <v>279</v>
      </c>
      <c r="G225" s="28"/>
      <c r="H225" s="221">
        <f>H226</f>
        <v>342</v>
      </c>
    </row>
    <row r="226" spans="1:8" ht="18" x14ac:dyDescent="0.35">
      <c r="A226" s="337"/>
      <c r="B226" s="506" t="s">
        <v>120</v>
      </c>
      <c r="C226" s="212" t="s">
        <v>52</v>
      </c>
      <c r="D226" s="213" t="s">
        <v>45</v>
      </c>
      <c r="E226" s="213" t="s">
        <v>37</v>
      </c>
      <c r="F226" s="214" t="s">
        <v>279</v>
      </c>
      <c r="G226" s="28" t="s">
        <v>121</v>
      </c>
      <c r="H226" s="221">
        <f>'прил9 (ведом 23)'!M735+'прил9 (ведом 23)'!M769</f>
        <v>342</v>
      </c>
    </row>
    <row r="227" spans="1:8" ht="54" x14ac:dyDescent="0.35">
      <c r="A227" s="337"/>
      <c r="B227" s="506" t="s">
        <v>291</v>
      </c>
      <c r="C227" s="212" t="s">
        <v>52</v>
      </c>
      <c r="D227" s="213" t="s">
        <v>45</v>
      </c>
      <c r="E227" s="213" t="s">
        <v>39</v>
      </c>
      <c r="F227" s="214" t="s">
        <v>44</v>
      </c>
      <c r="G227" s="28"/>
      <c r="H227" s="221">
        <f>H228</f>
        <v>910.6</v>
      </c>
    </row>
    <row r="228" spans="1:8" ht="36" x14ac:dyDescent="0.35">
      <c r="A228" s="337"/>
      <c r="B228" s="506" t="s">
        <v>219</v>
      </c>
      <c r="C228" s="212" t="s">
        <v>52</v>
      </c>
      <c r="D228" s="213" t="s">
        <v>45</v>
      </c>
      <c r="E228" s="213" t="s">
        <v>39</v>
      </c>
      <c r="F228" s="214" t="s">
        <v>292</v>
      </c>
      <c r="G228" s="28"/>
      <c r="H228" s="221">
        <f>SUM(H229:H229)</f>
        <v>910.6</v>
      </c>
    </row>
    <row r="229" spans="1:8" ht="36" x14ac:dyDescent="0.35">
      <c r="A229" s="337"/>
      <c r="B229" s="506" t="s">
        <v>55</v>
      </c>
      <c r="C229" s="212" t="s">
        <v>52</v>
      </c>
      <c r="D229" s="213" t="s">
        <v>45</v>
      </c>
      <c r="E229" s="213" t="s">
        <v>39</v>
      </c>
      <c r="F229" s="214" t="s">
        <v>292</v>
      </c>
      <c r="G229" s="28" t="s">
        <v>56</v>
      </c>
      <c r="H229" s="221">
        <f>'прил9 (ведом 23)'!M756</f>
        <v>910.6</v>
      </c>
    </row>
    <row r="230" spans="1:8" ht="18" x14ac:dyDescent="0.35">
      <c r="A230" s="337"/>
      <c r="B230" s="510" t="s">
        <v>488</v>
      </c>
      <c r="C230" s="709" t="s">
        <v>52</v>
      </c>
      <c r="D230" s="710" t="s">
        <v>45</v>
      </c>
      <c r="E230" s="710" t="s">
        <v>487</v>
      </c>
      <c r="F230" s="711" t="s">
        <v>44</v>
      </c>
      <c r="G230" s="10"/>
      <c r="H230" s="221">
        <f>H231</f>
        <v>1535</v>
      </c>
    </row>
    <row r="231" spans="1:8" ht="36" x14ac:dyDescent="0.35">
      <c r="A231" s="337"/>
      <c r="B231" s="510" t="s">
        <v>489</v>
      </c>
      <c r="C231" s="709" t="s">
        <v>52</v>
      </c>
      <c r="D231" s="710" t="s">
        <v>45</v>
      </c>
      <c r="E231" s="710" t="s">
        <v>487</v>
      </c>
      <c r="F231" s="711" t="s">
        <v>499</v>
      </c>
      <c r="G231" s="10"/>
      <c r="H231" s="221">
        <f>H232</f>
        <v>1535</v>
      </c>
    </row>
    <row r="232" spans="1:8" ht="36" x14ac:dyDescent="0.35">
      <c r="A232" s="337"/>
      <c r="B232" s="510" t="s">
        <v>55</v>
      </c>
      <c r="C232" s="709" t="s">
        <v>52</v>
      </c>
      <c r="D232" s="710" t="s">
        <v>45</v>
      </c>
      <c r="E232" s="710" t="s">
        <v>487</v>
      </c>
      <c r="F232" s="711" t="s">
        <v>499</v>
      </c>
      <c r="G232" s="10" t="s">
        <v>56</v>
      </c>
      <c r="H232" s="221">
        <f>'прил9 (ведом 23)'!M759</f>
        <v>1535</v>
      </c>
    </row>
    <row r="233" spans="1:8" ht="18" x14ac:dyDescent="0.35">
      <c r="A233" s="337"/>
      <c r="B233" s="506" t="s">
        <v>220</v>
      </c>
      <c r="C233" s="212" t="s">
        <v>52</v>
      </c>
      <c r="D233" s="213" t="s">
        <v>89</v>
      </c>
      <c r="E233" s="213" t="s">
        <v>43</v>
      </c>
      <c r="F233" s="214" t="s">
        <v>44</v>
      </c>
      <c r="G233" s="242"/>
      <c r="H233" s="221">
        <f>H234+H239+H256+H259</f>
        <v>76829.600000000006</v>
      </c>
    </row>
    <row r="234" spans="1:8" ht="36" x14ac:dyDescent="0.35">
      <c r="A234" s="337"/>
      <c r="B234" s="506" t="s">
        <v>282</v>
      </c>
      <c r="C234" s="212" t="s">
        <v>52</v>
      </c>
      <c r="D234" s="213" t="s">
        <v>89</v>
      </c>
      <c r="E234" s="213" t="s">
        <v>37</v>
      </c>
      <c r="F234" s="214" t="s">
        <v>44</v>
      </c>
      <c r="G234" s="28"/>
      <c r="H234" s="221">
        <f>H235</f>
        <v>2971.1000000000004</v>
      </c>
    </row>
    <row r="235" spans="1:8" ht="36" x14ac:dyDescent="0.35">
      <c r="A235" s="337"/>
      <c r="B235" s="506" t="s">
        <v>47</v>
      </c>
      <c r="C235" s="212" t="s">
        <v>52</v>
      </c>
      <c r="D235" s="213" t="s">
        <v>89</v>
      </c>
      <c r="E235" s="213" t="s">
        <v>37</v>
      </c>
      <c r="F235" s="214" t="s">
        <v>48</v>
      </c>
      <c r="G235" s="28"/>
      <c r="H235" s="221">
        <f>SUM(H236:H238)</f>
        <v>2971.1000000000004</v>
      </c>
    </row>
    <row r="236" spans="1:8" ht="90" x14ac:dyDescent="0.35">
      <c r="A236" s="337"/>
      <c r="B236" s="506" t="s">
        <v>49</v>
      </c>
      <c r="C236" s="212" t="s">
        <v>52</v>
      </c>
      <c r="D236" s="213" t="s">
        <v>89</v>
      </c>
      <c r="E236" s="213" t="s">
        <v>37</v>
      </c>
      <c r="F236" s="214" t="s">
        <v>48</v>
      </c>
      <c r="G236" s="28" t="s">
        <v>50</v>
      </c>
      <c r="H236" s="221">
        <f>'прил9 (ведом 23)'!M791</f>
        <v>2910.9</v>
      </c>
    </row>
    <row r="237" spans="1:8" ht="36" x14ac:dyDescent="0.35">
      <c r="A237" s="337"/>
      <c r="B237" s="506" t="s">
        <v>55</v>
      </c>
      <c r="C237" s="212" t="s">
        <v>52</v>
      </c>
      <c r="D237" s="213" t="s">
        <v>89</v>
      </c>
      <c r="E237" s="213" t="s">
        <v>37</v>
      </c>
      <c r="F237" s="214" t="s">
        <v>48</v>
      </c>
      <c r="G237" s="28" t="s">
        <v>56</v>
      </c>
      <c r="H237" s="221">
        <f>'прил9 (ведом 23)'!M792</f>
        <v>58.3</v>
      </c>
    </row>
    <row r="238" spans="1:8" ht="18" x14ac:dyDescent="0.35">
      <c r="A238" s="337"/>
      <c r="B238" s="506" t="s">
        <v>57</v>
      </c>
      <c r="C238" s="212" t="s">
        <v>52</v>
      </c>
      <c r="D238" s="213" t="s">
        <v>89</v>
      </c>
      <c r="E238" s="213" t="s">
        <v>37</v>
      </c>
      <c r="F238" s="214" t="s">
        <v>48</v>
      </c>
      <c r="G238" s="28" t="s">
        <v>58</v>
      </c>
      <c r="H238" s="221">
        <f>'прил9 (ведом 23)'!M793</f>
        <v>1.9</v>
      </c>
    </row>
    <row r="239" spans="1:8" ht="18" x14ac:dyDescent="0.35">
      <c r="A239" s="337"/>
      <c r="B239" s="506" t="s">
        <v>361</v>
      </c>
      <c r="C239" s="212" t="s">
        <v>52</v>
      </c>
      <c r="D239" s="213" t="s">
        <v>89</v>
      </c>
      <c r="E239" s="213" t="s">
        <v>39</v>
      </c>
      <c r="F239" s="214" t="s">
        <v>44</v>
      </c>
      <c r="G239" s="28"/>
      <c r="H239" s="221">
        <f>H240+H252+H244+H246+H254+H250+H248</f>
        <v>69218.099999999991</v>
      </c>
    </row>
    <row r="240" spans="1:8" ht="36" x14ac:dyDescent="0.35">
      <c r="A240" s="337"/>
      <c r="B240" s="506" t="s">
        <v>464</v>
      </c>
      <c r="C240" s="212" t="s">
        <v>52</v>
      </c>
      <c r="D240" s="213" t="s">
        <v>89</v>
      </c>
      <c r="E240" s="213" t="s">
        <v>39</v>
      </c>
      <c r="F240" s="214" t="s">
        <v>91</v>
      </c>
      <c r="G240" s="28"/>
      <c r="H240" s="221">
        <f>SUM(H241:H243)</f>
        <v>34834.799999999996</v>
      </c>
    </row>
    <row r="241" spans="1:8" ht="90" x14ac:dyDescent="0.35">
      <c r="A241" s="337"/>
      <c r="B241" s="506" t="s">
        <v>49</v>
      </c>
      <c r="C241" s="212" t="s">
        <v>52</v>
      </c>
      <c r="D241" s="213" t="s">
        <v>89</v>
      </c>
      <c r="E241" s="213" t="s">
        <v>39</v>
      </c>
      <c r="F241" s="214" t="s">
        <v>91</v>
      </c>
      <c r="G241" s="28" t="s">
        <v>50</v>
      </c>
      <c r="H241" s="221">
        <f>'прил9 (ведом 23)'!M739+'прил9 (ведом 23)'!M773</f>
        <v>21920.400000000001</v>
      </c>
    </row>
    <row r="242" spans="1:8" ht="36" x14ac:dyDescent="0.35">
      <c r="A242" s="337"/>
      <c r="B242" s="506" t="s">
        <v>55</v>
      </c>
      <c r="C242" s="212" t="s">
        <v>52</v>
      </c>
      <c r="D242" s="213" t="s">
        <v>89</v>
      </c>
      <c r="E242" s="213" t="s">
        <v>39</v>
      </c>
      <c r="F242" s="214" t="s">
        <v>91</v>
      </c>
      <c r="G242" s="28" t="s">
        <v>56</v>
      </c>
      <c r="H242" s="221">
        <f>'прил9 (ведом 23)'!M740+'прил9 (ведом 23)'!M774</f>
        <v>11742.199999999997</v>
      </c>
    </row>
    <row r="243" spans="1:8" ht="18" x14ac:dyDescent="0.35">
      <c r="A243" s="337"/>
      <c r="B243" s="506" t="s">
        <v>57</v>
      </c>
      <c r="C243" s="212" t="s">
        <v>52</v>
      </c>
      <c r="D243" s="213" t="s">
        <v>89</v>
      </c>
      <c r="E243" s="213" t="s">
        <v>39</v>
      </c>
      <c r="F243" s="214" t="s">
        <v>91</v>
      </c>
      <c r="G243" s="28" t="s">
        <v>58</v>
      </c>
      <c r="H243" s="221">
        <f>'прил9 (ведом 23)'!M741+'прил9 (ведом 23)'!M775</f>
        <v>1172.1999999999998</v>
      </c>
    </row>
    <row r="244" spans="1:8" ht="50.25" customHeight="1" x14ac:dyDescent="0.35">
      <c r="A244" s="337"/>
      <c r="B244" s="507" t="s">
        <v>219</v>
      </c>
      <c r="C244" s="212" t="s">
        <v>52</v>
      </c>
      <c r="D244" s="213" t="s">
        <v>89</v>
      </c>
      <c r="E244" s="213" t="s">
        <v>39</v>
      </c>
      <c r="F244" s="214" t="s">
        <v>292</v>
      </c>
      <c r="G244" s="28"/>
      <c r="H244" s="221">
        <f>H245</f>
        <v>2043.2999999999997</v>
      </c>
    </row>
    <row r="245" spans="1:8" ht="36" x14ac:dyDescent="0.35">
      <c r="A245" s="337"/>
      <c r="B245" s="507" t="s">
        <v>55</v>
      </c>
      <c r="C245" s="212" t="s">
        <v>52</v>
      </c>
      <c r="D245" s="213" t="s">
        <v>89</v>
      </c>
      <c r="E245" s="213" t="s">
        <v>39</v>
      </c>
      <c r="F245" s="214" t="s">
        <v>292</v>
      </c>
      <c r="G245" s="28" t="s">
        <v>56</v>
      </c>
      <c r="H245" s="221">
        <f>'прил9 (ведом 23)'!M743+'прил9 (ведом 23)'!M777</f>
        <v>2043.2999999999997</v>
      </c>
    </row>
    <row r="246" spans="1:8" ht="180" x14ac:dyDescent="0.35">
      <c r="A246" s="337"/>
      <c r="B246" s="507" t="s">
        <v>435</v>
      </c>
      <c r="C246" s="212" t="s">
        <v>52</v>
      </c>
      <c r="D246" s="213" t="s">
        <v>89</v>
      </c>
      <c r="E246" s="213" t="s">
        <v>39</v>
      </c>
      <c r="F246" s="214" t="s">
        <v>388</v>
      </c>
      <c r="G246" s="28"/>
      <c r="H246" s="221">
        <f>H247</f>
        <v>15.599999999999994</v>
      </c>
    </row>
    <row r="247" spans="1:8" ht="90" x14ac:dyDescent="0.35">
      <c r="A247" s="337"/>
      <c r="B247" s="507" t="s">
        <v>49</v>
      </c>
      <c r="C247" s="212" t="s">
        <v>52</v>
      </c>
      <c r="D247" s="213" t="s">
        <v>89</v>
      </c>
      <c r="E247" s="213" t="s">
        <v>39</v>
      </c>
      <c r="F247" s="214" t="s">
        <v>388</v>
      </c>
      <c r="G247" s="28" t="s">
        <v>50</v>
      </c>
      <c r="H247" s="221">
        <f>'прил9 (ведом 23)'!M779</f>
        <v>15.599999999999994</v>
      </c>
    </row>
    <row r="248" spans="1:8" ht="54" x14ac:dyDescent="0.35">
      <c r="A248" s="337"/>
      <c r="B248" s="593" t="s">
        <v>695</v>
      </c>
      <c r="C248" s="709" t="s">
        <v>52</v>
      </c>
      <c r="D248" s="710" t="s">
        <v>89</v>
      </c>
      <c r="E248" s="710" t="s">
        <v>39</v>
      </c>
      <c r="F248" s="711" t="s">
        <v>694</v>
      </c>
      <c r="G248" s="10"/>
      <c r="H248" s="221">
        <f>H249</f>
        <v>388.9</v>
      </c>
    </row>
    <row r="249" spans="1:8" ht="36" x14ac:dyDescent="0.35">
      <c r="A249" s="337"/>
      <c r="B249" s="510" t="s">
        <v>55</v>
      </c>
      <c r="C249" s="709" t="s">
        <v>52</v>
      </c>
      <c r="D249" s="710" t="s">
        <v>89</v>
      </c>
      <c r="E249" s="710" t="s">
        <v>39</v>
      </c>
      <c r="F249" s="711" t="s">
        <v>694</v>
      </c>
      <c r="G249" s="10" t="s">
        <v>56</v>
      </c>
      <c r="H249" s="221">
        <f>'прил9 (ведом 23)'!M781</f>
        <v>388.9</v>
      </c>
    </row>
    <row r="250" spans="1:8" ht="72" x14ac:dyDescent="0.35">
      <c r="A250" s="337"/>
      <c r="B250" s="510" t="s">
        <v>738</v>
      </c>
      <c r="C250" s="709" t="s">
        <v>52</v>
      </c>
      <c r="D250" s="710" t="s">
        <v>89</v>
      </c>
      <c r="E250" s="710" t="s">
        <v>39</v>
      </c>
      <c r="F250" s="711" t="s">
        <v>737</v>
      </c>
      <c r="G250" s="10"/>
      <c r="H250" s="221">
        <f>H251</f>
        <v>24812</v>
      </c>
    </row>
    <row r="251" spans="1:8" ht="36" x14ac:dyDescent="0.35">
      <c r="A251" s="337"/>
      <c r="B251" s="510" t="s">
        <v>55</v>
      </c>
      <c r="C251" s="709" t="s">
        <v>52</v>
      </c>
      <c r="D251" s="710" t="s">
        <v>89</v>
      </c>
      <c r="E251" s="710" t="s">
        <v>39</v>
      </c>
      <c r="F251" s="711" t="s">
        <v>737</v>
      </c>
      <c r="G251" s="10" t="s">
        <v>56</v>
      </c>
      <c r="H251" s="221">
        <f>'прил9 (ведом 23)'!M763</f>
        <v>24812</v>
      </c>
    </row>
    <row r="252" spans="1:8" ht="54" x14ac:dyDescent="0.35">
      <c r="A252" s="337"/>
      <c r="B252" s="507" t="s">
        <v>437</v>
      </c>
      <c r="C252" s="212" t="s">
        <v>52</v>
      </c>
      <c r="D252" s="213" t="s">
        <v>89</v>
      </c>
      <c r="E252" s="213" t="s">
        <v>39</v>
      </c>
      <c r="F252" s="214" t="s">
        <v>408</v>
      </c>
      <c r="G252" s="28"/>
      <c r="H252" s="221">
        <f>H253</f>
        <v>2003.5</v>
      </c>
    </row>
    <row r="253" spans="1:8" ht="90" x14ac:dyDescent="0.35">
      <c r="A253" s="337"/>
      <c r="B253" s="507" t="s">
        <v>49</v>
      </c>
      <c r="C253" s="212" t="s">
        <v>52</v>
      </c>
      <c r="D253" s="213" t="s">
        <v>89</v>
      </c>
      <c r="E253" s="213" t="s">
        <v>39</v>
      </c>
      <c r="F253" s="214" t="s">
        <v>408</v>
      </c>
      <c r="G253" s="28" t="s">
        <v>50</v>
      </c>
      <c r="H253" s="221">
        <f>'прил9 (ведом 23)'!M783</f>
        <v>2003.5</v>
      </c>
    </row>
    <row r="254" spans="1:8" ht="144" x14ac:dyDescent="0.35">
      <c r="A254" s="337"/>
      <c r="B254" s="507" t="s">
        <v>577</v>
      </c>
      <c r="C254" s="212" t="s">
        <v>52</v>
      </c>
      <c r="D254" s="213" t="s">
        <v>89</v>
      </c>
      <c r="E254" s="213" t="s">
        <v>39</v>
      </c>
      <c r="F254" s="214" t="s">
        <v>576</v>
      </c>
      <c r="G254" s="28"/>
      <c r="H254" s="221">
        <f>H255</f>
        <v>5120</v>
      </c>
    </row>
    <row r="255" spans="1:8" ht="36" x14ac:dyDescent="0.35">
      <c r="A255" s="337"/>
      <c r="B255" s="507" t="s">
        <v>55</v>
      </c>
      <c r="C255" s="212" t="s">
        <v>52</v>
      </c>
      <c r="D255" s="213" t="s">
        <v>89</v>
      </c>
      <c r="E255" s="213" t="s">
        <v>39</v>
      </c>
      <c r="F255" s="214" t="s">
        <v>576</v>
      </c>
      <c r="G255" s="28" t="s">
        <v>56</v>
      </c>
      <c r="H255" s="221">
        <f>'прил9 (ведом 23)'!M785</f>
        <v>5120</v>
      </c>
    </row>
    <row r="256" spans="1:8" ht="36" x14ac:dyDescent="0.35">
      <c r="A256" s="337"/>
      <c r="B256" s="507" t="s">
        <v>351</v>
      </c>
      <c r="C256" s="212" t="s">
        <v>52</v>
      </c>
      <c r="D256" s="213" t="s">
        <v>89</v>
      </c>
      <c r="E256" s="213" t="s">
        <v>63</v>
      </c>
      <c r="F256" s="214" t="s">
        <v>44</v>
      </c>
      <c r="G256" s="28"/>
      <c r="H256" s="221">
        <f>H257</f>
        <v>60.8</v>
      </c>
    </row>
    <row r="257" spans="1:8" ht="54" x14ac:dyDescent="0.35">
      <c r="A257" s="337"/>
      <c r="B257" s="519" t="s">
        <v>352</v>
      </c>
      <c r="C257" s="212" t="s">
        <v>52</v>
      </c>
      <c r="D257" s="213" t="s">
        <v>89</v>
      </c>
      <c r="E257" s="213" t="s">
        <v>63</v>
      </c>
      <c r="F257" s="214" t="s">
        <v>105</v>
      </c>
      <c r="G257" s="28"/>
      <c r="H257" s="221">
        <f>H258</f>
        <v>60.8</v>
      </c>
    </row>
    <row r="258" spans="1:8" ht="36" x14ac:dyDescent="0.35">
      <c r="A258" s="337"/>
      <c r="B258" s="507" t="s">
        <v>55</v>
      </c>
      <c r="C258" s="212" t="s">
        <v>52</v>
      </c>
      <c r="D258" s="213" t="s">
        <v>89</v>
      </c>
      <c r="E258" s="213" t="s">
        <v>63</v>
      </c>
      <c r="F258" s="214" t="s">
        <v>105</v>
      </c>
      <c r="G258" s="28" t="s">
        <v>56</v>
      </c>
      <c r="H258" s="221">
        <f>'прил9 (ведом 23)'!M728</f>
        <v>60.8</v>
      </c>
    </row>
    <row r="259" spans="1:8" ht="18" x14ac:dyDescent="0.35">
      <c r="A259" s="337"/>
      <c r="B259" s="507" t="s">
        <v>564</v>
      </c>
      <c r="C259" s="212" t="s">
        <v>52</v>
      </c>
      <c r="D259" s="213" t="s">
        <v>89</v>
      </c>
      <c r="E259" s="213" t="s">
        <v>52</v>
      </c>
      <c r="F259" s="214" t="s">
        <v>44</v>
      </c>
      <c r="G259" s="28"/>
      <c r="H259" s="221">
        <f>H260+H264</f>
        <v>4579.5999999999995</v>
      </c>
    </row>
    <row r="260" spans="1:8" ht="36" x14ac:dyDescent="0.35">
      <c r="A260" s="337"/>
      <c r="B260" s="507" t="s">
        <v>464</v>
      </c>
      <c r="C260" s="212" t="s">
        <v>52</v>
      </c>
      <c r="D260" s="213" t="s">
        <v>89</v>
      </c>
      <c r="E260" s="213" t="s">
        <v>52</v>
      </c>
      <c r="F260" s="214" t="s">
        <v>91</v>
      </c>
      <c r="G260" s="28"/>
      <c r="H260" s="221">
        <f>H261+H262+H263</f>
        <v>3677.2999999999997</v>
      </c>
    </row>
    <row r="261" spans="1:8" ht="90" x14ac:dyDescent="0.35">
      <c r="A261" s="337"/>
      <c r="B261" s="507" t="s">
        <v>49</v>
      </c>
      <c r="C261" s="212" t="s">
        <v>52</v>
      </c>
      <c r="D261" s="213" t="s">
        <v>89</v>
      </c>
      <c r="E261" s="213" t="s">
        <v>52</v>
      </c>
      <c r="F261" s="214" t="s">
        <v>91</v>
      </c>
      <c r="G261" s="28" t="s">
        <v>50</v>
      </c>
      <c r="H261" s="221">
        <f>'прил9 (ведом 23)'!M746</f>
        <v>2045</v>
      </c>
    </row>
    <row r="262" spans="1:8" ht="36" x14ac:dyDescent="0.35">
      <c r="A262" s="337"/>
      <c r="B262" s="507" t="s">
        <v>55</v>
      </c>
      <c r="C262" s="212" t="s">
        <v>52</v>
      </c>
      <c r="D262" s="213" t="s">
        <v>89</v>
      </c>
      <c r="E262" s="213" t="s">
        <v>52</v>
      </c>
      <c r="F262" s="214" t="s">
        <v>91</v>
      </c>
      <c r="G262" s="28" t="s">
        <v>56</v>
      </c>
      <c r="H262" s="221">
        <f>'прил9 (ведом 23)'!M747</f>
        <v>1623.6</v>
      </c>
    </row>
    <row r="263" spans="1:8" ht="18" x14ac:dyDescent="0.35">
      <c r="A263" s="337"/>
      <c r="B263" s="507" t="s">
        <v>57</v>
      </c>
      <c r="C263" s="212" t="s">
        <v>52</v>
      </c>
      <c r="D263" s="213" t="s">
        <v>89</v>
      </c>
      <c r="E263" s="213" t="s">
        <v>52</v>
      </c>
      <c r="F263" s="214" t="s">
        <v>91</v>
      </c>
      <c r="G263" s="28" t="s">
        <v>58</v>
      </c>
      <c r="H263" s="221">
        <f>'прил9 (ведом 23)'!M748</f>
        <v>8.6999999999999993</v>
      </c>
    </row>
    <row r="264" spans="1:8" ht="36" x14ac:dyDescent="0.35">
      <c r="A264" s="337"/>
      <c r="B264" s="507" t="s">
        <v>219</v>
      </c>
      <c r="C264" s="212" t="s">
        <v>52</v>
      </c>
      <c r="D264" s="213" t="s">
        <v>89</v>
      </c>
      <c r="E264" s="213" t="s">
        <v>52</v>
      </c>
      <c r="F264" s="214" t="s">
        <v>292</v>
      </c>
      <c r="G264" s="28"/>
      <c r="H264" s="221">
        <f>H265</f>
        <v>902.3</v>
      </c>
    </row>
    <row r="265" spans="1:8" ht="36" x14ac:dyDescent="0.35">
      <c r="A265" s="337"/>
      <c r="B265" s="507" t="s">
        <v>55</v>
      </c>
      <c r="C265" s="212" t="s">
        <v>52</v>
      </c>
      <c r="D265" s="213" t="s">
        <v>89</v>
      </c>
      <c r="E265" s="213" t="s">
        <v>52</v>
      </c>
      <c r="F265" s="214" t="s">
        <v>292</v>
      </c>
      <c r="G265" s="28" t="s">
        <v>56</v>
      </c>
      <c r="H265" s="221">
        <f>'прил9 (ведом 23)'!M750</f>
        <v>902.3</v>
      </c>
    </row>
    <row r="266" spans="1:8" ht="18" x14ac:dyDescent="0.35">
      <c r="A266" s="337"/>
      <c r="B266" s="507" t="s">
        <v>339</v>
      </c>
      <c r="C266" s="212" t="s">
        <v>52</v>
      </c>
      <c r="D266" s="213" t="s">
        <v>31</v>
      </c>
      <c r="E266" s="213" t="s">
        <v>43</v>
      </c>
      <c r="F266" s="214" t="s">
        <v>44</v>
      </c>
      <c r="G266" s="28"/>
      <c r="H266" s="221">
        <f>H267</f>
        <v>74276.5</v>
      </c>
    </row>
    <row r="267" spans="1:8" ht="54" x14ac:dyDescent="0.35">
      <c r="A267" s="337"/>
      <c r="B267" s="507" t="s">
        <v>409</v>
      </c>
      <c r="C267" s="212" t="s">
        <v>52</v>
      </c>
      <c r="D267" s="213" t="s">
        <v>31</v>
      </c>
      <c r="E267" s="213" t="s">
        <v>63</v>
      </c>
      <c r="F267" s="214" t="s">
        <v>44</v>
      </c>
      <c r="G267" s="28"/>
      <c r="H267" s="221">
        <f>H268+H270</f>
        <v>74276.5</v>
      </c>
    </row>
    <row r="268" spans="1:8" ht="36" x14ac:dyDescent="0.35">
      <c r="A268" s="337"/>
      <c r="B268" s="507" t="s">
        <v>219</v>
      </c>
      <c r="C268" s="212" t="s">
        <v>52</v>
      </c>
      <c r="D268" s="213" t="s">
        <v>31</v>
      </c>
      <c r="E268" s="213" t="s">
        <v>63</v>
      </c>
      <c r="F268" s="214" t="s">
        <v>292</v>
      </c>
      <c r="G268" s="28"/>
      <c r="H268" s="221">
        <f>H269</f>
        <v>695.20000000000016</v>
      </c>
    </row>
    <row r="269" spans="1:8" ht="36" x14ac:dyDescent="0.35">
      <c r="A269" s="337"/>
      <c r="B269" s="507" t="s">
        <v>203</v>
      </c>
      <c r="C269" s="212" t="s">
        <v>52</v>
      </c>
      <c r="D269" s="213" t="s">
        <v>31</v>
      </c>
      <c r="E269" s="213" t="s">
        <v>63</v>
      </c>
      <c r="F269" s="214" t="s">
        <v>292</v>
      </c>
      <c r="G269" s="28" t="s">
        <v>204</v>
      </c>
      <c r="H269" s="221">
        <f>'прил9 (ведом 23)'!M436</f>
        <v>695.20000000000016</v>
      </c>
    </row>
    <row r="270" spans="1:8" ht="108" x14ac:dyDescent="0.35">
      <c r="A270" s="337"/>
      <c r="B270" s="507" t="s">
        <v>503</v>
      </c>
      <c r="C270" s="365" t="s">
        <v>52</v>
      </c>
      <c r="D270" s="365" t="s">
        <v>31</v>
      </c>
      <c r="E270" s="365" t="s">
        <v>63</v>
      </c>
      <c r="F270" s="366" t="s">
        <v>502</v>
      </c>
      <c r="G270" s="28"/>
      <c r="H270" s="221">
        <f>H271</f>
        <v>73581.3</v>
      </c>
    </row>
    <row r="271" spans="1:8" ht="36" x14ac:dyDescent="0.35">
      <c r="A271" s="337"/>
      <c r="B271" s="507" t="s">
        <v>203</v>
      </c>
      <c r="C271" s="365" t="s">
        <v>52</v>
      </c>
      <c r="D271" s="365" t="s">
        <v>31</v>
      </c>
      <c r="E271" s="365" t="s">
        <v>63</v>
      </c>
      <c r="F271" s="366" t="s">
        <v>502</v>
      </c>
      <c r="G271" s="28" t="s">
        <v>204</v>
      </c>
      <c r="H271" s="221">
        <f>'прил9 (ведом 23)'!M438</f>
        <v>73581.3</v>
      </c>
    </row>
    <row r="272" spans="1:8" s="347" customFormat="1" ht="52.2" x14ac:dyDescent="0.3">
      <c r="A272" s="352">
        <v>4</v>
      </c>
      <c r="B272" s="505" t="s">
        <v>221</v>
      </c>
      <c r="C272" s="344" t="s">
        <v>65</v>
      </c>
      <c r="D272" s="344" t="s">
        <v>42</v>
      </c>
      <c r="E272" s="344" t="s">
        <v>43</v>
      </c>
      <c r="F272" s="345" t="s">
        <v>44</v>
      </c>
      <c r="G272" s="346"/>
      <c r="H272" s="258">
        <f>H273+H281</f>
        <v>9738.27</v>
      </c>
    </row>
    <row r="273" spans="1:8" s="347" customFormat="1" ht="18" x14ac:dyDescent="0.35">
      <c r="A273" s="337"/>
      <c r="B273" s="506" t="s">
        <v>222</v>
      </c>
      <c r="C273" s="212" t="s">
        <v>65</v>
      </c>
      <c r="D273" s="213" t="s">
        <v>45</v>
      </c>
      <c r="E273" s="213" t="s">
        <v>43</v>
      </c>
      <c r="F273" s="214" t="s">
        <v>44</v>
      </c>
      <c r="G273" s="242"/>
      <c r="H273" s="221">
        <f>H274</f>
        <v>5856.9699999999993</v>
      </c>
    </row>
    <row r="274" spans="1:8" s="347" customFormat="1" ht="72" x14ac:dyDescent="0.35">
      <c r="A274" s="337"/>
      <c r="B274" s="506" t="s">
        <v>287</v>
      </c>
      <c r="C274" s="212" t="s">
        <v>65</v>
      </c>
      <c r="D274" s="213" t="s">
        <v>45</v>
      </c>
      <c r="E274" s="213" t="s">
        <v>37</v>
      </c>
      <c r="F274" s="214" t="s">
        <v>44</v>
      </c>
      <c r="G274" s="28"/>
      <c r="H274" s="221">
        <f>H275+H279</f>
        <v>5856.9699999999993</v>
      </c>
    </row>
    <row r="275" spans="1:8" ht="36" x14ac:dyDescent="0.35">
      <c r="A275" s="337"/>
      <c r="B275" s="506" t="s">
        <v>464</v>
      </c>
      <c r="C275" s="212" t="s">
        <v>65</v>
      </c>
      <c r="D275" s="213" t="s">
        <v>45</v>
      </c>
      <c r="E275" s="213" t="s">
        <v>37</v>
      </c>
      <c r="F275" s="214" t="s">
        <v>91</v>
      </c>
      <c r="G275" s="28"/>
      <c r="H275" s="221">
        <f>H276+H277+H278</f>
        <v>4303.7</v>
      </c>
    </row>
    <row r="276" spans="1:8" ht="90" x14ac:dyDescent="0.35">
      <c r="A276" s="337"/>
      <c r="B276" s="506" t="s">
        <v>49</v>
      </c>
      <c r="C276" s="212" t="s">
        <v>65</v>
      </c>
      <c r="D276" s="213" t="s">
        <v>45</v>
      </c>
      <c r="E276" s="213" t="s">
        <v>37</v>
      </c>
      <c r="F276" s="214" t="s">
        <v>91</v>
      </c>
      <c r="G276" s="28" t="s">
        <v>50</v>
      </c>
      <c r="H276" s="221">
        <f>'прил9 (ведом 23)'!M815</f>
        <v>3877.2999999999997</v>
      </c>
    </row>
    <row r="277" spans="1:8" ht="36" x14ac:dyDescent="0.35">
      <c r="A277" s="337"/>
      <c r="B277" s="506" t="s">
        <v>55</v>
      </c>
      <c r="C277" s="212" t="s">
        <v>65</v>
      </c>
      <c r="D277" s="213" t="s">
        <v>45</v>
      </c>
      <c r="E277" s="213" t="s">
        <v>37</v>
      </c>
      <c r="F277" s="214" t="s">
        <v>91</v>
      </c>
      <c r="G277" s="28" t="s">
        <v>56</v>
      </c>
      <c r="H277" s="221">
        <f>'прил9 (ведом 23)'!M816</f>
        <v>383.7</v>
      </c>
    </row>
    <row r="278" spans="1:8" ht="18" x14ac:dyDescent="0.35">
      <c r="A278" s="337"/>
      <c r="B278" s="507" t="s">
        <v>57</v>
      </c>
      <c r="C278" s="212" t="s">
        <v>65</v>
      </c>
      <c r="D278" s="213" t="s">
        <v>45</v>
      </c>
      <c r="E278" s="213" t="s">
        <v>37</v>
      </c>
      <c r="F278" s="214" t="s">
        <v>91</v>
      </c>
      <c r="G278" s="28" t="s">
        <v>58</v>
      </c>
      <c r="H278" s="221">
        <f>'прил9 (ведом 23)'!M817</f>
        <v>42.7</v>
      </c>
    </row>
    <row r="279" spans="1:8" ht="36" x14ac:dyDescent="0.35">
      <c r="A279" s="337"/>
      <c r="B279" s="506" t="s">
        <v>288</v>
      </c>
      <c r="C279" s="212" t="s">
        <v>65</v>
      </c>
      <c r="D279" s="213" t="s">
        <v>45</v>
      </c>
      <c r="E279" s="213" t="s">
        <v>37</v>
      </c>
      <c r="F279" s="214" t="s">
        <v>289</v>
      </c>
      <c r="G279" s="28"/>
      <c r="H279" s="221">
        <f>H280</f>
        <v>1553.27</v>
      </c>
    </row>
    <row r="280" spans="1:8" ht="36" x14ac:dyDescent="0.35">
      <c r="A280" s="337"/>
      <c r="B280" s="506" t="s">
        <v>55</v>
      </c>
      <c r="C280" s="212" t="s">
        <v>65</v>
      </c>
      <c r="D280" s="213" t="s">
        <v>45</v>
      </c>
      <c r="E280" s="213" t="s">
        <v>37</v>
      </c>
      <c r="F280" s="214" t="s">
        <v>289</v>
      </c>
      <c r="G280" s="28" t="s">
        <v>56</v>
      </c>
      <c r="H280" s="221">
        <f>'прил9 (ведом 23)'!M819</f>
        <v>1553.27</v>
      </c>
    </row>
    <row r="281" spans="1:8" s="347" customFormat="1" ht="30.75" customHeight="1" x14ac:dyDescent="0.35">
      <c r="A281" s="337"/>
      <c r="B281" s="506" t="s">
        <v>220</v>
      </c>
      <c r="C281" s="212" t="s">
        <v>65</v>
      </c>
      <c r="D281" s="213" t="s">
        <v>89</v>
      </c>
      <c r="E281" s="213" t="s">
        <v>43</v>
      </c>
      <c r="F281" s="214" t="s">
        <v>44</v>
      </c>
      <c r="G281" s="28"/>
      <c r="H281" s="221">
        <f>H282+H287+H290+H293</f>
        <v>3881.3</v>
      </c>
    </row>
    <row r="282" spans="1:8" s="347" customFormat="1" ht="36" x14ac:dyDescent="0.35">
      <c r="A282" s="337"/>
      <c r="B282" s="506" t="s">
        <v>282</v>
      </c>
      <c r="C282" s="212" t="s">
        <v>65</v>
      </c>
      <c r="D282" s="213" t="s">
        <v>89</v>
      </c>
      <c r="E282" s="213" t="s">
        <v>37</v>
      </c>
      <c r="F282" s="214" t="s">
        <v>44</v>
      </c>
      <c r="G282" s="28"/>
      <c r="H282" s="221">
        <f>H283</f>
        <v>3642.7000000000003</v>
      </c>
    </row>
    <row r="283" spans="1:8" s="347" customFormat="1" ht="36" x14ac:dyDescent="0.35">
      <c r="A283" s="337"/>
      <c r="B283" s="506" t="s">
        <v>47</v>
      </c>
      <c r="C283" s="212" t="s">
        <v>65</v>
      </c>
      <c r="D283" s="213" t="s">
        <v>89</v>
      </c>
      <c r="E283" s="213" t="s">
        <v>37</v>
      </c>
      <c r="F283" s="214" t="s">
        <v>48</v>
      </c>
      <c r="G283" s="28"/>
      <c r="H283" s="221">
        <f>SUM(H284:H286)</f>
        <v>3642.7000000000003</v>
      </c>
    </row>
    <row r="284" spans="1:8" s="347" customFormat="1" ht="90" x14ac:dyDescent="0.35">
      <c r="A284" s="337"/>
      <c r="B284" s="506" t="s">
        <v>49</v>
      </c>
      <c r="C284" s="212" t="s">
        <v>65</v>
      </c>
      <c r="D284" s="213" t="s">
        <v>89</v>
      </c>
      <c r="E284" s="213" t="s">
        <v>37</v>
      </c>
      <c r="F284" s="214" t="s">
        <v>48</v>
      </c>
      <c r="G284" s="28" t="s">
        <v>50</v>
      </c>
      <c r="H284" s="221">
        <f>'прил9 (ведом 23)'!M825</f>
        <v>3222.8</v>
      </c>
    </row>
    <row r="285" spans="1:8" ht="36" x14ac:dyDescent="0.35">
      <c r="A285" s="337"/>
      <c r="B285" s="506" t="s">
        <v>55</v>
      </c>
      <c r="C285" s="212" t="s">
        <v>65</v>
      </c>
      <c r="D285" s="213" t="s">
        <v>89</v>
      </c>
      <c r="E285" s="213" t="s">
        <v>37</v>
      </c>
      <c r="F285" s="214" t="s">
        <v>48</v>
      </c>
      <c r="G285" s="28" t="s">
        <v>56</v>
      </c>
      <c r="H285" s="221">
        <f>'прил9 (ведом 23)'!M826</f>
        <v>418.59999999999997</v>
      </c>
    </row>
    <row r="286" spans="1:8" ht="18" x14ac:dyDescent="0.35">
      <c r="A286" s="337"/>
      <c r="B286" s="506" t="s">
        <v>57</v>
      </c>
      <c r="C286" s="212" t="s">
        <v>65</v>
      </c>
      <c r="D286" s="213" t="s">
        <v>89</v>
      </c>
      <c r="E286" s="213" t="s">
        <v>37</v>
      </c>
      <c r="F286" s="214" t="s">
        <v>48</v>
      </c>
      <c r="G286" s="28" t="s">
        <v>58</v>
      </c>
      <c r="H286" s="221">
        <f>'прил9 (ведом 23)'!M827</f>
        <v>1.3</v>
      </c>
    </row>
    <row r="287" spans="1:8" ht="36" x14ac:dyDescent="0.35">
      <c r="A287" s="337"/>
      <c r="B287" s="519" t="s">
        <v>351</v>
      </c>
      <c r="C287" s="213" t="s">
        <v>65</v>
      </c>
      <c r="D287" s="213" t="s">
        <v>89</v>
      </c>
      <c r="E287" s="213" t="s">
        <v>39</v>
      </c>
      <c r="F287" s="214" t="s">
        <v>44</v>
      </c>
      <c r="G287" s="28"/>
      <c r="H287" s="221">
        <f>H288</f>
        <v>179.6</v>
      </c>
    </row>
    <row r="288" spans="1:8" ht="54" x14ac:dyDescent="0.35">
      <c r="A288" s="337"/>
      <c r="B288" s="519" t="s">
        <v>352</v>
      </c>
      <c r="C288" s="212" t="s">
        <v>65</v>
      </c>
      <c r="D288" s="213" t="s">
        <v>89</v>
      </c>
      <c r="E288" s="213" t="s">
        <v>39</v>
      </c>
      <c r="F288" s="214" t="s">
        <v>105</v>
      </c>
      <c r="G288" s="28"/>
      <c r="H288" s="221">
        <f>H289</f>
        <v>179.6</v>
      </c>
    </row>
    <row r="289" spans="1:8" ht="36" x14ac:dyDescent="0.35">
      <c r="A289" s="337"/>
      <c r="B289" s="519" t="s">
        <v>55</v>
      </c>
      <c r="C289" s="212" t="s">
        <v>65</v>
      </c>
      <c r="D289" s="213" t="s">
        <v>89</v>
      </c>
      <c r="E289" s="213" t="s">
        <v>39</v>
      </c>
      <c r="F289" s="214" t="s">
        <v>105</v>
      </c>
      <c r="G289" s="28" t="s">
        <v>56</v>
      </c>
      <c r="H289" s="221">
        <f>'прил9 (ведом 23)'!M802</f>
        <v>179.6</v>
      </c>
    </row>
    <row r="290" spans="1:8" ht="36" x14ac:dyDescent="0.35">
      <c r="A290" s="337"/>
      <c r="B290" s="507" t="s">
        <v>468</v>
      </c>
      <c r="C290" s="213" t="s">
        <v>65</v>
      </c>
      <c r="D290" s="213" t="s">
        <v>89</v>
      </c>
      <c r="E290" s="213" t="s">
        <v>63</v>
      </c>
      <c r="F290" s="214" t="s">
        <v>44</v>
      </c>
      <c r="G290" s="28"/>
      <c r="H290" s="221">
        <f>H291</f>
        <v>14.8</v>
      </c>
    </row>
    <row r="291" spans="1:8" ht="18" x14ac:dyDescent="0.35">
      <c r="A291" s="337"/>
      <c r="B291" s="507" t="s">
        <v>466</v>
      </c>
      <c r="C291" s="213" t="s">
        <v>65</v>
      </c>
      <c r="D291" s="213" t="s">
        <v>89</v>
      </c>
      <c r="E291" s="213" t="s">
        <v>63</v>
      </c>
      <c r="F291" s="214" t="s">
        <v>467</v>
      </c>
      <c r="G291" s="28"/>
      <c r="H291" s="221">
        <f>H292</f>
        <v>14.8</v>
      </c>
    </row>
    <row r="292" spans="1:8" ht="36" x14ac:dyDescent="0.35">
      <c r="A292" s="337"/>
      <c r="B292" s="519" t="s">
        <v>55</v>
      </c>
      <c r="C292" s="213" t="s">
        <v>65</v>
      </c>
      <c r="D292" s="213" t="s">
        <v>89</v>
      </c>
      <c r="E292" s="213" t="s">
        <v>63</v>
      </c>
      <c r="F292" s="214" t="s">
        <v>467</v>
      </c>
      <c r="G292" s="28" t="s">
        <v>56</v>
      </c>
      <c r="H292" s="221">
        <f>'прил9 (ведом 23)'!M805</f>
        <v>14.8</v>
      </c>
    </row>
    <row r="293" spans="1:8" ht="36" x14ac:dyDescent="0.35">
      <c r="A293" s="337"/>
      <c r="B293" s="519" t="s">
        <v>471</v>
      </c>
      <c r="C293" s="213" t="s">
        <v>65</v>
      </c>
      <c r="D293" s="213" t="s">
        <v>89</v>
      </c>
      <c r="E293" s="213" t="s">
        <v>52</v>
      </c>
      <c r="F293" s="704" t="s">
        <v>44</v>
      </c>
      <c r="G293" s="242"/>
      <c r="H293" s="221">
        <f>H294</f>
        <v>44.2</v>
      </c>
    </row>
    <row r="294" spans="1:8" ht="36" x14ac:dyDescent="0.35">
      <c r="A294" s="337"/>
      <c r="B294" s="520" t="s">
        <v>127</v>
      </c>
      <c r="C294" s="213" t="s">
        <v>65</v>
      </c>
      <c r="D294" s="213" t="s">
        <v>89</v>
      </c>
      <c r="E294" s="213" t="s">
        <v>52</v>
      </c>
      <c r="F294" s="361" t="s">
        <v>90</v>
      </c>
      <c r="G294" s="242"/>
      <c r="H294" s="221">
        <f>H295</f>
        <v>44.2</v>
      </c>
    </row>
    <row r="295" spans="1:8" ht="36" x14ac:dyDescent="0.35">
      <c r="A295" s="337"/>
      <c r="B295" s="519" t="s">
        <v>55</v>
      </c>
      <c r="C295" s="213" t="s">
        <v>65</v>
      </c>
      <c r="D295" s="213" t="s">
        <v>89</v>
      </c>
      <c r="E295" s="213" t="s">
        <v>52</v>
      </c>
      <c r="F295" s="704" t="s">
        <v>90</v>
      </c>
      <c r="G295" s="242" t="s">
        <v>56</v>
      </c>
      <c r="H295" s="221">
        <f>'прил9 (ведом 23)'!M808</f>
        <v>44.2</v>
      </c>
    </row>
    <row r="296" spans="1:8" ht="18" x14ac:dyDescent="0.35">
      <c r="A296" s="337"/>
      <c r="B296" s="519"/>
      <c r="C296" s="212"/>
      <c r="D296" s="213"/>
      <c r="E296" s="213"/>
      <c r="F296" s="704"/>
      <c r="G296" s="242"/>
      <c r="H296" s="221"/>
    </row>
    <row r="297" spans="1:8" s="347" customFormat="1" ht="52.2" x14ac:dyDescent="0.3">
      <c r="A297" s="352">
        <v>5</v>
      </c>
      <c r="B297" s="505" t="s">
        <v>80</v>
      </c>
      <c r="C297" s="353" t="s">
        <v>81</v>
      </c>
      <c r="D297" s="353" t="s">
        <v>42</v>
      </c>
      <c r="E297" s="353" t="s">
        <v>43</v>
      </c>
      <c r="F297" s="354" t="s">
        <v>44</v>
      </c>
      <c r="G297" s="346"/>
      <c r="H297" s="258">
        <f>H308+H298+H322+H331</f>
        <v>24497.047999999992</v>
      </c>
    </row>
    <row r="298" spans="1:8" ht="54" x14ac:dyDescent="0.35">
      <c r="A298" s="337"/>
      <c r="B298" s="514" t="s">
        <v>82</v>
      </c>
      <c r="C298" s="212" t="s">
        <v>81</v>
      </c>
      <c r="D298" s="213" t="s">
        <v>45</v>
      </c>
      <c r="E298" s="213" t="s">
        <v>43</v>
      </c>
      <c r="F298" s="214" t="s">
        <v>44</v>
      </c>
      <c r="G298" s="242"/>
      <c r="H298" s="221">
        <f>H299</f>
        <v>9493.3999999999978</v>
      </c>
    </row>
    <row r="299" spans="1:8" ht="72" x14ac:dyDescent="0.35">
      <c r="A299" s="337"/>
      <c r="B299" s="506" t="s">
        <v>83</v>
      </c>
      <c r="C299" s="212" t="s">
        <v>81</v>
      </c>
      <c r="D299" s="213" t="s">
        <v>45</v>
      </c>
      <c r="E299" s="213" t="s">
        <v>37</v>
      </c>
      <c r="F299" s="214" t="s">
        <v>44</v>
      </c>
      <c r="G299" s="28"/>
      <c r="H299" s="221">
        <f>H300+H302+H304+H306</f>
        <v>9493.3999999999978</v>
      </c>
    </row>
    <row r="300" spans="1:8" ht="36" x14ac:dyDescent="0.35">
      <c r="A300" s="337"/>
      <c r="B300" s="514" t="s">
        <v>450</v>
      </c>
      <c r="C300" s="212" t="s">
        <v>81</v>
      </c>
      <c r="D300" s="213" t="s">
        <v>45</v>
      </c>
      <c r="E300" s="213" t="s">
        <v>37</v>
      </c>
      <c r="F300" s="214" t="s">
        <v>84</v>
      </c>
      <c r="G300" s="28"/>
      <c r="H300" s="221">
        <f>H301</f>
        <v>298.39999999999998</v>
      </c>
    </row>
    <row r="301" spans="1:8" ht="36" x14ac:dyDescent="0.35">
      <c r="A301" s="337"/>
      <c r="B301" s="506" t="s">
        <v>55</v>
      </c>
      <c r="C301" s="212" t="s">
        <v>81</v>
      </c>
      <c r="D301" s="213" t="s">
        <v>45</v>
      </c>
      <c r="E301" s="213" t="s">
        <v>37</v>
      </c>
      <c r="F301" s="214" t="s">
        <v>84</v>
      </c>
      <c r="G301" s="28" t="s">
        <v>56</v>
      </c>
      <c r="H301" s="221">
        <f>'прил9 (ведом 23)'!M100</f>
        <v>298.39999999999998</v>
      </c>
    </row>
    <row r="302" spans="1:8" ht="36" x14ac:dyDescent="0.35">
      <c r="A302" s="337"/>
      <c r="B302" s="506" t="s">
        <v>85</v>
      </c>
      <c r="C302" s="212" t="s">
        <v>81</v>
      </c>
      <c r="D302" s="213" t="s">
        <v>45</v>
      </c>
      <c r="E302" s="213" t="s">
        <v>37</v>
      </c>
      <c r="F302" s="214" t="s">
        <v>86</v>
      </c>
      <c r="G302" s="28"/>
      <c r="H302" s="221">
        <f>H303</f>
        <v>63.9</v>
      </c>
    </row>
    <row r="303" spans="1:8" ht="36" x14ac:dyDescent="0.35">
      <c r="A303" s="337"/>
      <c r="B303" s="506" t="s">
        <v>55</v>
      </c>
      <c r="C303" s="212" t="s">
        <v>81</v>
      </c>
      <c r="D303" s="213" t="s">
        <v>45</v>
      </c>
      <c r="E303" s="213" t="s">
        <v>37</v>
      </c>
      <c r="F303" s="214" t="s">
        <v>86</v>
      </c>
      <c r="G303" s="28" t="s">
        <v>56</v>
      </c>
      <c r="H303" s="221">
        <f>'прил9 (ведом 23)'!M102</f>
        <v>63.9</v>
      </c>
    </row>
    <row r="304" spans="1:8" ht="126" x14ac:dyDescent="0.35">
      <c r="A304" s="337"/>
      <c r="B304" s="510" t="s">
        <v>676</v>
      </c>
      <c r="C304" s="212" t="s">
        <v>81</v>
      </c>
      <c r="D304" s="213" t="s">
        <v>45</v>
      </c>
      <c r="E304" s="213" t="s">
        <v>37</v>
      </c>
      <c r="F304" s="214" t="s">
        <v>329</v>
      </c>
      <c r="G304" s="28"/>
      <c r="H304" s="221">
        <f>H305</f>
        <v>9118.7999999999993</v>
      </c>
    </row>
    <row r="305" spans="1:8" ht="18" x14ac:dyDescent="0.35">
      <c r="A305" s="337"/>
      <c r="B305" s="506" t="s">
        <v>123</v>
      </c>
      <c r="C305" s="212" t="s">
        <v>81</v>
      </c>
      <c r="D305" s="213" t="s">
        <v>45</v>
      </c>
      <c r="E305" s="213" t="s">
        <v>37</v>
      </c>
      <c r="F305" s="214" t="s">
        <v>329</v>
      </c>
      <c r="G305" s="28" t="s">
        <v>124</v>
      </c>
      <c r="H305" s="221">
        <f>'прил9 (ведом 23)'!M104</f>
        <v>9118.7999999999993</v>
      </c>
    </row>
    <row r="306" spans="1:8" ht="72" x14ac:dyDescent="0.35">
      <c r="A306" s="337"/>
      <c r="B306" s="506" t="s">
        <v>675</v>
      </c>
      <c r="C306" s="212" t="s">
        <v>81</v>
      </c>
      <c r="D306" s="213" t="s">
        <v>45</v>
      </c>
      <c r="E306" s="213" t="s">
        <v>37</v>
      </c>
      <c r="F306" s="214" t="s">
        <v>330</v>
      </c>
      <c r="G306" s="28"/>
      <c r="H306" s="221">
        <f>H307</f>
        <v>12.3</v>
      </c>
    </row>
    <row r="307" spans="1:8" ht="18" x14ac:dyDescent="0.35">
      <c r="A307" s="337"/>
      <c r="B307" s="506" t="s">
        <v>123</v>
      </c>
      <c r="C307" s="212" t="s">
        <v>81</v>
      </c>
      <c r="D307" s="213" t="s">
        <v>45</v>
      </c>
      <c r="E307" s="213" t="s">
        <v>37</v>
      </c>
      <c r="F307" s="214" t="s">
        <v>330</v>
      </c>
      <c r="G307" s="28" t="s">
        <v>124</v>
      </c>
      <c r="H307" s="221">
        <f>'прил9 (ведом 23)'!M106</f>
        <v>12.3</v>
      </c>
    </row>
    <row r="308" spans="1:8" ht="36" x14ac:dyDescent="0.35">
      <c r="A308" s="337"/>
      <c r="B308" s="521" t="s">
        <v>125</v>
      </c>
      <c r="C308" s="212" t="s">
        <v>81</v>
      </c>
      <c r="D308" s="213" t="s">
        <v>89</v>
      </c>
      <c r="E308" s="213" t="s">
        <v>43</v>
      </c>
      <c r="F308" s="214" t="s">
        <v>44</v>
      </c>
      <c r="G308" s="242"/>
      <c r="H308" s="221">
        <f>H309+H319</f>
        <v>2950.2999999999997</v>
      </c>
    </row>
    <row r="309" spans="1:8" ht="36" x14ac:dyDescent="0.35">
      <c r="A309" s="337"/>
      <c r="B309" s="506" t="s">
        <v>271</v>
      </c>
      <c r="C309" s="212" t="s">
        <v>81</v>
      </c>
      <c r="D309" s="213" t="s">
        <v>89</v>
      </c>
      <c r="E309" s="213" t="s">
        <v>37</v>
      </c>
      <c r="F309" s="214" t="s">
        <v>44</v>
      </c>
      <c r="G309" s="28"/>
      <c r="H309" s="221">
        <f>H310+H312+H315+H317</f>
        <v>2171.6999999999998</v>
      </c>
    </row>
    <row r="310" spans="1:8" ht="18" x14ac:dyDescent="0.35">
      <c r="A310" s="337"/>
      <c r="B310" s="510" t="s">
        <v>465</v>
      </c>
      <c r="C310" s="709" t="s">
        <v>81</v>
      </c>
      <c r="D310" s="710" t="s">
        <v>89</v>
      </c>
      <c r="E310" s="710" t="s">
        <v>37</v>
      </c>
      <c r="F310" s="711" t="s">
        <v>380</v>
      </c>
      <c r="G310" s="10"/>
      <c r="H310" s="221">
        <f>H311</f>
        <v>518.29999999999995</v>
      </c>
    </row>
    <row r="311" spans="1:8" ht="36" x14ac:dyDescent="0.35">
      <c r="A311" s="337"/>
      <c r="B311" s="510" t="s">
        <v>76</v>
      </c>
      <c r="C311" s="709" t="s">
        <v>81</v>
      </c>
      <c r="D311" s="710" t="s">
        <v>89</v>
      </c>
      <c r="E311" s="710" t="s">
        <v>37</v>
      </c>
      <c r="F311" s="711" t="s">
        <v>380</v>
      </c>
      <c r="G311" s="10" t="s">
        <v>77</v>
      </c>
      <c r="H311" s="221">
        <f>'прил9 (ведом 23)'!M481</f>
        <v>518.29999999999995</v>
      </c>
    </row>
    <row r="312" spans="1:8" ht="36" x14ac:dyDescent="0.35">
      <c r="A312" s="337"/>
      <c r="B312" s="506" t="s">
        <v>127</v>
      </c>
      <c r="C312" s="212" t="s">
        <v>81</v>
      </c>
      <c r="D312" s="213" t="s">
        <v>89</v>
      </c>
      <c r="E312" s="213" t="s">
        <v>37</v>
      </c>
      <c r="F312" s="214" t="s">
        <v>90</v>
      </c>
      <c r="G312" s="28"/>
      <c r="H312" s="221">
        <f>SUM(H313:H314)</f>
        <v>331.7</v>
      </c>
    </row>
    <row r="313" spans="1:8" ht="36" x14ac:dyDescent="0.35">
      <c r="A313" s="337"/>
      <c r="B313" s="506" t="s">
        <v>55</v>
      </c>
      <c r="C313" s="212" t="s">
        <v>81</v>
      </c>
      <c r="D313" s="213" t="s">
        <v>89</v>
      </c>
      <c r="E313" s="213" t="s">
        <v>37</v>
      </c>
      <c r="F313" s="214" t="s">
        <v>90</v>
      </c>
      <c r="G313" s="28" t="s">
        <v>56</v>
      </c>
      <c r="H313" s="221">
        <f>'прил9 (ведом 23)'!M112</f>
        <v>121.8</v>
      </c>
    </row>
    <row r="314" spans="1:8" ht="36" x14ac:dyDescent="0.35">
      <c r="A314" s="337"/>
      <c r="B314" s="506" t="s">
        <v>76</v>
      </c>
      <c r="C314" s="212" t="s">
        <v>81</v>
      </c>
      <c r="D314" s="213" t="s">
        <v>89</v>
      </c>
      <c r="E314" s="213" t="s">
        <v>37</v>
      </c>
      <c r="F314" s="214" t="s">
        <v>90</v>
      </c>
      <c r="G314" s="28" t="s">
        <v>77</v>
      </c>
      <c r="H314" s="221">
        <f>'прил9 (ведом 23)'!M483</f>
        <v>209.9</v>
      </c>
    </row>
    <row r="315" spans="1:8" ht="72" x14ac:dyDescent="0.35">
      <c r="A315" s="337"/>
      <c r="B315" s="506" t="s">
        <v>675</v>
      </c>
      <c r="C315" s="212" t="s">
        <v>81</v>
      </c>
      <c r="D315" s="213" t="s">
        <v>89</v>
      </c>
      <c r="E315" s="213" t="s">
        <v>37</v>
      </c>
      <c r="F315" s="214" t="s">
        <v>330</v>
      </c>
      <c r="G315" s="28"/>
      <c r="H315" s="221">
        <f>H316</f>
        <v>121.8</v>
      </c>
    </row>
    <row r="316" spans="1:8" ht="18" x14ac:dyDescent="0.35">
      <c r="A316" s="337"/>
      <c r="B316" s="521" t="s">
        <v>123</v>
      </c>
      <c r="C316" s="212" t="s">
        <v>81</v>
      </c>
      <c r="D316" s="213" t="s">
        <v>89</v>
      </c>
      <c r="E316" s="213" t="s">
        <v>37</v>
      </c>
      <c r="F316" s="214" t="s">
        <v>330</v>
      </c>
      <c r="G316" s="28" t="s">
        <v>124</v>
      </c>
      <c r="H316" s="221">
        <f>'прил9 (ведом 23)'!M114</f>
        <v>121.8</v>
      </c>
    </row>
    <row r="317" spans="1:8" ht="18" x14ac:dyDescent="0.35">
      <c r="A317" s="337"/>
      <c r="B317" s="507" t="s">
        <v>427</v>
      </c>
      <c r="C317" s="212" t="s">
        <v>81</v>
      </c>
      <c r="D317" s="213" t="s">
        <v>89</v>
      </c>
      <c r="E317" s="213" t="s">
        <v>37</v>
      </c>
      <c r="F317" s="214" t="s">
        <v>428</v>
      </c>
      <c r="G317" s="28"/>
      <c r="H317" s="215">
        <f>H318</f>
        <v>1199.9000000000001</v>
      </c>
    </row>
    <row r="318" spans="1:8" ht="49.5" customHeight="1" x14ac:dyDescent="0.35">
      <c r="A318" s="337"/>
      <c r="B318" s="507" t="s">
        <v>76</v>
      </c>
      <c r="C318" s="212" t="s">
        <v>81</v>
      </c>
      <c r="D318" s="213" t="s">
        <v>89</v>
      </c>
      <c r="E318" s="213" t="s">
        <v>37</v>
      </c>
      <c r="F318" s="214" t="s">
        <v>428</v>
      </c>
      <c r="G318" s="28" t="s">
        <v>77</v>
      </c>
      <c r="H318" s="215">
        <f>'прил9 (ведом 23)'!M485+'прил9 (ведом 23)'!M583</f>
        <v>1199.9000000000001</v>
      </c>
    </row>
    <row r="319" spans="1:8" ht="54" x14ac:dyDescent="0.35">
      <c r="A319" s="337"/>
      <c r="B319" s="522" t="s">
        <v>126</v>
      </c>
      <c r="C319" s="212" t="s">
        <v>81</v>
      </c>
      <c r="D319" s="213" t="s">
        <v>89</v>
      </c>
      <c r="E319" s="213" t="s">
        <v>39</v>
      </c>
      <c r="F319" s="214" t="s">
        <v>44</v>
      </c>
      <c r="G319" s="28"/>
      <c r="H319" s="221">
        <f>H320</f>
        <v>778.59999999999991</v>
      </c>
    </row>
    <row r="320" spans="1:8" ht="36" x14ac:dyDescent="0.35">
      <c r="A320" s="337"/>
      <c r="B320" s="522" t="s">
        <v>127</v>
      </c>
      <c r="C320" s="212" t="s">
        <v>81</v>
      </c>
      <c r="D320" s="213" t="s">
        <v>89</v>
      </c>
      <c r="E320" s="213" t="s">
        <v>39</v>
      </c>
      <c r="F320" s="214" t="s">
        <v>90</v>
      </c>
      <c r="G320" s="28"/>
      <c r="H320" s="221">
        <f>H321</f>
        <v>778.59999999999991</v>
      </c>
    </row>
    <row r="321" spans="1:8" ht="36" x14ac:dyDescent="0.35">
      <c r="A321" s="337"/>
      <c r="B321" s="506" t="s">
        <v>55</v>
      </c>
      <c r="C321" s="212" t="s">
        <v>81</v>
      </c>
      <c r="D321" s="213" t="s">
        <v>89</v>
      </c>
      <c r="E321" s="213" t="s">
        <v>39</v>
      </c>
      <c r="F321" s="214" t="s">
        <v>90</v>
      </c>
      <c r="G321" s="28" t="s">
        <v>56</v>
      </c>
      <c r="H321" s="221">
        <f>'прил9 (ведом 23)'!M117</f>
        <v>778.59999999999991</v>
      </c>
    </row>
    <row r="322" spans="1:8" ht="54" x14ac:dyDescent="0.35">
      <c r="A322" s="337"/>
      <c r="B322" s="523" t="s">
        <v>368</v>
      </c>
      <c r="C322" s="212" t="s">
        <v>81</v>
      </c>
      <c r="D322" s="213" t="s">
        <v>30</v>
      </c>
      <c r="E322" s="213" t="s">
        <v>43</v>
      </c>
      <c r="F322" s="214" t="s">
        <v>44</v>
      </c>
      <c r="G322" s="28"/>
      <c r="H322" s="221">
        <f>H323+H328</f>
        <v>12031.547999999997</v>
      </c>
    </row>
    <row r="323" spans="1:8" ht="65.25" customHeight="1" x14ac:dyDescent="0.35">
      <c r="A323" s="337"/>
      <c r="B323" s="522" t="s">
        <v>323</v>
      </c>
      <c r="C323" s="212" t="s">
        <v>81</v>
      </c>
      <c r="D323" s="213" t="s">
        <v>30</v>
      </c>
      <c r="E323" s="213" t="s">
        <v>37</v>
      </c>
      <c r="F323" s="214" t="s">
        <v>44</v>
      </c>
      <c r="G323" s="28"/>
      <c r="H323" s="221">
        <f>H324</f>
        <v>11554.647999999997</v>
      </c>
    </row>
    <row r="324" spans="1:8" ht="36" x14ac:dyDescent="0.35">
      <c r="A324" s="337"/>
      <c r="B324" s="506" t="s">
        <v>464</v>
      </c>
      <c r="C324" s="212" t="s">
        <v>81</v>
      </c>
      <c r="D324" s="213" t="s">
        <v>30</v>
      </c>
      <c r="E324" s="213" t="s">
        <v>37</v>
      </c>
      <c r="F324" s="214" t="s">
        <v>91</v>
      </c>
      <c r="G324" s="28"/>
      <c r="H324" s="221">
        <f>SUM(H325:H327)</f>
        <v>11554.647999999997</v>
      </c>
    </row>
    <row r="325" spans="1:8" s="347" customFormat="1" ht="90" x14ac:dyDescent="0.35">
      <c r="A325" s="337"/>
      <c r="B325" s="506" t="s">
        <v>49</v>
      </c>
      <c r="C325" s="212" t="s">
        <v>81</v>
      </c>
      <c r="D325" s="213" t="s">
        <v>30</v>
      </c>
      <c r="E325" s="213" t="s">
        <v>37</v>
      </c>
      <c r="F325" s="214" t="s">
        <v>91</v>
      </c>
      <c r="G325" s="28" t="s">
        <v>50</v>
      </c>
      <c r="H325" s="221">
        <f>'прил9 (ведом 23)'!M121</f>
        <v>8701.2999999999993</v>
      </c>
    </row>
    <row r="326" spans="1:8" ht="36" x14ac:dyDescent="0.35">
      <c r="A326" s="337"/>
      <c r="B326" s="506" t="s">
        <v>55</v>
      </c>
      <c r="C326" s="212" t="s">
        <v>81</v>
      </c>
      <c r="D326" s="213" t="s">
        <v>30</v>
      </c>
      <c r="E326" s="213" t="s">
        <v>37</v>
      </c>
      <c r="F326" s="214" t="s">
        <v>91</v>
      </c>
      <c r="G326" s="28" t="s">
        <v>56</v>
      </c>
      <c r="H326" s="221">
        <f>'прил9 (ведом 23)'!M122</f>
        <v>2850.0479999999998</v>
      </c>
    </row>
    <row r="327" spans="1:8" s="347" customFormat="1" ht="18" x14ac:dyDescent="0.35">
      <c r="A327" s="337"/>
      <c r="B327" s="506" t="s">
        <v>57</v>
      </c>
      <c r="C327" s="212" t="s">
        <v>81</v>
      </c>
      <c r="D327" s="213" t="s">
        <v>30</v>
      </c>
      <c r="E327" s="213" t="s">
        <v>37</v>
      </c>
      <c r="F327" s="214" t="s">
        <v>91</v>
      </c>
      <c r="G327" s="28" t="s">
        <v>58</v>
      </c>
      <c r="H327" s="221">
        <f>'прил9 (ведом 23)'!M123</f>
        <v>3.3</v>
      </c>
    </row>
    <row r="328" spans="1:8" s="347" customFormat="1" ht="36" x14ac:dyDescent="0.35">
      <c r="A328" s="337"/>
      <c r="B328" s="506" t="s">
        <v>574</v>
      </c>
      <c r="C328" s="212" t="s">
        <v>81</v>
      </c>
      <c r="D328" s="213" t="s">
        <v>30</v>
      </c>
      <c r="E328" s="213" t="s">
        <v>39</v>
      </c>
      <c r="F328" s="214" t="s">
        <v>44</v>
      </c>
      <c r="G328" s="28"/>
      <c r="H328" s="221">
        <f>H329</f>
        <v>476.9</v>
      </c>
    </row>
    <row r="329" spans="1:8" s="347" customFormat="1" ht="36" x14ac:dyDescent="0.35">
      <c r="A329" s="337"/>
      <c r="B329" s="506" t="s">
        <v>85</v>
      </c>
      <c r="C329" s="212" t="s">
        <v>81</v>
      </c>
      <c r="D329" s="213" t="s">
        <v>30</v>
      </c>
      <c r="E329" s="213" t="s">
        <v>39</v>
      </c>
      <c r="F329" s="214" t="s">
        <v>86</v>
      </c>
      <c r="G329" s="28"/>
      <c r="H329" s="221">
        <f>H330</f>
        <v>476.9</v>
      </c>
    </row>
    <row r="330" spans="1:8" s="347" customFormat="1" ht="36" x14ac:dyDescent="0.35">
      <c r="A330" s="337"/>
      <c r="B330" s="506" t="s">
        <v>55</v>
      </c>
      <c r="C330" s="212" t="s">
        <v>81</v>
      </c>
      <c r="D330" s="213" t="s">
        <v>30</v>
      </c>
      <c r="E330" s="213" t="s">
        <v>39</v>
      </c>
      <c r="F330" s="214" t="s">
        <v>86</v>
      </c>
      <c r="G330" s="28" t="s">
        <v>56</v>
      </c>
      <c r="H330" s="221">
        <f>'прил9 (ведом 23)'!M126</f>
        <v>476.9</v>
      </c>
    </row>
    <row r="331" spans="1:8" s="347" customFormat="1" ht="54" x14ac:dyDescent="0.35">
      <c r="A331" s="337"/>
      <c r="B331" s="524" t="s">
        <v>490</v>
      </c>
      <c r="C331" s="709" t="s">
        <v>81</v>
      </c>
      <c r="D331" s="710" t="s">
        <v>31</v>
      </c>
      <c r="E331" s="710" t="s">
        <v>43</v>
      </c>
      <c r="F331" s="711" t="s">
        <v>44</v>
      </c>
      <c r="G331" s="10"/>
      <c r="H331" s="221">
        <f>H332</f>
        <v>21.8</v>
      </c>
    </row>
    <row r="332" spans="1:8" s="347" customFormat="1" ht="54" x14ac:dyDescent="0.35">
      <c r="A332" s="337"/>
      <c r="B332" s="525" t="s">
        <v>491</v>
      </c>
      <c r="C332" s="709" t="s">
        <v>81</v>
      </c>
      <c r="D332" s="710" t="s">
        <v>31</v>
      </c>
      <c r="E332" s="710" t="s">
        <v>37</v>
      </c>
      <c r="F332" s="711" t="s">
        <v>44</v>
      </c>
      <c r="G332" s="10"/>
      <c r="H332" s="221">
        <f>H333</f>
        <v>21.8</v>
      </c>
    </row>
    <row r="333" spans="1:8" s="347" customFormat="1" ht="36" x14ac:dyDescent="0.35">
      <c r="A333" s="337"/>
      <c r="B333" s="526" t="s">
        <v>85</v>
      </c>
      <c r="C333" s="709" t="s">
        <v>81</v>
      </c>
      <c r="D333" s="710" t="s">
        <v>31</v>
      </c>
      <c r="E333" s="710" t="s">
        <v>37</v>
      </c>
      <c r="F333" s="711" t="s">
        <v>86</v>
      </c>
      <c r="G333" s="10"/>
      <c r="H333" s="221">
        <f>H334</f>
        <v>21.8</v>
      </c>
    </row>
    <row r="334" spans="1:8" s="347" customFormat="1" ht="36" x14ac:dyDescent="0.35">
      <c r="A334" s="337"/>
      <c r="B334" s="527" t="s">
        <v>55</v>
      </c>
      <c r="C334" s="709" t="s">
        <v>81</v>
      </c>
      <c r="D334" s="710" t="s">
        <v>31</v>
      </c>
      <c r="E334" s="710" t="s">
        <v>37</v>
      </c>
      <c r="F334" s="711" t="s">
        <v>86</v>
      </c>
      <c r="G334" s="10" t="s">
        <v>56</v>
      </c>
      <c r="H334" s="221">
        <f>'прил9 (ведом 23)'!M130</f>
        <v>21.8</v>
      </c>
    </row>
    <row r="335" spans="1:8" ht="18" x14ac:dyDescent="0.35">
      <c r="A335" s="362"/>
      <c r="B335" s="509"/>
      <c r="C335" s="363"/>
      <c r="D335" s="703"/>
      <c r="E335" s="703"/>
      <c r="F335" s="704"/>
      <c r="G335" s="242"/>
      <c r="H335" s="221"/>
    </row>
    <row r="336" spans="1:8" s="347" customFormat="1" ht="52.2" x14ac:dyDescent="0.3">
      <c r="A336" s="352">
        <v>6</v>
      </c>
      <c r="B336" s="518" t="s">
        <v>223</v>
      </c>
      <c r="C336" s="344" t="s">
        <v>224</v>
      </c>
      <c r="D336" s="344" t="s">
        <v>42</v>
      </c>
      <c r="E336" s="344" t="s">
        <v>43</v>
      </c>
      <c r="F336" s="345" t="s">
        <v>44</v>
      </c>
      <c r="G336" s="346"/>
      <c r="H336" s="258">
        <f>H337</f>
        <v>53072.69999999999</v>
      </c>
    </row>
    <row r="337" spans="1:8" ht="31.5" customHeight="1" x14ac:dyDescent="0.35">
      <c r="A337" s="337"/>
      <c r="B337" s="506" t="s">
        <v>339</v>
      </c>
      <c r="C337" s="364" t="s">
        <v>224</v>
      </c>
      <c r="D337" s="365" t="s">
        <v>45</v>
      </c>
      <c r="E337" s="213" t="s">
        <v>43</v>
      </c>
      <c r="F337" s="214" t="s">
        <v>44</v>
      </c>
      <c r="G337" s="28"/>
      <c r="H337" s="221">
        <f>H338+H347+H352+H358+H355</f>
        <v>53072.69999999999</v>
      </c>
    </row>
    <row r="338" spans="1:8" ht="46.5" customHeight="1" x14ac:dyDescent="0.35">
      <c r="A338" s="337"/>
      <c r="B338" s="506" t="s">
        <v>303</v>
      </c>
      <c r="C338" s="364" t="s">
        <v>224</v>
      </c>
      <c r="D338" s="365" t="s">
        <v>45</v>
      </c>
      <c r="E338" s="213" t="s">
        <v>37</v>
      </c>
      <c r="F338" s="214" t="s">
        <v>44</v>
      </c>
      <c r="G338" s="28"/>
      <c r="H338" s="221">
        <f>H339+H343+H345</f>
        <v>30765.999999999996</v>
      </c>
    </row>
    <row r="339" spans="1:8" ht="36" x14ac:dyDescent="0.35">
      <c r="A339" s="337"/>
      <c r="B339" s="506" t="s">
        <v>47</v>
      </c>
      <c r="C339" s="364" t="s">
        <v>224</v>
      </c>
      <c r="D339" s="365" t="s">
        <v>45</v>
      </c>
      <c r="E339" s="213" t="s">
        <v>37</v>
      </c>
      <c r="F339" s="214" t="s">
        <v>48</v>
      </c>
      <c r="G339" s="28"/>
      <c r="H339" s="221">
        <f>SUM(H340:H342)</f>
        <v>30444.399999999998</v>
      </c>
    </row>
    <row r="340" spans="1:8" ht="90" x14ac:dyDescent="0.35">
      <c r="A340" s="337"/>
      <c r="B340" s="506" t="s">
        <v>49</v>
      </c>
      <c r="C340" s="364" t="s">
        <v>224</v>
      </c>
      <c r="D340" s="365" t="s">
        <v>45</v>
      </c>
      <c r="E340" s="213" t="s">
        <v>37</v>
      </c>
      <c r="F340" s="214" t="s">
        <v>48</v>
      </c>
      <c r="G340" s="28" t="s">
        <v>50</v>
      </c>
      <c r="H340" s="221">
        <f>'прил9 (ведом 23)'!M273</f>
        <v>29596.899999999998</v>
      </c>
    </row>
    <row r="341" spans="1:8" ht="36" x14ac:dyDescent="0.35">
      <c r="A341" s="337"/>
      <c r="B341" s="506" t="s">
        <v>55</v>
      </c>
      <c r="C341" s="364" t="s">
        <v>224</v>
      </c>
      <c r="D341" s="365" t="s">
        <v>45</v>
      </c>
      <c r="E341" s="213" t="s">
        <v>37</v>
      </c>
      <c r="F341" s="214" t="s">
        <v>48</v>
      </c>
      <c r="G341" s="28" t="s">
        <v>56</v>
      </c>
      <c r="H341" s="221">
        <f>'прил9 (ведом 23)'!M274</f>
        <v>842.9</v>
      </c>
    </row>
    <row r="342" spans="1:8" ht="18" x14ac:dyDescent="0.35">
      <c r="A342" s="337"/>
      <c r="B342" s="506" t="s">
        <v>57</v>
      </c>
      <c r="C342" s="364" t="s">
        <v>224</v>
      </c>
      <c r="D342" s="365" t="s">
        <v>45</v>
      </c>
      <c r="E342" s="213" t="s">
        <v>37</v>
      </c>
      <c r="F342" s="214" t="s">
        <v>48</v>
      </c>
      <c r="G342" s="28" t="s">
        <v>58</v>
      </c>
      <c r="H342" s="221">
        <f>'прил9 (ведом 23)'!M275</f>
        <v>4.5999999999999996</v>
      </c>
    </row>
    <row r="343" spans="1:8" ht="36" x14ac:dyDescent="0.35">
      <c r="A343" s="337"/>
      <c r="B343" s="507" t="s">
        <v>532</v>
      </c>
      <c r="C343" s="364" t="s">
        <v>224</v>
      </c>
      <c r="D343" s="365" t="s">
        <v>45</v>
      </c>
      <c r="E343" s="213" t="s">
        <v>37</v>
      </c>
      <c r="F343" s="214" t="s">
        <v>531</v>
      </c>
      <c r="G343" s="28"/>
      <c r="H343" s="221">
        <f>H344</f>
        <v>65.599999999999994</v>
      </c>
    </row>
    <row r="344" spans="1:8" ht="36" x14ac:dyDescent="0.35">
      <c r="A344" s="337"/>
      <c r="B344" s="507" t="s">
        <v>55</v>
      </c>
      <c r="C344" s="364" t="s">
        <v>224</v>
      </c>
      <c r="D344" s="365" t="s">
        <v>45</v>
      </c>
      <c r="E344" s="213" t="s">
        <v>37</v>
      </c>
      <c r="F344" s="214" t="s">
        <v>531</v>
      </c>
      <c r="G344" s="28" t="s">
        <v>56</v>
      </c>
      <c r="H344" s="221">
        <f>'прил9 (ведом 23)'!M296</f>
        <v>65.599999999999994</v>
      </c>
    </row>
    <row r="345" spans="1:8" ht="18" x14ac:dyDescent="0.35">
      <c r="A345" s="337"/>
      <c r="B345" s="510" t="s">
        <v>465</v>
      </c>
      <c r="C345" s="25" t="s">
        <v>224</v>
      </c>
      <c r="D345" s="26" t="s">
        <v>45</v>
      </c>
      <c r="E345" s="710" t="s">
        <v>37</v>
      </c>
      <c r="F345" s="711" t="s">
        <v>380</v>
      </c>
      <c r="G345" s="10"/>
      <c r="H345" s="221">
        <f>H346</f>
        <v>256</v>
      </c>
    </row>
    <row r="346" spans="1:8" ht="36" x14ac:dyDescent="0.35">
      <c r="A346" s="337"/>
      <c r="B346" s="510" t="s">
        <v>55</v>
      </c>
      <c r="C346" s="25" t="s">
        <v>224</v>
      </c>
      <c r="D346" s="26" t="s">
        <v>45</v>
      </c>
      <c r="E346" s="710" t="s">
        <v>37</v>
      </c>
      <c r="F346" s="711" t="s">
        <v>380</v>
      </c>
      <c r="G346" s="10" t="s">
        <v>56</v>
      </c>
      <c r="H346" s="221">
        <f>'прил9 (ведом 23)'!M277</f>
        <v>256</v>
      </c>
    </row>
    <row r="347" spans="1:8" ht="18" x14ac:dyDescent="0.35">
      <c r="A347" s="337"/>
      <c r="B347" s="506" t="s">
        <v>304</v>
      </c>
      <c r="C347" s="364" t="s">
        <v>224</v>
      </c>
      <c r="D347" s="365" t="s">
        <v>45</v>
      </c>
      <c r="E347" s="213" t="s">
        <v>39</v>
      </c>
      <c r="F347" s="214" t="s">
        <v>44</v>
      </c>
      <c r="G347" s="28"/>
      <c r="H347" s="221">
        <f>H348+H350</f>
        <v>18429.400000000001</v>
      </c>
    </row>
    <row r="348" spans="1:8" ht="36" x14ac:dyDescent="0.35">
      <c r="A348" s="337"/>
      <c r="B348" s="507" t="s">
        <v>258</v>
      </c>
      <c r="C348" s="364" t="s">
        <v>224</v>
      </c>
      <c r="D348" s="365" t="s">
        <v>45</v>
      </c>
      <c r="E348" s="213" t="s">
        <v>39</v>
      </c>
      <c r="F348" s="214" t="s">
        <v>404</v>
      </c>
      <c r="G348" s="28"/>
      <c r="H348" s="221">
        <f>H349</f>
        <v>7500</v>
      </c>
    </row>
    <row r="349" spans="1:8" ht="18" x14ac:dyDescent="0.35">
      <c r="A349" s="337"/>
      <c r="B349" s="507" t="s">
        <v>123</v>
      </c>
      <c r="C349" s="364" t="s">
        <v>224</v>
      </c>
      <c r="D349" s="365" t="s">
        <v>45</v>
      </c>
      <c r="E349" s="213" t="s">
        <v>39</v>
      </c>
      <c r="F349" s="214" t="s">
        <v>404</v>
      </c>
      <c r="G349" s="28" t="s">
        <v>124</v>
      </c>
      <c r="H349" s="221">
        <f>'прил9 (ведом 23)'!M303</f>
        <v>7500</v>
      </c>
    </row>
    <row r="350" spans="1:8" ht="54" x14ac:dyDescent="0.35">
      <c r="A350" s="337"/>
      <c r="B350" s="593" t="s">
        <v>748</v>
      </c>
      <c r="C350" s="25" t="s">
        <v>224</v>
      </c>
      <c r="D350" s="26" t="s">
        <v>45</v>
      </c>
      <c r="E350" s="710" t="s">
        <v>39</v>
      </c>
      <c r="F350" s="711" t="s">
        <v>749</v>
      </c>
      <c r="G350" s="10"/>
      <c r="H350" s="221">
        <f>H351</f>
        <v>10929.4</v>
      </c>
    </row>
    <row r="351" spans="1:8" ht="18" x14ac:dyDescent="0.35">
      <c r="A351" s="337"/>
      <c r="B351" s="593" t="s">
        <v>123</v>
      </c>
      <c r="C351" s="25" t="s">
        <v>224</v>
      </c>
      <c r="D351" s="26" t="s">
        <v>45</v>
      </c>
      <c r="E351" s="710" t="s">
        <v>39</v>
      </c>
      <c r="F351" s="711" t="s">
        <v>749</v>
      </c>
      <c r="G351" s="10" t="s">
        <v>124</v>
      </c>
      <c r="H351" s="221">
        <f>'прил9 (ведом 23)'!M309</f>
        <v>10929.4</v>
      </c>
    </row>
    <row r="352" spans="1:8" ht="36" x14ac:dyDescent="0.35">
      <c r="A352" s="337"/>
      <c r="B352" s="506" t="s">
        <v>351</v>
      </c>
      <c r="C352" s="364" t="s">
        <v>224</v>
      </c>
      <c r="D352" s="365" t="s">
        <v>45</v>
      </c>
      <c r="E352" s="213" t="s">
        <v>63</v>
      </c>
      <c r="F352" s="214" t="s">
        <v>44</v>
      </c>
      <c r="G352" s="28"/>
      <c r="H352" s="221">
        <f>H353</f>
        <v>3133.9</v>
      </c>
    </row>
    <row r="353" spans="1:8" ht="54" x14ac:dyDescent="0.35">
      <c r="A353" s="337"/>
      <c r="B353" s="506" t="s">
        <v>352</v>
      </c>
      <c r="C353" s="364" t="s">
        <v>224</v>
      </c>
      <c r="D353" s="365" t="s">
        <v>45</v>
      </c>
      <c r="E353" s="213" t="s">
        <v>63</v>
      </c>
      <c r="F353" s="214" t="s">
        <v>105</v>
      </c>
      <c r="G353" s="28"/>
      <c r="H353" s="221">
        <f>H354</f>
        <v>3133.9</v>
      </c>
    </row>
    <row r="354" spans="1:8" ht="36" x14ac:dyDescent="0.35">
      <c r="A354" s="337"/>
      <c r="B354" s="506" t="s">
        <v>55</v>
      </c>
      <c r="C354" s="364" t="s">
        <v>224</v>
      </c>
      <c r="D354" s="365" t="s">
        <v>45</v>
      </c>
      <c r="E354" s="213" t="s">
        <v>63</v>
      </c>
      <c r="F354" s="214" t="s">
        <v>105</v>
      </c>
      <c r="G354" s="28" t="s">
        <v>56</v>
      </c>
      <c r="H354" s="221">
        <f>'прил9 (ведом 23)'!M286</f>
        <v>3133.9</v>
      </c>
    </row>
    <row r="355" spans="1:8" ht="54" x14ac:dyDescent="0.35">
      <c r="A355" s="337"/>
      <c r="B355" s="593" t="s">
        <v>659</v>
      </c>
      <c r="C355" s="25" t="s">
        <v>224</v>
      </c>
      <c r="D355" s="26" t="s">
        <v>45</v>
      </c>
      <c r="E355" s="710" t="s">
        <v>52</v>
      </c>
      <c r="F355" s="711" t="s">
        <v>44</v>
      </c>
      <c r="G355" s="10"/>
      <c r="H355" s="221">
        <f>H356</f>
        <v>726.2</v>
      </c>
    </row>
    <row r="356" spans="1:8" ht="36" x14ac:dyDescent="0.35">
      <c r="A356" s="337"/>
      <c r="B356" s="593" t="s">
        <v>658</v>
      </c>
      <c r="C356" s="25" t="s">
        <v>224</v>
      </c>
      <c r="D356" s="26" t="s">
        <v>45</v>
      </c>
      <c r="E356" s="710" t="s">
        <v>52</v>
      </c>
      <c r="F356" s="711" t="s">
        <v>660</v>
      </c>
      <c r="G356" s="10"/>
      <c r="H356" s="221">
        <f>H357</f>
        <v>726.2</v>
      </c>
    </row>
    <row r="357" spans="1:8" ht="90" x14ac:dyDescent="0.35">
      <c r="A357" s="337"/>
      <c r="B357" s="593" t="s">
        <v>49</v>
      </c>
      <c r="C357" s="25" t="s">
        <v>224</v>
      </c>
      <c r="D357" s="26" t="s">
        <v>45</v>
      </c>
      <c r="E357" s="710" t="s">
        <v>52</v>
      </c>
      <c r="F357" s="711" t="s">
        <v>660</v>
      </c>
      <c r="G357" s="10" t="s">
        <v>50</v>
      </c>
      <c r="H357" s="221">
        <f>'прил9 (ведом 23)'!M280</f>
        <v>726.2</v>
      </c>
    </row>
    <row r="358" spans="1:8" ht="36" x14ac:dyDescent="0.35">
      <c r="A358" s="337"/>
      <c r="B358" s="507" t="s">
        <v>468</v>
      </c>
      <c r="C358" s="364" t="s">
        <v>224</v>
      </c>
      <c r="D358" s="365" t="s">
        <v>45</v>
      </c>
      <c r="E358" s="213" t="s">
        <v>65</v>
      </c>
      <c r="F358" s="214" t="s">
        <v>44</v>
      </c>
      <c r="G358" s="28"/>
      <c r="H358" s="221">
        <f>H359</f>
        <v>17.2</v>
      </c>
    </row>
    <row r="359" spans="1:8" ht="18" x14ac:dyDescent="0.35">
      <c r="A359" s="337"/>
      <c r="B359" s="507" t="s">
        <v>466</v>
      </c>
      <c r="C359" s="364" t="s">
        <v>224</v>
      </c>
      <c r="D359" s="365" t="s">
        <v>45</v>
      </c>
      <c r="E359" s="213" t="s">
        <v>65</v>
      </c>
      <c r="F359" s="214" t="s">
        <v>467</v>
      </c>
      <c r="G359" s="28"/>
      <c r="H359" s="221">
        <f>H360</f>
        <v>17.2</v>
      </c>
    </row>
    <row r="360" spans="1:8" ht="36" x14ac:dyDescent="0.35">
      <c r="A360" s="337"/>
      <c r="B360" s="507" t="s">
        <v>55</v>
      </c>
      <c r="C360" s="364" t="s">
        <v>224</v>
      </c>
      <c r="D360" s="365" t="s">
        <v>45</v>
      </c>
      <c r="E360" s="213" t="s">
        <v>65</v>
      </c>
      <c r="F360" s="214" t="s">
        <v>467</v>
      </c>
      <c r="G360" s="28" t="s">
        <v>56</v>
      </c>
      <c r="H360" s="221">
        <f>'прил9 (ведом 23)'!M289</f>
        <v>17.2</v>
      </c>
    </row>
    <row r="361" spans="1:8" ht="18" x14ac:dyDescent="0.35">
      <c r="A361" s="337"/>
      <c r="B361" s="506"/>
      <c r="C361" s="365"/>
      <c r="D361" s="365"/>
      <c r="E361" s="365"/>
      <c r="F361" s="366"/>
      <c r="G361" s="28"/>
      <c r="H361" s="221"/>
    </row>
    <row r="362" spans="1:8" s="347" customFormat="1" ht="52.2" x14ac:dyDescent="0.3">
      <c r="A362" s="343">
        <v>7</v>
      </c>
      <c r="B362" s="528" t="s">
        <v>225</v>
      </c>
      <c r="C362" s="367" t="s">
        <v>226</v>
      </c>
      <c r="D362" s="353" t="s">
        <v>42</v>
      </c>
      <c r="E362" s="353" t="s">
        <v>43</v>
      </c>
      <c r="F362" s="354" t="s">
        <v>44</v>
      </c>
      <c r="G362" s="368"/>
      <c r="H362" s="258">
        <f>H363+H372+H394</f>
        <v>49818.181060000003</v>
      </c>
    </row>
    <row r="363" spans="1:8" ht="36" x14ac:dyDescent="0.35">
      <c r="A363" s="362"/>
      <c r="B363" s="529" t="s">
        <v>227</v>
      </c>
      <c r="C363" s="411" t="s">
        <v>226</v>
      </c>
      <c r="D363" s="376" t="s">
        <v>45</v>
      </c>
      <c r="E363" s="376" t="s">
        <v>43</v>
      </c>
      <c r="F363" s="377" t="s">
        <v>44</v>
      </c>
      <c r="G363" s="705"/>
      <c r="H363" s="221">
        <f>H364+H369</f>
        <v>4433.4650000000001</v>
      </c>
    </row>
    <row r="364" spans="1:8" ht="72" x14ac:dyDescent="0.35">
      <c r="A364" s="362"/>
      <c r="B364" s="529" t="s">
        <v>297</v>
      </c>
      <c r="C364" s="389" t="s">
        <v>226</v>
      </c>
      <c r="D364" s="363" t="s">
        <v>45</v>
      </c>
      <c r="E364" s="363" t="s">
        <v>37</v>
      </c>
      <c r="F364" s="373" t="s">
        <v>44</v>
      </c>
      <c r="G364" s="374"/>
      <c r="H364" s="221">
        <f>H365+H367</f>
        <v>1876.2</v>
      </c>
    </row>
    <row r="365" spans="1:8" ht="54" x14ac:dyDescent="0.35">
      <c r="A365" s="362"/>
      <c r="B365" s="529" t="s">
        <v>228</v>
      </c>
      <c r="C365" s="389" t="s">
        <v>226</v>
      </c>
      <c r="D365" s="363" t="s">
        <v>45</v>
      </c>
      <c r="E365" s="363" t="s">
        <v>37</v>
      </c>
      <c r="F365" s="373" t="s">
        <v>298</v>
      </c>
      <c r="G365" s="374"/>
      <c r="H365" s="221">
        <f>H366</f>
        <v>798</v>
      </c>
    </row>
    <row r="366" spans="1:8" ht="36" x14ac:dyDescent="0.35">
      <c r="A366" s="362"/>
      <c r="B366" s="506" t="s">
        <v>55</v>
      </c>
      <c r="C366" s="389" t="s">
        <v>226</v>
      </c>
      <c r="D366" s="363" t="s">
        <v>45</v>
      </c>
      <c r="E366" s="363" t="s">
        <v>37</v>
      </c>
      <c r="F366" s="373" t="s">
        <v>298</v>
      </c>
      <c r="G366" s="374" t="s">
        <v>56</v>
      </c>
      <c r="H366" s="221">
        <f>'прил9 (ведом 23)'!M336</f>
        <v>798</v>
      </c>
    </row>
    <row r="367" spans="1:8" ht="25.5" customHeight="1" x14ac:dyDescent="0.35">
      <c r="A367" s="362"/>
      <c r="B367" s="530" t="s">
        <v>372</v>
      </c>
      <c r="C367" s="355" t="s">
        <v>226</v>
      </c>
      <c r="D367" s="363" t="s">
        <v>45</v>
      </c>
      <c r="E367" s="363" t="s">
        <v>37</v>
      </c>
      <c r="F367" s="373" t="s">
        <v>371</v>
      </c>
      <c r="G367" s="374"/>
      <c r="H367" s="221">
        <f>H368</f>
        <v>1078.2</v>
      </c>
    </row>
    <row r="368" spans="1:8" ht="36" x14ac:dyDescent="0.35">
      <c r="A368" s="362"/>
      <c r="B368" s="507" t="s">
        <v>55</v>
      </c>
      <c r="C368" s="355" t="s">
        <v>226</v>
      </c>
      <c r="D368" s="363" t="s">
        <v>45</v>
      </c>
      <c r="E368" s="363" t="s">
        <v>37</v>
      </c>
      <c r="F368" s="373" t="s">
        <v>371</v>
      </c>
      <c r="G368" s="374" t="s">
        <v>56</v>
      </c>
      <c r="H368" s="221">
        <f>'прил9 (ведом 23)'!M388</f>
        <v>1078.2</v>
      </c>
    </row>
    <row r="369" spans="1:8" ht="36" x14ac:dyDescent="0.35">
      <c r="A369" s="362"/>
      <c r="B369" s="506" t="s">
        <v>338</v>
      </c>
      <c r="C369" s="389" t="s">
        <v>226</v>
      </c>
      <c r="D369" s="363" t="s">
        <v>45</v>
      </c>
      <c r="E369" s="363" t="s">
        <v>39</v>
      </c>
      <c r="F369" s="373" t="s">
        <v>44</v>
      </c>
      <c r="G369" s="374"/>
      <c r="H369" s="221">
        <f>H370</f>
        <v>2557.2649999999999</v>
      </c>
    </row>
    <row r="370" spans="1:8" ht="36" x14ac:dyDescent="0.35">
      <c r="A370" s="362"/>
      <c r="B370" s="506" t="s">
        <v>337</v>
      </c>
      <c r="C370" s="389" t="s">
        <v>226</v>
      </c>
      <c r="D370" s="363" t="s">
        <v>45</v>
      </c>
      <c r="E370" s="363" t="s">
        <v>39</v>
      </c>
      <c r="F370" s="373" t="s">
        <v>336</v>
      </c>
      <c r="G370" s="374"/>
      <c r="H370" s="221">
        <f>SUM(H371:H371)</f>
        <v>2557.2649999999999</v>
      </c>
    </row>
    <row r="371" spans="1:8" ht="36" x14ac:dyDescent="0.35">
      <c r="A371" s="362"/>
      <c r="B371" s="506" t="s">
        <v>55</v>
      </c>
      <c r="C371" s="389" t="s">
        <v>226</v>
      </c>
      <c r="D371" s="363" t="s">
        <v>45</v>
      </c>
      <c r="E371" s="363" t="s">
        <v>39</v>
      </c>
      <c r="F371" s="373" t="s">
        <v>336</v>
      </c>
      <c r="G371" s="374" t="s">
        <v>56</v>
      </c>
      <c r="H371" s="221">
        <f>'прил9 (ведом 23)'!M339</f>
        <v>2557.2649999999999</v>
      </c>
    </row>
    <row r="372" spans="1:8" ht="36" x14ac:dyDescent="0.35">
      <c r="A372" s="362"/>
      <c r="B372" s="529" t="s">
        <v>229</v>
      </c>
      <c r="C372" s="355" t="s">
        <v>226</v>
      </c>
      <c r="D372" s="363" t="s">
        <v>89</v>
      </c>
      <c r="E372" s="363" t="s">
        <v>43</v>
      </c>
      <c r="F372" s="373" t="s">
        <v>44</v>
      </c>
      <c r="G372" s="374"/>
      <c r="H372" s="221">
        <f>H373+H388+H391</f>
        <v>28075.203000000001</v>
      </c>
    </row>
    <row r="373" spans="1:8" ht="72" x14ac:dyDescent="0.35">
      <c r="A373" s="362"/>
      <c r="B373" s="529" t="s">
        <v>301</v>
      </c>
      <c r="C373" s="355" t="s">
        <v>226</v>
      </c>
      <c r="D373" s="363" t="s">
        <v>89</v>
      </c>
      <c r="E373" s="363" t="s">
        <v>37</v>
      </c>
      <c r="F373" s="373" t="s">
        <v>44</v>
      </c>
      <c r="G373" s="374"/>
      <c r="H373" s="221">
        <f>H374+H378+H382+H384+H386</f>
        <v>27007.600000000002</v>
      </c>
    </row>
    <row r="374" spans="1:8" ht="36" x14ac:dyDescent="0.35">
      <c r="A374" s="362"/>
      <c r="B374" s="529" t="s">
        <v>47</v>
      </c>
      <c r="C374" s="355" t="s">
        <v>226</v>
      </c>
      <c r="D374" s="363" t="s">
        <v>89</v>
      </c>
      <c r="E374" s="363" t="s">
        <v>37</v>
      </c>
      <c r="F374" s="373" t="s">
        <v>48</v>
      </c>
      <c r="G374" s="374"/>
      <c r="H374" s="221">
        <f>SUM(H375:H377)</f>
        <v>15663.300000000001</v>
      </c>
    </row>
    <row r="375" spans="1:8" ht="90" x14ac:dyDescent="0.35">
      <c r="A375" s="362"/>
      <c r="B375" s="529" t="s">
        <v>49</v>
      </c>
      <c r="C375" s="355" t="s">
        <v>226</v>
      </c>
      <c r="D375" s="363" t="s">
        <v>89</v>
      </c>
      <c r="E375" s="363" t="s">
        <v>37</v>
      </c>
      <c r="F375" s="373" t="s">
        <v>48</v>
      </c>
      <c r="G375" s="374" t="s">
        <v>50</v>
      </c>
      <c r="H375" s="221">
        <f>'прил9 (ведом 23)'!M343</f>
        <v>15310.1</v>
      </c>
    </row>
    <row r="376" spans="1:8" ht="36" x14ac:dyDescent="0.35">
      <c r="A376" s="362"/>
      <c r="B376" s="506" t="s">
        <v>55</v>
      </c>
      <c r="C376" s="355" t="s">
        <v>226</v>
      </c>
      <c r="D376" s="363" t="s">
        <v>89</v>
      </c>
      <c r="E376" s="363" t="s">
        <v>37</v>
      </c>
      <c r="F376" s="373" t="s">
        <v>48</v>
      </c>
      <c r="G376" s="374" t="s">
        <v>56</v>
      </c>
      <c r="H376" s="221">
        <f>'прил9 (ведом 23)'!M344</f>
        <v>351.065</v>
      </c>
    </row>
    <row r="377" spans="1:8" ht="18" x14ac:dyDescent="0.35">
      <c r="A377" s="362"/>
      <c r="B377" s="529" t="s">
        <v>57</v>
      </c>
      <c r="C377" s="355" t="s">
        <v>226</v>
      </c>
      <c r="D377" s="363" t="s">
        <v>89</v>
      </c>
      <c r="E377" s="363" t="s">
        <v>37</v>
      </c>
      <c r="F377" s="373" t="s">
        <v>48</v>
      </c>
      <c r="G377" s="374" t="s">
        <v>58</v>
      </c>
      <c r="H377" s="221">
        <f>'прил9 (ведом 23)'!M345</f>
        <v>2.1349999999999998</v>
      </c>
    </row>
    <row r="378" spans="1:8" ht="36" x14ac:dyDescent="0.35">
      <c r="A378" s="362"/>
      <c r="B378" s="506" t="s">
        <v>464</v>
      </c>
      <c r="C378" s="355" t="s">
        <v>226</v>
      </c>
      <c r="D378" s="363" t="s">
        <v>89</v>
      </c>
      <c r="E378" s="363" t="s">
        <v>37</v>
      </c>
      <c r="F378" s="373" t="s">
        <v>91</v>
      </c>
      <c r="G378" s="374"/>
      <c r="H378" s="221">
        <f>SUM(H379:H381)</f>
        <v>10033.300000000001</v>
      </c>
    </row>
    <row r="379" spans="1:8" ht="90" x14ac:dyDescent="0.35">
      <c r="A379" s="362"/>
      <c r="B379" s="529" t="s">
        <v>49</v>
      </c>
      <c r="C379" s="355" t="s">
        <v>226</v>
      </c>
      <c r="D379" s="363" t="s">
        <v>89</v>
      </c>
      <c r="E379" s="363" t="s">
        <v>37</v>
      </c>
      <c r="F379" s="373" t="s">
        <v>91</v>
      </c>
      <c r="G379" s="374" t="s">
        <v>50</v>
      </c>
      <c r="H379" s="221">
        <f>'прил9 (ведом 23)'!M347</f>
        <v>9350.4</v>
      </c>
    </row>
    <row r="380" spans="1:8" ht="36" x14ac:dyDescent="0.35">
      <c r="A380" s="362"/>
      <c r="B380" s="506" t="s">
        <v>55</v>
      </c>
      <c r="C380" s="375" t="s">
        <v>226</v>
      </c>
      <c r="D380" s="376" t="s">
        <v>89</v>
      </c>
      <c r="E380" s="376" t="s">
        <v>37</v>
      </c>
      <c r="F380" s="377" t="s">
        <v>91</v>
      </c>
      <c r="G380" s="374" t="s">
        <v>56</v>
      </c>
      <c r="H380" s="221">
        <f>'прил9 (ведом 23)'!M348</f>
        <v>660.19999999999993</v>
      </c>
    </row>
    <row r="381" spans="1:8" ht="18" x14ac:dyDescent="0.35">
      <c r="A381" s="362"/>
      <c r="B381" s="529" t="s">
        <v>57</v>
      </c>
      <c r="C381" s="355" t="s">
        <v>226</v>
      </c>
      <c r="D381" s="363" t="s">
        <v>89</v>
      </c>
      <c r="E381" s="363" t="s">
        <v>37</v>
      </c>
      <c r="F381" s="373" t="s">
        <v>91</v>
      </c>
      <c r="G381" s="374" t="s">
        <v>58</v>
      </c>
      <c r="H381" s="221">
        <f>'прил9 (ведом 23)'!M349</f>
        <v>22.7</v>
      </c>
    </row>
    <row r="382" spans="1:8" ht="36" x14ac:dyDescent="0.35">
      <c r="A382" s="362"/>
      <c r="B382" s="507" t="s">
        <v>532</v>
      </c>
      <c r="C382" s="378" t="s">
        <v>226</v>
      </c>
      <c r="D382" s="349" t="s">
        <v>89</v>
      </c>
      <c r="E382" s="349" t="s">
        <v>37</v>
      </c>
      <c r="F382" s="372" t="s">
        <v>531</v>
      </c>
      <c r="G382" s="351"/>
      <c r="H382" s="221">
        <f>H383</f>
        <v>7.2</v>
      </c>
    </row>
    <row r="383" spans="1:8" ht="36" x14ac:dyDescent="0.35">
      <c r="A383" s="362"/>
      <c r="B383" s="507" t="s">
        <v>55</v>
      </c>
      <c r="C383" s="378" t="s">
        <v>226</v>
      </c>
      <c r="D383" s="349" t="s">
        <v>89</v>
      </c>
      <c r="E383" s="349" t="s">
        <v>37</v>
      </c>
      <c r="F383" s="372" t="s">
        <v>531</v>
      </c>
      <c r="G383" s="351" t="s">
        <v>56</v>
      </c>
      <c r="H383" s="221">
        <f>'прил9 (ведом 23)'!M422</f>
        <v>7.2</v>
      </c>
    </row>
    <row r="384" spans="1:8" ht="54" x14ac:dyDescent="0.35">
      <c r="A384" s="362"/>
      <c r="B384" s="507" t="s">
        <v>354</v>
      </c>
      <c r="C384" s="355" t="s">
        <v>226</v>
      </c>
      <c r="D384" s="363" t="s">
        <v>89</v>
      </c>
      <c r="E384" s="363" t="s">
        <v>37</v>
      </c>
      <c r="F384" s="373" t="s">
        <v>353</v>
      </c>
      <c r="G384" s="374"/>
      <c r="H384" s="221">
        <f>H385</f>
        <v>983.8</v>
      </c>
    </row>
    <row r="385" spans="1:8" ht="36" x14ac:dyDescent="0.35">
      <c r="A385" s="362"/>
      <c r="B385" s="507" t="s">
        <v>55</v>
      </c>
      <c r="C385" s="355" t="s">
        <v>226</v>
      </c>
      <c r="D385" s="363" t="s">
        <v>89</v>
      </c>
      <c r="E385" s="363" t="s">
        <v>37</v>
      </c>
      <c r="F385" s="373" t="s">
        <v>353</v>
      </c>
      <c r="G385" s="374" t="s">
        <v>56</v>
      </c>
      <c r="H385" s="221">
        <f>'прил9 (ведом 23)'!M351</f>
        <v>983.8</v>
      </c>
    </row>
    <row r="386" spans="1:8" ht="54" x14ac:dyDescent="0.35">
      <c r="A386" s="362"/>
      <c r="B386" s="632" t="s">
        <v>379</v>
      </c>
      <c r="C386" s="141" t="s">
        <v>226</v>
      </c>
      <c r="D386" s="87" t="s">
        <v>89</v>
      </c>
      <c r="E386" s="87" t="s">
        <v>37</v>
      </c>
      <c r="F386" s="139" t="s">
        <v>378</v>
      </c>
      <c r="G386" s="592"/>
      <c r="H386" s="415">
        <f>H387</f>
        <v>320</v>
      </c>
    </row>
    <row r="387" spans="1:8" ht="36" x14ac:dyDescent="0.35">
      <c r="A387" s="362"/>
      <c r="B387" s="632" t="s">
        <v>55</v>
      </c>
      <c r="C387" s="141" t="s">
        <v>226</v>
      </c>
      <c r="D387" s="87" t="s">
        <v>89</v>
      </c>
      <c r="E387" s="87" t="s">
        <v>37</v>
      </c>
      <c r="F387" s="277" t="s">
        <v>378</v>
      </c>
      <c r="G387" s="89" t="s">
        <v>56</v>
      </c>
      <c r="H387" s="415">
        <f>'прил9 (ведом 23)'!M353</f>
        <v>320</v>
      </c>
    </row>
    <row r="388" spans="1:8" ht="36" x14ac:dyDescent="0.35">
      <c r="A388" s="362"/>
      <c r="B388" s="531" t="s">
        <v>351</v>
      </c>
      <c r="C388" s="412" t="s">
        <v>226</v>
      </c>
      <c r="D388" s="413" t="s">
        <v>89</v>
      </c>
      <c r="E388" s="413" t="s">
        <v>39</v>
      </c>
      <c r="F388" s="414" t="s">
        <v>44</v>
      </c>
      <c r="G388" s="382"/>
      <c r="H388" s="415">
        <f>H389</f>
        <v>989.09999999999991</v>
      </c>
    </row>
    <row r="389" spans="1:8" ht="54" x14ac:dyDescent="0.35">
      <c r="A389" s="362"/>
      <c r="B389" s="532" t="s">
        <v>352</v>
      </c>
      <c r="C389" s="378" t="s">
        <v>226</v>
      </c>
      <c r="D389" s="380" t="s">
        <v>89</v>
      </c>
      <c r="E389" s="380" t="s">
        <v>39</v>
      </c>
      <c r="F389" s="381" t="s">
        <v>105</v>
      </c>
      <c r="G389" s="384"/>
      <c r="H389" s="221">
        <f>H390</f>
        <v>989.09999999999991</v>
      </c>
    </row>
    <row r="390" spans="1:8" ht="36" x14ac:dyDescent="0.35">
      <c r="A390" s="362"/>
      <c r="B390" s="533" t="s">
        <v>55</v>
      </c>
      <c r="C390" s="416" t="s">
        <v>226</v>
      </c>
      <c r="D390" s="380" t="s">
        <v>89</v>
      </c>
      <c r="E390" s="380" t="s">
        <v>39</v>
      </c>
      <c r="F390" s="381" t="s">
        <v>105</v>
      </c>
      <c r="G390" s="384" t="s">
        <v>56</v>
      </c>
      <c r="H390" s="221">
        <f>'прил9 (ведом 23)'!M356</f>
        <v>989.09999999999991</v>
      </c>
    </row>
    <row r="391" spans="1:8" ht="18" x14ac:dyDescent="0.35">
      <c r="A391" s="362"/>
      <c r="B391" s="529" t="s">
        <v>374</v>
      </c>
      <c r="C391" s="388" t="s">
        <v>226</v>
      </c>
      <c r="D391" s="385" t="s">
        <v>89</v>
      </c>
      <c r="E391" s="417" t="s">
        <v>63</v>
      </c>
      <c r="F391" s="418" t="s">
        <v>44</v>
      </c>
      <c r="G391" s="419"/>
      <c r="H391" s="221">
        <f>H392</f>
        <v>78.502999999999986</v>
      </c>
    </row>
    <row r="392" spans="1:8" ht="36" x14ac:dyDescent="0.35">
      <c r="A392" s="362"/>
      <c r="B392" s="529" t="s">
        <v>337</v>
      </c>
      <c r="C392" s="388" t="s">
        <v>226</v>
      </c>
      <c r="D392" s="385" t="s">
        <v>89</v>
      </c>
      <c r="E392" s="420" t="s">
        <v>63</v>
      </c>
      <c r="F392" s="421" t="s">
        <v>336</v>
      </c>
      <c r="G392" s="419"/>
      <c r="H392" s="221">
        <f>H393</f>
        <v>78.502999999999986</v>
      </c>
    </row>
    <row r="393" spans="1:8" ht="18" x14ac:dyDescent="0.35">
      <c r="A393" s="362"/>
      <c r="B393" s="530" t="s">
        <v>57</v>
      </c>
      <c r="C393" s="355" t="s">
        <v>226</v>
      </c>
      <c r="D393" s="417" t="s">
        <v>89</v>
      </c>
      <c r="E393" s="417" t="s">
        <v>63</v>
      </c>
      <c r="F393" s="418" t="s">
        <v>336</v>
      </c>
      <c r="G393" s="419" t="s">
        <v>58</v>
      </c>
      <c r="H393" s="221">
        <f>'прил9 (ведом 23)'!M359</f>
        <v>78.502999999999986</v>
      </c>
    </row>
    <row r="394" spans="1:8" ht="18" x14ac:dyDescent="0.35">
      <c r="A394" s="362"/>
      <c r="B394" s="534" t="s">
        <v>339</v>
      </c>
      <c r="C394" s="378" t="s">
        <v>226</v>
      </c>
      <c r="D394" s="380" t="s">
        <v>30</v>
      </c>
      <c r="E394" s="380" t="s">
        <v>43</v>
      </c>
      <c r="F394" s="381" t="s">
        <v>44</v>
      </c>
      <c r="G394" s="419"/>
      <c r="H394" s="221">
        <f>H395</f>
        <v>17309.513059999997</v>
      </c>
    </row>
    <row r="395" spans="1:8" ht="18" x14ac:dyDescent="0.35">
      <c r="A395" s="362"/>
      <c r="B395" s="534" t="s">
        <v>374</v>
      </c>
      <c r="C395" s="378" t="s">
        <v>226</v>
      </c>
      <c r="D395" s="380" t="s">
        <v>30</v>
      </c>
      <c r="E395" s="380" t="s">
        <v>226</v>
      </c>
      <c r="F395" s="381" t="s">
        <v>44</v>
      </c>
      <c r="G395" s="419"/>
      <c r="H395" s="221">
        <f>H396</f>
        <v>17309.513059999997</v>
      </c>
    </row>
    <row r="396" spans="1:8" ht="36" x14ac:dyDescent="0.35">
      <c r="A396" s="362"/>
      <c r="B396" s="535" t="s">
        <v>337</v>
      </c>
      <c r="C396" s="378" t="s">
        <v>226</v>
      </c>
      <c r="D396" s="380" t="s">
        <v>30</v>
      </c>
      <c r="E396" s="380" t="s">
        <v>226</v>
      </c>
      <c r="F396" s="381" t="s">
        <v>336</v>
      </c>
      <c r="G396" s="419"/>
      <c r="H396" s="221">
        <f>H397+H398+H399</f>
        <v>17309.513059999997</v>
      </c>
    </row>
    <row r="397" spans="1:8" ht="36" x14ac:dyDescent="0.35">
      <c r="A397" s="362"/>
      <c r="B397" s="533" t="s">
        <v>55</v>
      </c>
      <c r="C397" s="378" t="s">
        <v>226</v>
      </c>
      <c r="D397" s="380" t="s">
        <v>30</v>
      </c>
      <c r="E397" s="380" t="s">
        <v>226</v>
      </c>
      <c r="F397" s="381" t="s">
        <v>336</v>
      </c>
      <c r="G397" s="629" t="s">
        <v>56</v>
      </c>
      <c r="H397" s="221">
        <f>'прил9 (ведом 23)'!M363+'прил9 (ведом 23)'!M392</f>
        <v>3729.3690000000001</v>
      </c>
    </row>
    <row r="398" spans="1:8" ht="36" x14ac:dyDescent="0.35">
      <c r="A398" s="362"/>
      <c r="B398" s="615" t="s">
        <v>203</v>
      </c>
      <c r="C398" s="378" t="s">
        <v>226</v>
      </c>
      <c r="D398" s="380" t="s">
        <v>30</v>
      </c>
      <c r="E398" s="380" t="s">
        <v>226</v>
      </c>
      <c r="F398" s="381" t="s">
        <v>336</v>
      </c>
      <c r="G398" s="498" t="s">
        <v>204</v>
      </c>
      <c r="H398" s="221">
        <f>'прил9 (ведом 23)'!M364</f>
        <v>13347.057059999999</v>
      </c>
    </row>
    <row r="399" spans="1:8" ht="18" x14ac:dyDescent="0.35">
      <c r="A399" s="362"/>
      <c r="B399" s="536" t="s">
        <v>57</v>
      </c>
      <c r="C399" s="378" t="s">
        <v>226</v>
      </c>
      <c r="D399" s="380" t="s">
        <v>30</v>
      </c>
      <c r="E399" s="380" t="s">
        <v>226</v>
      </c>
      <c r="F399" s="381" t="s">
        <v>336</v>
      </c>
      <c r="G399" s="419" t="s">
        <v>58</v>
      </c>
      <c r="H399" s="221">
        <f>'прил9 (ведом 23)'!M365</f>
        <v>233.08699999999999</v>
      </c>
    </row>
    <row r="400" spans="1:8" ht="18" x14ac:dyDescent="0.35">
      <c r="A400" s="362"/>
      <c r="B400" s="513"/>
      <c r="C400" s="363"/>
      <c r="D400" s="703"/>
      <c r="E400" s="703"/>
      <c r="F400" s="704"/>
      <c r="G400" s="242"/>
      <c r="H400" s="221"/>
    </row>
    <row r="401" spans="1:8" s="347" customFormat="1" ht="52.2" x14ac:dyDescent="0.3">
      <c r="A401" s="352">
        <v>8</v>
      </c>
      <c r="B401" s="528" t="s">
        <v>295</v>
      </c>
      <c r="C401" s="353" t="s">
        <v>79</v>
      </c>
      <c r="D401" s="353" t="s">
        <v>42</v>
      </c>
      <c r="E401" s="353" t="s">
        <v>43</v>
      </c>
      <c r="F401" s="354" t="s">
        <v>44</v>
      </c>
      <c r="G401" s="346"/>
      <c r="H401" s="258">
        <f>H402</f>
        <v>159061.90000000002</v>
      </c>
    </row>
    <row r="402" spans="1:8" ht="18" x14ac:dyDescent="0.35">
      <c r="A402" s="337"/>
      <c r="B402" s="506" t="s">
        <v>339</v>
      </c>
      <c r="C402" s="389" t="s">
        <v>79</v>
      </c>
      <c r="D402" s="363" t="s">
        <v>45</v>
      </c>
      <c r="E402" s="363" t="s">
        <v>43</v>
      </c>
      <c r="F402" s="214" t="s">
        <v>44</v>
      </c>
      <c r="G402" s="242"/>
      <c r="H402" s="221">
        <f>H403+H418+H424+H434+H437+H440</f>
        <v>159061.90000000002</v>
      </c>
    </row>
    <row r="403" spans="1:8" ht="36" x14ac:dyDescent="0.35">
      <c r="A403" s="337"/>
      <c r="B403" s="506" t="s">
        <v>285</v>
      </c>
      <c r="C403" s="212" t="s">
        <v>79</v>
      </c>
      <c r="D403" s="213" t="s">
        <v>45</v>
      </c>
      <c r="E403" s="213" t="s">
        <v>37</v>
      </c>
      <c r="F403" s="214" t="s">
        <v>44</v>
      </c>
      <c r="G403" s="242"/>
      <c r="H403" s="221">
        <f>H404+H407+H412+H415+H410</f>
        <v>62563.4</v>
      </c>
    </row>
    <row r="404" spans="1:8" ht="126" x14ac:dyDescent="0.35">
      <c r="A404" s="337"/>
      <c r="B404" s="537" t="s">
        <v>357</v>
      </c>
      <c r="C404" s="212" t="s">
        <v>79</v>
      </c>
      <c r="D404" s="213" t="s">
        <v>45</v>
      </c>
      <c r="E404" s="213" t="s">
        <v>37</v>
      </c>
      <c r="F404" s="214" t="s">
        <v>542</v>
      </c>
      <c r="G404" s="28"/>
      <c r="H404" s="221">
        <f>SUM(H405:H406)</f>
        <v>35725.5</v>
      </c>
    </row>
    <row r="405" spans="1:8" ht="36" x14ac:dyDescent="0.35">
      <c r="A405" s="337"/>
      <c r="B405" s="538" t="s">
        <v>55</v>
      </c>
      <c r="C405" s="212" t="s">
        <v>79</v>
      </c>
      <c r="D405" s="213" t="s">
        <v>45</v>
      </c>
      <c r="E405" s="213" t="s">
        <v>37</v>
      </c>
      <c r="F405" s="214" t="s">
        <v>542</v>
      </c>
      <c r="G405" s="28" t="s">
        <v>56</v>
      </c>
      <c r="H405" s="221">
        <f>'прил9 (ведом 23)'!M836</f>
        <v>178.6</v>
      </c>
    </row>
    <row r="406" spans="1:8" ht="18" x14ac:dyDescent="0.35">
      <c r="A406" s="337"/>
      <c r="B406" s="506" t="s">
        <v>120</v>
      </c>
      <c r="C406" s="212" t="s">
        <v>79</v>
      </c>
      <c r="D406" s="213" t="s">
        <v>45</v>
      </c>
      <c r="E406" s="213" t="s">
        <v>37</v>
      </c>
      <c r="F406" s="214" t="s">
        <v>542</v>
      </c>
      <c r="G406" s="28" t="s">
        <v>121</v>
      </c>
      <c r="H406" s="221">
        <f>'прил9 (ведом 23)'!M837</f>
        <v>35546.9</v>
      </c>
    </row>
    <row r="407" spans="1:8" ht="90" x14ac:dyDescent="0.35">
      <c r="A407" s="337"/>
      <c r="B407" s="506" t="s">
        <v>359</v>
      </c>
      <c r="C407" s="212" t="s">
        <v>79</v>
      </c>
      <c r="D407" s="213" t="s">
        <v>45</v>
      </c>
      <c r="E407" s="213" t="s">
        <v>37</v>
      </c>
      <c r="F407" s="214" t="s">
        <v>544</v>
      </c>
      <c r="G407" s="28"/>
      <c r="H407" s="221">
        <f>SUM(H408:H409)</f>
        <v>361.2</v>
      </c>
    </row>
    <row r="408" spans="1:8" ht="36" x14ac:dyDescent="0.35">
      <c r="A408" s="337"/>
      <c r="B408" s="506" t="s">
        <v>55</v>
      </c>
      <c r="C408" s="212" t="s">
        <v>79</v>
      </c>
      <c r="D408" s="213" t="s">
        <v>45</v>
      </c>
      <c r="E408" s="213" t="s">
        <v>37</v>
      </c>
      <c r="F408" s="214" t="s">
        <v>544</v>
      </c>
      <c r="G408" s="28" t="s">
        <v>56</v>
      </c>
      <c r="H408" s="221">
        <f>'прил9 (ведом 23)'!M839</f>
        <v>1.8</v>
      </c>
    </row>
    <row r="409" spans="1:8" ht="18" x14ac:dyDescent="0.35">
      <c r="A409" s="337"/>
      <c r="B409" s="506" t="s">
        <v>120</v>
      </c>
      <c r="C409" s="212" t="s">
        <v>79</v>
      </c>
      <c r="D409" s="213" t="s">
        <v>45</v>
      </c>
      <c r="E409" s="213" t="s">
        <v>37</v>
      </c>
      <c r="F409" s="214" t="s">
        <v>544</v>
      </c>
      <c r="G409" s="28" t="s">
        <v>121</v>
      </c>
      <c r="H409" s="221">
        <f>'прил9 (ведом 23)'!M840</f>
        <v>359.4</v>
      </c>
    </row>
    <row r="410" spans="1:8" ht="126" x14ac:dyDescent="0.35">
      <c r="A410" s="337"/>
      <c r="B410" s="510" t="s">
        <v>755</v>
      </c>
      <c r="C410" s="709" t="s">
        <v>79</v>
      </c>
      <c r="D410" s="710" t="s">
        <v>45</v>
      </c>
      <c r="E410" s="710" t="s">
        <v>37</v>
      </c>
      <c r="F410" s="711" t="s">
        <v>756</v>
      </c>
      <c r="G410" s="10"/>
      <c r="H410" s="221">
        <f>H411</f>
        <v>119.9</v>
      </c>
    </row>
    <row r="411" spans="1:8" ht="18" x14ac:dyDescent="0.35">
      <c r="A411" s="337"/>
      <c r="B411" s="510" t="s">
        <v>120</v>
      </c>
      <c r="C411" s="709" t="s">
        <v>79</v>
      </c>
      <c r="D411" s="710" t="s">
        <v>45</v>
      </c>
      <c r="E411" s="710" t="s">
        <v>37</v>
      </c>
      <c r="F411" s="711" t="s">
        <v>756</v>
      </c>
      <c r="G411" s="10" t="s">
        <v>121</v>
      </c>
      <c r="H411" s="221">
        <f>'прил9 (ведом 23)'!M842</f>
        <v>119.9</v>
      </c>
    </row>
    <row r="412" spans="1:8" ht="90" x14ac:dyDescent="0.35">
      <c r="A412" s="337"/>
      <c r="B412" s="506" t="s">
        <v>358</v>
      </c>
      <c r="C412" s="212" t="s">
        <v>79</v>
      </c>
      <c r="D412" s="213" t="s">
        <v>45</v>
      </c>
      <c r="E412" s="213" t="s">
        <v>37</v>
      </c>
      <c r="F412" s="214" t="s">
        <v>543</v>
      </c>
      <c r="G412" s="28"/>
      <c r="H412" s="221">
        <f>SUM(H413:H414)</f>
        <v>26010</v>
      </c>
    </row>
    <row r="413" spans="1:8" ht="36" x14ac:dyDescent="0.35">
      <c r="A413" s="337"/>
      <c r="B413" s="538" t="s">
        <v>55</v>
      </c>
      <c r="C413" s="212" t="s">
        <v>79</v>
      </c>
      <c r="D413" s="213" t="s">
        <v>45</v>
      </c>
      <c r="E413" s="213" t="s">
        <v>37</v>
      </c>
      <c r="F413" s="214" t="s">
        <v>543</v>
      </c>
      <c r="G413" s="28" t="s">
        <v>56</v>
      </c>
      <c r="H413" s="221">
        <f>'прил9 (ведом 23)'!M844</f>
        <v>130.1</v>
      </c>
    </row>
    <row r="414" spans="1:8" ht="18" x14ac:dyDescent="0.35">
      <c r="A414" s="337"/>
      <c r="B414" s="506" t="s">
        <v>120</v>
      </c>
      <c r="C414" s="212" t="s">
        <v>79</v>
      </c>
      <c r="D414" s="213" t="s">
        <v>45</v>
      </c>
      <c r="E414" s="213" t="s">
        <v>37</v>
      </c>
      <c r="F414" s="214" t="s">
        <v>543</v>
      </c>
      <c r="G414" s="28" t="s">
        <v>121</v>
      </c>
      <c r="H414" s="221">
        <f>'прил9 (ведом 23)'!M845</f>
        <v>25879.9</v>
      </c>
    </row>
    <row r="415" spans="1:8" ht="108" x14ac:dyDescent="0.35">
      <c r="A415" s="337"/>
      <c r="B415" s="506" t="s">
        <v>365</v>
      </c>
      <c r="C415" s="212" t="s">
        <v>79</v>
      </c>
      <c r="D415" s="213" t="s">
        <v>45</v>
      </c>
      <c r="E415" s="213" t="s">
        <v>37</v>
      </c>
      <c r="F415" s="214" t="s">
        <v>545</v>
      </c>
      <c r="G415" s="28"/>
      <c r="H415" s="221">
        <f>SUM(H416:H417)</f>
        <v>346.8</v>
      </c>
    </row>
    <row r="416" spans="1:8" ht="36" x14ac:dyDescent="0.35">
      <c r="A416" s="337"/>
      <c r="B416" s="506" t="s">
        <v>55</v>
      </c>
      <c r="C416" s="212" t="s">
        <v>79</v>
      </c>
      <c r="D416" s="213" t="s">
        <v>45</v>
      </c>
      <c r="E416" s="213" t="s">
        <v>37</v>
      </c>
      <c r="F416" s="214" t="s">
        <v>545</v>
      </c>
      <c r="G416" s="28" t="s">
        <v>56</v>
      </c>
      <c r="H416" s="221">
        <f>'прил9 (ведом 23)'!M847</f>
        <v>1.7</v>
      </c>
    </row>
    <row r="417" spans="1:8" ht="18" x14ac:dyDescent="0.35">
      <c r="A417" s="337"/>
      <c r="B417" s="506" t="s">
        <v>120</v>
      </c>
      <c r="C417" s="212" t="s">
        <v>79</v>
      </c>
      <c r="D417" s="213" t="s">
        <v>45</v>
      </c>
      <c r="E417" s="213" t="s">
        <v>37</v>
      </c>
      <c r="F417" s="214" t="s">
        <v>545</v>
      </c>
      <c r="G417" s="28" t="s">
        <v>121</v>
      </c>
      <c r="H417" s="221">
        <f>'прил9 (ведом 23)'!M848</f>
        <v>345.1</v>
      </c>
    </row>
    <row r="418" spans="1:8" ht="72" x14ac:dyDescent="0.35">
      <c r="A418" s="337"/>
      <c r="B418" s="539" t="s">
        <v>300</v>
      </c>
      <c r="C418" s="391" t="s">
        <v>79</v>
      </c>
      <c r="D418" s="392" t="s">
        <v>45</v>
      </c>
      <c r="E418" s="392" t="s">
        <v>39</v>
      </c>
      <c r="F418" s="393" t="s">
        <v>44</v>
      </c>
      <c r="G418" s="394"/>
      <c r="H418" s="221">
        <f>H419+H421</f>
        <v>84185.900000000009</v>
      </c>
    </row>
    <row r="419" spans="1:8" ht="162" x14ac:dyDescent="0.35">
      <c r="A419" s="337"/>
      <c r="B419" s="510" t="s">
        <v>729</v>
      </c>
      <c r="C419" s="481" t="s">
        <v>79</v>
      </c>
      <c r="D419" s="482" t="s">
        <v>45</v>
      </c>
      <c r="E419" s="482" t="s">
        <v>39</v>
      </c>
      <c r="F419" s="483" t="s">
        <v>600</v>
      </c>
      <c r="G419" s="484"/>
      <c r="H419" s="221">
        <f>H420</f>
        <v>5.2</v>
      </c>
    </row>
    <row r="420" spans="1:8" ht="18" x14ac:dyDescent="0.35">
      <c r="A420" s="337"/>
      <c r="B420" s="510" t="s">
        <v>120</v>
      </c>
      <c r="C420" s="481" t="s">
        <v>79</v>
      </c>
      <c r="D420" s="482" t="s">
        <v>45</v>
      </c>
      <c r="E420" s="482" t="s">
        <v>39</v>
      </c>
      <c r="F420" s="483" t="s">
        <v>600</v>
      </c>
      <c r="G420" s="484" t="s">
        <v>121</v>
      </c>
      <c r="H420" s="221">
        <f>'прил9 (ведом 23)'!M851</f>
        <v>5.2</v>
      </c>
    </row>
    <row r="421" spans="1:8" ht="90" x14ac:dyDescent="0.35">
      <c r="A421" s="337"/>
      <c r="B421" s="536" t="s">
        <v>414</v>
      </c>
      <c r="C421" s="422" t="s">
        <v>79</v>
      </c>
      <c r="D421" s="423" t="s">
        <v>45</v>
      </c>
      <c r="E421" s="423" t="s">
        <v>39</v>
      </c>
      <c r="F421" s="424" t="s">
        <v>415</v>
      </c>
      <c r="G421" s="425"/>
      <c r="H421" s="221">
        <f>H423+H422</f>
        <v>84180.700000000012</v>
      </c>
    </row>
    <row r="422" spans="1:8" ht="36" x14ac:dyDescent="0.35">
      <c r="A422" s="337"/>
      <c r="B422" s="506" t="s">
        <v>55</v>
      </c>
      <c r="C422" s="422" t="s">
        <v>79</v>
      </c>
      <c r="D422" s="423" t="s">
        <v>45</v>
      </c>
      <c r="E422" s="423" t="s">
        <v>39</v>
      </c>
      <c r="F422" s="424" t="s">
        <v>415</v>
      </c>
      <c r="G422" s="425" t="s">
        <v>56</v>
      </c>
      <c r="H422" s="221">
        <f>'прил9 (ведом 23)'!M370</f>
        <v>81.324029999999993</v>
      </c>
    </row>
    <row r="423" spans="1:8" ht="36" x14ac:dyDescent="0.35">
      <c r="A423" s="337"/>
      <c r="B423" s="536" t="s">
        <v>203</v>
      </c>
      <c r="C423" s="348" t="s">
        <v>79</v>
      </c>
      <c r="D423" s="349" t="s">
        <v>45</v>
      </c>
      <c r="E423" s="349" t="s">
        <v>39</v>
      </c>
      <c r="F423" s="350" t="s">
        <v>415</v>
      </c>
      <c r="G423" s="351" t="s">
        <v>204</v>
      </c>
      <c r="H423" s="221">
        <f>'прил9 (ведом 23)'!M429</f>
        <v>84099.375970000008</v>
      </c>
    </row>
    <row r="424" spans="1:8" ht="36" x14ac:dyDescent="0.35">
      <c r="A424" s="337"/>
      <c r="B424" s="506" t="s">
        <v>229</v>
      </c>
      <c r="C424" s="212" t="s">
        <v>79</v>
      </c>
      <c r="D424" s="213" t="s">
        <v>45</v>
      </c>
      <c r="E424" s="213" t="s">
        <v>63</v>
      </c>
      <c r="F424" s="214" t="s">
        <v>44</v>
      </c>
      <c r="G424" s="28"/>
      <c r="H424" s="221">
        <f>H425+H428+H431</f>
        <v>8703</v>
      </c>
    </row>
    <row r="425" spans="1:8" ht="234" x14ac:dyDescent="0.35">
      <c r="A425" s="337"/>
      <c r="B425" s="506" t="s">
        <v>232</v>
      </c>
      <c r="C425" s="212" t="s">
        <v>79</v>
      </c>
      <c r="D425" s="213" t="s">
        <v>45</v>
      </c>
      <c r="E425" s="213" t="s">
        <v>63</v>
      </c>
      <c r="F425" s="214" t="s">
        <v>546</v>
      </c>
      <c r="G425" s="28"/>
      <c r="H425" s="221">
        <f>SUM(H426:H427)</f>
        <v>992.6</v>
      </c>
    </row>
    <row r="426" spans="1:8" ht="90" x14ac:dyDescent="0.35">
      <c r="A426" s="337"/>
      <c r="B426" s="506" t="s">
        <v>49</v>
      </c>
      <c r="C426" s="212" t="s">
        <v>79</v>
      </c>
      <c r="D426" s="213" t="s">
        <v>45</v>
      </c>
      <c r="E426" s="213" t="s">
        <v>63</v>
      </c>
      <c r="F426" s="214" t="s">
        <v>546</v>
      </c>
      <c r="G426" s="28" t="s">
        <v>50</v>
      </c>
      <c r="H426" s="221">
        <f>'прил9 (ведом 23)'!M857</f>
        <v>830.6</v>
      </c>
    </row>
    <row r="427" spans="1:8" ht="36" x14ac:dyDescent="0.35">
      <c r="A427" s="337"/>
      <c r="B427" s="506" t="s">
        <v>55</v>
      </c>
      <c r="C427" s="212" t="s">
        <v>79</v>
      </c>
      <c r="D427" s="213" t="s">
        <v>45</v>
      </c>
      <c r="E427" s="213" t="s">
        <v>63</v>
      </c>
      <c r="F427" s="214" t="s">
        <v>546</v>
      </c>
      <c r="G427" s="28" t="s">
        <v>56</v>
      </c>
      <c r="H427" s="221">
        <f>'прил9 (ведом 23)'!M858</f>
        <v>162</v>
      </c>
    </row>
    <row r="428" spans="1:8" ht="90" x14ac:dyDescent="0.35">
      <c r="A428" s="337"/>
      <c r="B428" s="504" t="s">
        <v>459</v>
      </c>
      <c r="C428" s="212" t="s">
        <v>79</v>
      </c>
      <c r="D428" s="213" t="s">
        <v>45</v>
      </c>
      <c r="E428" s="213" t="s">
        <v>63</v>
      </c>
      <c r="F428" s="214" t="s">
        <v>540</v>
      </c>
      <c r="G428" s="28"/>
      <c r="H428" s="221">
        <f>SUM(H429:H430)</f>
        <v>730</v>
      </c>
    </row>
    <row r="429" spans="1:8" ht="90" x14ac:dyDescent="0.35">
      <c r="A429" s="337"/>
      <c r="B429" s="506" t="s">
        <v>49</v>
      </c>
      <c r="C429" s="212" t="s">
        <v>79</v>
      </c>
      <c r="D429" s="213" t="s">
        <v>45</v>
      </c>
      <c r="E429" s="213" t="s">
        <v>63</v>
      </c>
      <c r="F429" s="214" t="s">
        <v>540</v>
      </c>
      <c r="G429" s="28" t="s">
        <v>50</v>
      </c>
      <c r="H429" s="221">
        <f>'прил9 (ведом 23)'!M860</f>
        <v>649</v>
      </c>
    </row>
    <row r="430" spans="1:8" ht="36" x14ac:dyDescent="0.35">
      <c r="A430" s="337"/>
      <c r="B430" s="506" t="s">
        <v>55</v>
      </c>
      <c r="C430" s="212" t="s">
        <v>79</v>
      </c>
      <c r="D430" s="213" t="s">
        <v>45</v>
      </c>
      <c r="E430" s="213" t="s">
        <v>63</v>
      </c>
      <c r="F430" s="214" t="s">
        <v>540</v>
      </c>
      <c r="G430" s="28" t="s">
        <v>56</v>
      </c>
      <c r="H430" s="221">
        <f>'прил9 (ведом 23)'!M861</f>
        <v>81</v>
      </c>
    </row>
    <row r="431" spans="1:8" ht="72" x14ac:dyDescent="0.35">
      <c r="A431" s="337"/>
      <c r="B431" s="506" t="s">
        <v>231</v>
      </c>
      <c r="C431" s="212" t="s">
        <v>79</v>
      </c>
      <c r="D431" s="213" t="s">
        <v>45</v>
      </c>
      <c r="E431" s="213" t="s">
        <v>63</v>
      </c>
      <c r="F431" s="214" t="s">
        <v>541</v>
      </c>
      <c r="G431" s="28"/>
      <c r="H431" s="221">
        <f>H432+H433</f>
        <v>6980.4</v>
      </c>
    </row>
    <row r="432" spans="1:8" ht="90" x14ac:dyDescent="0.35">
      <c r="A432" s="337"/>
      <c r="B432" s="506" t="s">
        <v>49</v>
      </c>
      <c r="C432" s="212" t="s">
        <v>79</v>
      </c>
      <c r="D432" s="213" t="s">
        <v>45</v>
      </c>
      <c r="E432" s="213" t="s">
        <v>63</v>
      </c>
      <c r="F432" s="214" t="s">
        <v>541</v>
      </c>
      <c r="G432" s="28" t="s">
        <v>50</v>
      </c>
      <c r="H432" s="221">
        <f>'прил9 (ведом 23)'!M863</f>
        <v>6251.4</v>
      </c>
    </row>
    <row r="433" spans="1:8" ht="36" x14ac:dyDescent="0.35">
      <c r="A433" s="337"/>
      <c r="B433" s="506" t="s">
        <v>55</v>
      </c>
      <c r="C433" s="435" t="s">
        <v>79</v>
      </c>
      <c r="D433" s="436" t="s">
        <v>45</v>
      </c>
      <c r="E433" s="436" t="s">
        <v>63</v>
      </c>
      <c r="F433" s="437" t="s">
        <v>541</v>
      </c>
      <c r="G433" s="28" t="s">
        <v>56</v>
      </c>
      <c r="H433" s="221">
        <f>'прил9 (ведом 23)'!M864</f>
        <v>729</v>
      </c>
    </row>
    <row r="434" spans="1:8" ht="72" x14ac:dyDescent="0.35">
      <c r="A434" s="362"/>
      <c r="B434" s="522" t="s">
        <v>447</v>
      </c>
      <c r="C434" s="212" t="s">
        <v>79</v>
      </c>
      <c r="D434" s="213" t="s">
        <v>45</v>
      </c>
      <c r="E434" s="213" t="s">
        <v>52</v>
      </c>
      <c r="F434" s="214" t="s">
        <v>44</v>
      </c>
      <c r="G434" s="28"/>
      <c r="H434" s="221">
        <f>H435</f>
        <v>1539.6</v>
      </c>
    </row>
    <row r="435" spans="1:8" ht="72" x14ac:dyDescent="0.35">
      <c r="A435" s="362"/>
      <c r="B435" s="522" t="s">
        <v>442</v>
      </c>
      <c r="C435" s="212" t="s">
        <v>79</v>
      </c>
      <c r="D435" s="213" t="s">
        <v>45</v>
      </c>
      <c r="E435" s="213" t="s">
        <v>52</v>
      </c>
      <c r="F435" s="214" t="s">
        <v>356</v>
      </c>
      <c r="G435" s="28"/>
      <c r="H435" s="221">
        <f>H436</f>
        <v>1539.6</v>
      </c>
    </row>
    <row r="436" spans="1:8" ht="18" x14ac:dyDescent="0.35">
      <c r="A436" s="362"/>
      <c r="B436" s="509" t="s">
        <v>120</v>
      </c>
      <c r="C436" s="212" t="s">
        <v>79</v>
      </c>
      <c r="D436" s="213" t="s">
        <v>45</v>
      </c>
      <c r="E436" s="213" t="s">
        <v>52</v>
      </c>
      <c r="F436" s="214" t="s">
        <v>356</v>
      </c>
      <c r="G436" s="28" t="s">
        <v>121</v>
      </c>
      <c r="H436" s="221">
        <f>'прил9 (ведом 23)'!M208</f>
        <v>1539.6</v>
      </c>
    </row>
    <row r="437" spans="1:8" ht="36" x14ac:dyDescent="0.35">
      <c r="A437" s="362"/>
      <c r="B437" s="510" t="s">
        <v>727</v>
      </c>
      <c r="C437" s="709" t="s">
        <v>79</v>
      </c>
      <c r="D437" s="710" t="s">
        <v>45</v>
      </c>
      <c r="E437" s="710" t="s">
        <v>65</v>
      </c>
      <c r="F437" s="711" t="s">
        <v>44</v>
      </c>
      <c r="G437" s="10"/>
      <c r="H437" s="221">
        <f>H438</f>
        <v>1150</v>
      </c>
    </row>
    <row r="438" spans="1:8" ht="54" x14ac:dyDescent="0.35">
      <c r="A438" s="362"/>
      <c r="B438" s="510" t="s">
        <v>728</v>
      </c>
      <c r="C438" s="709" t="s">
        <v>79</v>
      </c>
      <c r="D438" s="710" t="s">
        <v>45</v>
      </c>
      <c r="E438" s="710" t="s">
        <v>65</v>
      </c>
      <c r="F438" s="711" t="s">
        <v>726</v>
      </c>
      <c r="G438" s="10"/>
      <c r="H438" s="221">
        <f>H439</f>
        <v>1150</v>
      </c>
    </row>
    <row r="439" spans="1:8" ht="18" x14ac:dyDescent="0.35">
      <c r="A439" s="362"/>
      <c r="B439" s="509" t="s">
        <v>120</v>
      </c>
      <c r="C439" s="709" t="s">
        <v>79</v>
      </c>
      <c r="D439" s="710" t="s">
        <v>45</v>
      </c>
      <c r="E439" s="710" t="s">
        <v>65</v>
      </c>
      <c r="F439" s="711" t="s">
        <v>726</v>
      </c>
      <c r="G439" s="10" t="s">
        <v>121</v>
      </c>
      <c r="H439" s="221">
        <f>'прил9 (ведом 23)'!M214</f>
        <v>1150</v>
      </c>
    </row>
    <row r="440" spans="1:8" ht="36" x14ac:dyDescent="0.35">
      <c r="A440" s="362"/>
      <c r="B440" s="510" t="s">
        <v>731</v>
      </c>
      <c r="C440" s="709" t="s">
        <v>79</v>
      </c>
      <c r="D440" s="710" t="s">
        <v>45</v>
      </c>
      <c r="E440" s="710" t="s">
        <v>224</v>
      </c>
      <c r="F440" s="711" t="s">
        <v>44</v>
      </c>
      <c r="G440" s="10"/>
      <c r="H440" s="221">
        <f>H441</f>
        <v>920</v>
      </c>
    </row>
    <row r="441" spans="1:8" ht="54" x14ac:dyDescent="0.35">
      <c r="A441" s="362"/>
      <c r="B441" s="510" t="s">
        <v>732</v>
      </c>
      <c r="C441" s="709" t="s">
        <v>79</v>
      </c>
      <c r="D441" s="710" t="s">
        <v>45</v>
      </c>
      <c r="E441" s="710" t="s">
        <v>224</v>
      </c>
      <c r="F441" s="711" t="s">
        <v>730</v>
      </c>
      <c r="G441" s="10"/>
      <c r="H441" s="221">
        <f>H442</f>
        <v>920</v>
      </c>
    </row>
    <row r="442" spans="1:8" ht="18" x14ac:dyDescent="0.35">
      <c r="A442" s="362"/>
      <c r="B442" s="517" t="s">
        <v>120</v>
      </c>
      <c r="C442" s="709" t="s">
        <v>79</v>
      </c>
      <c r="D442" s="710" t="s">
        <v>45</v>
      </c>
      <c r="E442" s="710" t="s">
        <v>224</v>
      </c>
      <c r="F442" s="711" t="s">
        <v>730</v>
      </c>
      <c r="G442" s="10" t="s">
        <v>121</v>
      </c>
      <c r="H442" s="221">
        <f>'прил9 (ведом 23)'!M630</f>
        <v>920</v>
      </c>
    </row>
    <row r="443" spans="1:8" ht="69.599999999999994" x14ac:dyDescent="0.3">
      <c r="A443" s="352">
        <v>9</v>
      </c>
      <c r="B443" s="518" t="s">
        <v>332</v>
      </c>
      <c r="C443" s="353" t="s">
        <v>104</v>
      </c>
      <c r="D443" s="353" t="s">
        <v>42</v>
      </c>
      <c r="E443" s="353" t="s">
        <v>43</v>
      </c>
      <c r="F443" s="354" t="s">
        <v>44</v>
      </c>
      <c r="G443" s="395"/>
      <c r="H443" s="258">
        <f>H444+H448+H452</f>
        <v>147551.79999999999</v>
      </c>
    </row>
    <row r="444" spans="1:8" ht="36" x14ac:dyDescent="0.35">
      <c r="A444" s="352"/>
      <c r="B444" s="506" t="s">
        <v>334</v>
      </c>
      <c r="C444" s="212" t="s">
        <v>104</v>
      </c>
      <c r="D444" s="213" t="s">
        <v>45</v>
      </c>
      <c r="E444" s="213" t="s">
        <v>43</v>
      </c>
      <c r="F444" s="214" t="s">
        <v>44</v>
      </c>
      <c r="G444" s="28"/>
      <c r="H444" s="221">
        <f>H445</f>
        <v>79683.3</v>
      </c>
    </row>
    <row r="445" spans="1:8" ht="54" x14ac:dyDescent="0.35">
      <c r="A445" s="352"/>
      <c r="B445" s="507" t="s">
        <v>373</v>
      </c>
      <c r="C445" s="212" t="s">
        <v>104</v>
      </c>
      <c r="D445" s="213" t="s">
        <v>45</v>
      </c>
      <c r="E445" s="213" t="s">
        <v>37</v>
      </c>
      <c r="F445" s="214" t="s">
        <v>44</v>
      </c>
      <c r="G445" s="28"/>
      <c r="H445" s="221">
        <f>H446</f>
        <v>79683.3</v>
      </c>
    </row>
    <row r="446" spans="1:8" ht="54" x14ac:dyDescent="0.35">
      <c r="A446" s="352"/>
      <c r="B446" s="539" t="s">
        <v>500</v>
      </c>
      <c r="C446" s="348" t="s">
        <v>104</v>
      </c>
      <c r="D446" s="349" t="s">
        <v>45</v>
      </c>
      <c r="E446" s="349" t="s">
        <v>37</v>
      </c>
      <c r="F446" s="350" t="s">
        <v>413</v>
      </c>
      <c r="G446" s="427"/>
      <c r="H446" s="221">
        <f>SUM(H447:H447)</f>
        <v>79683.3</v>
      </c>
    </row>
    <row r="447" spans="1:8" ht="36" x14ac:dyDescent="0.35">
      <c r="A447" s="426"/>
      <c r="B447" s="540" t="s">
        <v>203</v>
      </c>
      <c r="C447" s="369" t="s">
        <v>104</v>
      </c>
      <c r="D447" s="370" t="s">
        <v>45</v>
      </c>
      <c r="E447" s="370" t="s">
        <v>37</v>
      </c>
      <c r="F447" s="489" t="s">
        <v>413</v>
      </c>
      <c r="G447" s="429" t="s">
        <v>204</v>
      </c>
      <c r="H447" s="428">
        <f>'прил9 (ведом 23)'!M399</f>
        <v>79683.3</v>
      </c>
    </row>
    <row r="448" spans="1:8" ht="54" x14ac:dyDescent="0.35">
      <c r="A448" s="426"/>
      <c r="B448" s="593" t="s">
        <v>631</v>
      </c>
      <c r="C448" s="709" t="s">
        <v>104</v>
      </c>
      <c r="D448" s="710" t="s">
        <v>34</v>
      </c>
      <c r="E448" s="710" t="s">
        <v>43</v>
      </c>
      <c r="F448" s="711" t="s">
        <v>44</v>
      </c>
      <c r="G448" s="10"/>
      <c r="H448" s="428">
        <f>H449</f>
        <v>7085.7000000000007</v>
      </c>
    </row>
    <row r="449" spans="1:8" ht="36" x14ac:dyDescent="0.35">
      <c r="A449" s="426"/>
      <c r="B449" s="593" t="s">
        <v>632</v>
      </c>
      <c r="C449" s="709" t="s">
        <v>104</v>
      </c>
      <c r="D449" s="710" t="s">
        <v>34</v>
      </c>
      <c r="E449" s="710" t="s">
        <v>37</v>
      </c>
      <c r="F449" s="711" t="s">
        <v>44</v>
      </c>
      <c r="G449" s="10"/>
      <c r="H449" s="428">
        <f>H450</f>
        <v>7085.7000000000007</v>
      </c>
    </row>
    <row r="450" spans="1:8" ht="36" x14ac:dyDescent="0.35">
      <c r="A450" s="426"/>
      <c r="B450" s="593" t="s">
        <v>633</v>
      </c>
      <c r="C450" s="709" t="s">
        <v>104</v>
      </c>
      <c r="D450" s="710" t="s">
        <v>34</v>
      </c>
      <c r="E450" s="710" t="s">
        <v>37</v>
      </c>
      <c r="F450" s="711" t="s">
        <v>634</v>
      </c>
      <c r="G450" s="10"/>
      <c r="H450" s="428">
        <f>H451</f>
        <v>7085.7000000000007</v>
      </c>
    </row>
    <row r="451" spans="1:8" ht="36" x14ac:dyDescent="0.35">
      <c r="A451" s="426"/>
      <c r="B451" s="593" t="s">
        <v>55</v>
      </c>
      <c r="C451" s="709" t="s">
        <v>104</v>
      </c>
      <c r="D451" s="710" t="s">
        <v>34</v>
      </c>
      <c r="E451" s="710" t="s">
        <v>37</v>
      </c>
      <c r="F451" s="711" t="s">
        <v>634</v>
      </c>
      <c r="G451" s="10" t="s">
        <v>56</v>
      </c>
      <c r="H451" s="428">
        <f>'прил9 (ведом 23)'!M194</f>
        <v>7085.7000000000007</v>
      </c>
    </row>
    <row r="452" spans="1:8" ht="36" x14ac:dyDescent="0.35">
      <c r="A452" s="426"/>
      <c r="B452" s="541" t="s">
        <v>479</v>
      </c>
      <c r="C452" s="709" t="s">
        <v>104</v>
      </c>
      <c r="D452" s="710" t="s">
        <v>480</v>
      </c>
      <c r="E452" s="710" t="s">
        <v>43</v>
      </c>
      <c r="F452" s="711" t="s">
        <v>44</v>
      </c>
      <c r="G452" s="429"/>
      <c r="H452" s="428">
        <f>H453+H456</f>
        <v>60782.8</v>
      </c>
    </row>
    <row r="453" spans="1:8" ht="36" x14ac:dyDescent="0.35">
      <c r="A453" s="426"/>
      <c r="B453" s="593" t="s">
        <v>628</v>
      </c>
      <c r="C453" s="709" t="s">
        <v>104</v>
      </c>
      <c r="D453" s="710" t="s">
        <v>480</v>
      </c>
      <c r="E453" s="710" t="s">
        <v>37</v>
      </c>
      <c r="F453" s="711" t="s">
        <v>44</v>
      </c>
      <c r="G453" s="10"/>
      <c r="H453" s="428">
        <f>H454</f>
        <v>92.2</v>
      </c>
    </row>
    <row r="454" spans="1:8" ht="54" x14ac:dyDescent="0.35">
      <c r="A454" s="426"/>
      <c r="B454" s="593" t="s">
        <v>629</v>
      </c>
      <c r="C454" s="709" t="s">
        <v>104</v>
      </c>
      <c r="D454" s="710" t="s">
        <v>480</v>
      </c>
      <c r="E454" s="710" t="s">
        <v>37</v>
      </c>
      <c r="F454" s="711" t="s">
        <v>630</v>
      </c>
      <c r="G454" s="10"/>
      <c r="H454" s="428">
        <f>H455</f>
        <v>92.2</v>
      </c>
    </row>
    <row r="455" spans="1:8" ht="36" x14ac:dyDescent="0.35">
      <c r="A455" s="426"/>
      <c r="B455" s="593" t="s">
        <v>55</v>
      </c>
      <c r="C455" s="709" t="s">
        <v>104</v>
      </c>
      <c r="D455" s="710" t="s">
        <v>480</v>
      </c>
      <c r="E455" s="710" t="s">
        <v>37</v>
      </c>
      <c r="F455" s="711" t="s">
        <v>630</v>
      </c>
      <c r="G455" s="10" t="s">
        <v>56</v>
      </c>
      <c r="H455" s="428">
        <f>'прил9 (ведом 23)'!M61</f>
        <v>92.2</v>
      </c>
    </row>
    <row r="456" spans="1:8" ht="54" x14ac:dyDescent="0.35">
      <c r="A456" s="426"/>
      <c r="B456" s="510" t="s">
        <v>475</v>
      </c>
      <c r="C456" s="709" t="s">
        <v>104</v>
      </c>
      <c r="D456" s="710" t="s">
        <v>480</v>
      </c>
      <c r="E456" s="710" t="s">
        <v>474</v>
      </c>
      <c r="F456" s="711" t="s">
        <v>44</v>
      </c>
      <c r="G456" s="379"/>
      <c r="H456" s="428">
        <f>H457+H459+H461</f>
        <v>60690.600000000006</v>
      </c>
    </row>
    <row r="457" spans="1:8" ht="90" x14ac:dyDescent="0.35">
      <c r="A457" s="426"/>
      <c r="B457" s="593" t="s">
        <v>476</v>
      </c>
      <c r="C457" s="709" t="s">
        <v>104</v>
      </c>
      <c r="D457" s="710" t="s">
        <v>480</v>
      </c>
      <c r="E457" s="710" t="s">
        <v>474</v>
      </c>
      <c r="F457" s="711" t="s">
        <v>625</v>
      </c>
      <c r="G457" s="10"/>
      <c r="H457" s="428">
        <f>H458</f>
        <v>20989.9</v>
      </c>
    </row>
    <row r="458" spans="1:8" ht="36" x14ac:dyDescent="0.35">
      <c r="A458" s="426"/>
      <c r="B458" s="593" t="s">
        <v>203</v>
      </c>
      <c r="C458" s="709" t="s">
        <v>104</v>
      </c>
      <c r="D458" s="710" t="s">
        <v>480</v>
      </c>
      <c r="E458" s="710" t="s">
        <v>474</v>
      </c>
      <c r="F458" s="711" t="s">
        <v>625</v>
      </c>
      <c r="G458" s="10" t="s">
        <v>204</v>
      </c>
      <c r="H458" s="428">
        <f>'прил9 (ведом 23)'!M184</f>
        <v>20989.9</v>
      </c>
    </row>
    <row r="459" spans="1:8" ht="90" x14ac:dyDescent="0.35">
      <c r="A459" s="426"/>
      <c r="B459" s="593" t="s">
        <v>476</v>
      </c>
      <c r="C459" s="709" t="s">
        <v>104</v>
      </c>
      <c r="D459" s="710" t="s">
        <v>480</v>
      </c>
      <c r="E459" s="710" t="s">
        <v>474</v>
      </c>
      <c r="F459" s="711" t="s">
        <v>624</v>
      </c>
      <c r="G459" s="10"/>
      <c r="H459" s="428">
        <f>H460</f>
        <v>36665.9</v>
      </c>
    </row>
    <row r="460" spans="1:8" ht="36" x14ac:dyDescent="0.35">
      <c r="A460" s="426"/>
      <c r="B460" s="594" t="s">
        <v>203</v>
      </c>
      <c r="C460" s="709" t="s">
        <v>104</v>
      </c>
      <c r="D460" s="710" t="s">
        <v>480</v>
      </c>
      <c r="E460" s="710" t="s">
        <v>474</v>
      </c>
      <c r="F460" s="711" t="s">
        <v>624</v>
      </c>
      <c r="G460" s="10" t="s">
        <v>204</v>
      </c>
      <c r="H460" s="428">
        <f>'прил9 (ведом 23)'!M186</f>
        <v>36665.9</v>
      </c>
    </row>
    <row r="461" spans="1:8" ht="90" x14ac:dyDescent="0.35">
      <c r="A461" s="426"/>
      <c r="B461" s="593" t="s">
        <v>476</v>
      </c>
      <c r="C461" s="709" t="s">
        <v>104</v>
      </c>
      <c r="D461" s="710" t="s">
        <v>480</v>
      </c>
      <c r="E461" s="710" t="s">
        <v>474</v>
      </c>
      <c r="F461" s="711" t="s">
        <v>518</v>
      </c>
      <c r="G461" s="10"/>
      <c r="H461" s="428">
        <f>H462</f>
        <v>3034.8</v>
      </c>
    </row>
    <row r="462" spans="1:8" ht="36" x14ac:dyDescent="0.35">
      <c r="A462" s="426"/>
      <c r="B462" s="593" t="s">
        <v>203</v>
      </c>
      <c r="C462" s="709" t="s">
        <v>104</v>
      </c>
      <c r="D462" s="710" t="s">
        <v>480</v>
      </c>
      <c r="E462" s="710" t="s">
        <v>474</v>
      </c>
      <c r="F462" s="711" t="s">
        <v>518</v>
      </c>
      <c r="G462" s="10" t="s">
        <v>204</v>
      </c>
      <c r="H462" s="428">
        <f>'прил9 (ведом 23)'!M188</f>
        <v>3034.8</v>
      </c>
    </row>
    <row r="463" spans="1:8" ht="18" x14ac:dyDescent="0.35">
      <c r="A463" s="426"/>
      <c r="B463" s="507"/>
      <c r="C463" s="213"/>
      <c r="D463" s="213"/>
      <c r="E463" s="213"/>
      <c r="F463" s="214"/>
      <c r="G463" s="28"/>
      <c r="H463" s="428"/>
    </row>
    <row r="464" spans="1:8" s="347" customFormat="1" ht="52.2" x14ac:dyDescent="0.3">
      <c r="A464" s="352">
        <v>10</v>
      </c>
      <c r="B464" s="518" t="s">
        <v>94</v>
      </c>
      <c r="C464" s="353" t="s">
        <v>67</v>
      </c>
      <c r="D464" s="353" t="s">
        <v>42</v>
      </c>
      <c r="E464" s="353" t="s">
        <v>43</v>
      </c>
      <c r="F464" s="354" t="s">
        <v>44</v>
      </c>
      <c r="G464" s="395"/>
      <c r="H464" s="258">
        <f>H465</f>
        <v>14369.400000000001</v>
      </c>
    </row>
    <row r="465" spans="1:8" ht="18" x14ac:dyDescent="0.35">
      <c r="A465" s="337"/>
      <c r="B465" s="506" t="s">
        <v>339</v>
      </c>
      <c r="C465" s="212" t="s">
        <v>67</v>
      </c>
      <c r="D465" s="213" t="s">
        <v>45</v>
      </c>
      <c r="E465" s="213" t="s">
        <v>43</v>
      </c>
      <c r="F465" s="214" t="s">
        <v>44</v>
      </c>
      <c r="G465" s="358"/>
      <c r="H465" s="221">
        <f>H466+H469</f>
        <v>14369.400000000001</v>
      </c>
    </row>
    <row r="466" spans="1:8" ht="36" x14ac:dyDescent="0.35">
      <c r="A466" s="337"/>
      <c r="B466" s="506" t="s">
        <v>95</v>
      </c>
      <c r="C466" s="212" t="s">
        <v>67</v>
      </c>
      <c r="D466" s="213" t="s">
        <v>45</v>
      </c>
      <c r="E466" s="213" t="s">
        <v>37</v>
      </c>
      <c r="F466" s="214" t="s">
        <v>44</v>
      </c>
      <c r="G466" s="358"/>
      <c r="H466" s="221">
        <f>H467</f>
        <v>11070.6</v>
      </c>
    </row>
    <row r="467" spans="1:8" ht="54" x14ac:dyDescent="0.35">
      <c r="A467" s="337"/>
      <c r="B467" s="542" t="s">
        <v>407</v>
      </c>
      <c r="C467" s="212" t="s">
        <v>67</v>
      </c>
      <c r="D467" s="213" t="s">
        <v>45</v>
      </c>
      <c r="E467" s="213" t="s">
        <v>37</v>
      </c>
      <c r="F467" s="214" t="s">
        <v>61</v>
      </c>
      <c r="G467" s="28"/>
      <c r="H467" s="221">
        <f>H468</f>
        <v>11070.6</v>
      </c>
    </row>
    <row r="468" spans="1:8" ht="18" x14ac:dyDescent="0.35">
      <c r="A468" s="337"/>
      <c r="B468" s="506" t="s">
        <v>57</v>
      </c>
      <c r="C468" s="212" t="s">
        <v>67</v>
      </c>
      <c r="D468" s="213" t="s">
        <v>45</v>
      </c>
      <c r="E468" s="213" t="s">
        <v>37</v>
      </c>
      <c r="F468" s="214" t="s">
        <v>61</v>
      </c>
      <c r="G468" s="28" t="s">
        <v>58</v>
      </c>
      <c r="H468" s="221">
        <f>'прил9 (ведом 23)'!M137</f>
        <v>11070.6</v>
      </c>
    </row>
    <row r="469" spans="1:8" ht="54" x14ac:dyDescent="0.35">
      <c r="A469" s="337"/>
      <c r="B469" s="506" t="s">
        <v>96</v>
      </c>
      <c r="C469" s="212" t="s">
        <v>67</v>
      </c>
      <c r="D469" s="213" t="s">
        <v>45</v>
      </c>
      <c r="E469" s="213" t="s">
        <v>39</v>
      </c>
      <c r="F469" s="214" t="s">
        <v>44</v>
      </c>
      <c r="G469" s="28"/>
      <c r="H469" s="221">
        <f>H470</f>
        <v>3298.8</v>
      </c>
    </row>
    <row r="470" spans="1:8" ht="162" x14ac:dyDescent="0.35">
      <c r="A470" s="337"/>
      <c r="B470" s="507" t="s">
        <v>525</v>
      </c>
      <c r="C470" s="212" t="s">
        <v>67</v>
      </c>
      <c r="D470" s="213" t="s">
        <v>45</v>
      </c>
      <c r="E470" s="213" t="s">
        <v>39</v>
      </c>
      <c r="F470" s="214" t="s">
        <v>97</v>
      </c>
      <c r="G470" s="28"/>
      <c r="H470" s="221">
        <f>H471</f>
        <v>3298.8</v>
      </c>
    </row>
    <row r="471" spans="1:8" ht="36" x14ac:dyDescent="0.35">
      <c r="A471" s="337"/>
      <c r="B471" s="506" t="s">
        <v>55</v>
      </c>
      <c r="C471" s="212" t="s">
        <v>67</v>
      </c>
      <c r="D471" s="213" t="s">
        <v>45</v>
      </c>
      <c r="E471" s="213" t="s">
        <v>39</v>
      </c>
      <c r="F471" s="214" t="s">
        <v>97</v>
      </c>
      <c r="G471" s="28" t="s">
        <v>56</v>
      </c>
      <c r="H471" s="221">
        <f>'прил9 (ведом 23)'!M140</f>
        <v>3298.8</v>
      </c>
    </row>
    <row r="472" spans="1:8" ht="18" x14ac:dyDescent="0.35">
      <c r="A472" s="337"/>
      <c r="B472" s="513"/>
      <c r="C472" s="703"/>
      <c r="D472" s="703"/>
      <c r="E472" s="703"/>
      <c r="F472" s="704"/>
      <c r="G472" s="242"/>
      <c r="H472" s="221"/>
    </row>
    <row r="473" spans="1:8" s="347" customFormat="1" ht="52.2" x14ac:dyDescent="0.3">
      <c r="A473" s="352">
        <v>11</v>
      </c>
      <c r="B473" s="518" t="s">
        <v>99</v>
      </c>
      <c r="C473" s="353" t="s">
        <v>100</v>
      </c>
      <c r="D473" s="353" t="s">
        <v>42</v>
      </c>
      <c r="E473" s="353" t="s">
        <v>43</v>
      </c>
      <c r="F473" s="354" t="s">
        <v>44</v>
      </c>
      <c r="G473" s="346"/>
      <c r="H473" s="258">
        <f>H474</f>
        <v>12364.4156</v>
      </c>
    </row>
    <row r="474" spans="1:8" s="347" customFormat="1" ht="18" x14ac:dyDescent="0.35">
      <c r="A474" s="337"/>
      <c r="B474" s="506" t="s">
        <v>339</v>
      </c>
      <c r="C474" s="212" t="s">
        <v>100</v>
      </c>
      <c r="D474" s="213" t="s">
        <v>45</v>
      </c>
      <c r="E474" s="213" t="s">
        <v>43</v>
      </c>
      <c r="F474" s="214" t="s">
        <v>44</v>
      </c>
      <c r="G474" s="28"/>
      <c r="H474" s="221">
        <f>H475</f>
        <v>12364.4156</v>
      </c>
    </row>
    <row r="475" spans="1:8" s="347" customFormat="1" ht="72" x14ac:dyDescent="0.35">
      <c r="A475" s="337"/>
      <c r="B475" s="506" t="s">
        <v>101</v>
      </c>
      <c r="C475" s="212" t="s">
        <v>100</v>
      </c>
      <c r="D475" s="213" t="s">
        <v>45</v>
      </c>
      <c r="E475" s="213" t="s">
        <v>37</v>
      </c>
      <c r="F475" s="214" t="s">
        <v>44</v>
      </c>
      <c r="G475" s="28"/>
      <c r="H475" s="221">
        <f>H476</f>
        <v>12364.4156</v>
      </c>
    </row>
    <row r="476" spans="1:8" s="347" customFormat="1" ht="72" x14ac:dyDescent="0.35">
      <c r="A476" s="337"/>
      <c r="B476" s="514" t="s">
        <v>102</v>
      </c>
      <c r="C476" s="212" t="s">
        <v>100</v>
      </c>
      <c r="D476" s="213" t="s">
        <v>45</v>
      </c>
      <c r="E476" s="213" t="s">
        <v>37</v>
      </c>
      <c r="F476" s="214" t="s">
        <v>103</v>
      </c>
      <c r="G476" s="28"/>
      <c r="H476" s="221">
        <f>H477</f>
        <v>12364.4156</v>
      </c>
    </row>
    <row r="477" spans="1:8" ht="36" x14ac:dyDescent="0.35">
      <c r="A477" s="337"/>
      <c r="B477" s="506" t="s">
        <v>55</v>
      </c>
      <c r="C477" s="212" t="s">
        <v>100</v>
      </c>
      <c r="D477" s="213" t="s">
        <v>45</v>
      </c>
      <c r="E477" s="213" t="s">
        <v>37</v>
      </c>
      <c r="F477" s="214" t="s">
        <v>103</v>
      </c>
      <c r="G477" s="28" t="s">
        <v>56</v>
      </c>
      <c r="H477" s="221">
        <f>'прил9 (ведом 23)'!M146</f>
        <v>12364.4156</v>
      </c>
    </row>
    <row r="478" spans="1:8" ht="18" x14ac:dyDescent="0.35">
      <c r="A478" s="337"/>
      <c r="B478" s="513"/>
      <c r="C478" s="703"/>
      <c r="D478" s="703"/>
      <c r="E478" s="703"/>
      <c r="F478" s="704"/>
      <c r="G478" s="242"/>
      <c r="H478" s="221"/>
    </row>
    <row r="479" spans="1:8" s="347" customFormat="1" ht="69.599999999999994" x14ac:dyDescent="0.3">
      <c r="A479" s="352">
        <v>12</v>
      </c>
      <c r="B479" s="518" t="s">
        <v>107</v>
      </c>
      <c r="C479" s="353" t="s">
        <v>71</v>
      </c>
      <c r="D479" s="353" t="s">
        <v>42</v>
      </c>
      <c r="E479" s="353" t="s">
        <v>43</v>
      </c>
      <c r="F479" s="354" t="s">
        <v>44</v>
      </c>
      <c r="G479" s="346"/>
      <c r="H479" s="258">
        <f>H480+H484</f>
        <v>1066.0999999999999</v>
      </c>
    </row>
    <row r="480" spans="1:8" s="347" customFormat="1" ht="36" x14ac:dyDescent="0.35">
      <c r="A480" s="337"/>
      <c r="B480" s="521" t="s">
        <v>108</v>
      </c>
      <c r="C480" s="212" t="s">
        <v>71</v>
      </c>
      <c r="D480" s="213" t="s">
        <v>45</v>
      </c>
      <c r="E480" s="213" t="s">
        <v>43</v>
      </c>
      <c r="F480" s="214" t="s">
        <v>44</v>
      </c>
      <c r="G480" s="28"/>
      <c r="H480" s="221">
        <f>H481</f>
        <v>340</v>
      </c>
    </row>
    <row r="481" spans="1:8" s="347" customFormat="1" ht="36" x14ac:dyDescent="0.35">
      <c r="A481" s="337"/>
      <c r="B481" s="506" t="s">
        <v>109</v>
      </c>
      <c r="C481" s="212" t="s">
        <v>71</v>
      </c>
      <c r="D481" s="213" t="s">
        <v>45</v>
      </c>
      <c r="E481" s="213" t="s">
        <v>37</v>
      </c>
      <c r="F481" s="214" t="s">
        <v>44</v>
      </c>
      <c r="G481" s="28"/>
      <c r="H481" s="221">
        <f>H482</f>
        <v>340</v>
      </c>
    </row>
    <row r="482" spans="1:8" s="347" customFormat="1" ht="36" x14ac:dyDescent="0.35">
      <c r="A482" s="337"/>
      <c r="B482" s="521" t="s">
        <v>110</v>
      </c>
      <c r="C482" s="212" t="s">
        <v>71</v>
      </c>
      <c r="D482" s="213" t="s">
        <v>45</v>
      </c>
      <c r="E482" s="213" t="s">
        <v>37</v>
      </c>
      <c r="F482" s="214" t="s">
        <v>111</v>
      </c>
      <c r="G482" s="28"/>
      <c r="H482" s="221">
        <f>SUM(H483:H483)</f>
        <v>340</v>
      </c>
    </row>
    <row r="483" spans="1:8" s="347" customFormat="1" ht="36" x14ac:dyDescent="0.35">
      <c r="A483" s="337"/>
      <c r="B483" s="506" t="s">
        <v>55</v>
      </c>
      <c r="C483" s="212" t="s">
        <v>71</v>
      </c>
      <c r="D483" s="213" t="s">
        <v>45</v>
      </c>
      <c r="E483" s="213" t="s">
        <v>37</v>
      </c>
      <c r="F483" s="214" t="s">
        <v>111</v>
      </c>
      <c r="G483" s="28" t="s">
        <v>56</v>
      </c>
      <c r="H483" s="221">
        <f>'прил9 (ведом 23)'!M152</f>
        <v>340</v>
      </c>
    </row>
    <row r="484" spans="1:8" s="347" customFormat="1" ht="36" x14ac:dyDescent="0.35">
      <c r="A484" s="337"/>
      <c r="B484" s="521" t="s">
        <v>112</v>
      </c>
      <c r="C484" s="212" t="s">
        <v>71</v>
      </c>
      <c r="D484" s="213" t="s">
        <v>89</v>
      </c>
      <c r="E484" s="213" t="s">
        <v>43</v>
      </c>
      <c r="F484" s="214" t="s">
        <v>44</v>
      </c>
      <c r="G484" s="28"/>
      <c r="H484" s="221">
        <f>H485</f>
        <v>726.1</v>
      </c>
    </row>
    <row r="485" spans="1:8" s="347" customFormat="1" ht="36" x14ac:dyDescent="0.35">
      <c r="A485" s="337"/>
      <c r="B485" s="521" t="s">
        <v>113</v>
      </c>
      <c r="C485" s="212" t="s">
        <v>71</v>
      </c>
      <c r="D485" s="213" t="s">
        <v>89</v>
      </c>
      <c r="E485" s="213" t="s">
        <v>37</v>
      </c>
      <c r="F485" s="214" t="s">
        <v>44</v>
      </c>
      <c r="G485" s="28"/>
      <c r="H485" s="221">
        <f>H486</f>
        <v>726.1</v>
      </c>
    </row>
    <row r="486" spans="1:8" s="347" customFormat="1" ht="72" x14ac:dyDescent="0.35">
      <c r="A486" s="337"/>
      <c r="B486" s="521" t="s">
        <v>114</v>
      </c>
      <c r="C486" s="212" t="s">
        <v>71</v>
      </c>
      <c r="D486" s="213" t="s">
        <v>89</v>
      </c>
      <c r="E486" s="213" t="s">
        <v>37</v>
      </c>
      <c r="F486" s="214" t="s">
        <v>115</v>
      </c>
      <c r="G486" s="28"/>
      <c r="H486" s="221">
        <f>H487</f>
        <v>726.1</v>
      </c>
    </row>
    <row r="487" spans="1:8" ht="36" x14ac:dyDescent="0.35">
      <c r="A487" s="337"/>
      <c r="B487" s="506" t="s">
        <v>55</v>
      </c>
      <c r="C487" s="212" t="s">
        <v>71</v>
      </c>
      <c r="D487" s="213" t="s">
        <v>89</v>
      </c>
      <c r="E487" s="213" t="s">
        <v>37</v>
      </c>
      <c r="F487" s="214" t="s">
        <v>115</v>
      </c>
      <c r="G487" s="28" t="s">
        <v>56</v>
      </c>
      <c r="H487" s="221">
        <f>'прил9 (ведом 23)'!M156</f>
        <v>726.1</v>
      </c>
    </row>
    <row r="488" spans="1:8" ht="18" x14ac:dyDescent="0.35">
      <c r="A488" s="337"/>
      <c r="B488" s="513"/>
      <c r="C488" s="703"/>
      <c r="D488" s="703"/>
      <c r="E488" s="703"/>
      <c r="F488" s="704"/>
      <c r="G488" s="242"/>
      <c r="H488" s="221"/>
    </row>
    <row r="489" spans="1:8" s="347" customFormat="1" ht="52.2" x14ac:dyDescent="0.3">
      <c r="A489" s="352">
        <v>13</v>
      </c>
      <c r="B489" s="518" t="s">
        <v>116</v>
      </c>
      <c r="C489" s="353" t="s">
        <v>88</v>
      </c>
      <c r="D489" s="353" t="s">
        <v>42</v>
      </c>
      <c r="E489" s="353" t="s">
        <v>43</v>
      </c>
      <c r="F489" s="354" t="s">
        <v>44</v>
      </c>
      <c r="G489" s="346"/>
      <c r="H489" s="258">
        <f>H490</f>
        <v>54785.5</v>
      </c>
    </row>
    <row r="490" spans="1:8" s="347" customFormat="1" ht="18" x14ac:dyDescent="0.35">
      <c r="A490" s="337"/>
      <c r="B490" s="506" t="s">
        <v>339</v>
      </c>
      <c r="C490" s="212" t="s">
        <v>88</v>
      </c>
      <c r="D490" s="213" t="s">
        <v>45</v>
      </c>
      <c r="E490" s="213" t="s">
        <v>43</v>
      </c>
      <c r="F490" s="214" t="s">
        <v>44</v>
      </c>
      <c r="G490" s="28"/>
      <c r="H490" s="221">
        <f>H491</f>
        <v>54785.5</v>
      </c>
    </row>
    <row r="491" spans="1:8" s="347" customFormat="1" ht="54" x14ac:dyDescent="0.35">
      <c r="A491" s="337"/>
      <c r="B491" s="521" t="s">
        <v>307</v>
      </c>
      <c r="C491" s="212" t="s">
        <v>88</v>
      </c>
      <c r="D491" s="213" t="s">
        <v>45</v>
      </c>
      <c r="E491" s="213" t="s">
        <v>37</v>
      </c>
      <c r="F491" s="214" t="s">
        <v>44</v>
      </c>
      <c r="G491" s="28"/>
      <c r="H491" s="221">
        <f>H492+H494+H496</f>
        <v>54785.5</v>
      </c>
    </row>
    <row r="492" spans="1:8" s="347" customFormat="1" ht="54" x14ac:dyDescent="0.35">
      <c r="A492" s="337"/>
      <c r="B492" s="521" t="s">
        <v>117</v>
      </c>
      <c r="C492" s="212" t="s">
        <v>88</v>
      </c>
      <c r="D492" s="213" t="s">
        <v>45</v>
      </c>
      <c r="E492" s="213" t="s">
        <v>37</v>
      </c>
      <c r="F492" s="214" t="s">
        <v>118</v>
      </c>
      <c r="G492" s="28"/>
      <c r="H492" s="221">
        <f>H493</f>
        <v>2274.4</v>
      </c>
    </row>
    <row r="493" spans="1:8" ht="36" x14ac:dyDescent="0.35">
      <c r="A493" s="337"/>
      <c r="B493" s="506" t="s">
        <v>55</v>
      </c>
      <c r="C493" s="212" t="s">
        <v>88</v>
      </c>
      <c r="D493" s="213" t="s">
        <v>45</v>
      </c>
      <c r="E493" s="213" t="s">
        <v>37</v>
      </c>
      <c r="F493" s="214" t="s">
        <v>118</v>
      </c>
      <c r="G493" s="28" t="s">
        <v>56</v>
      </c>
      <c r="H493" s="221">
        <f>'прил9 (ведом 23)'!M161</f>
        <v>2274.4</v>
      </c>
    </row>
    <row r="494" spans="1:8" ht="72" x14ac:dyDescent="0.35">
      <c r="A494" s="337"/>
      <c r="B494" s="507" t="s">
        <v>526</v>
      </c>
      <c r="C494" s="212" t="s">
        <v>88</v>
      </c>
      <c r="D494" s="213" t="s">
        <v>45</v>
      </c>
      <c r="E494" s="213" t="s">
        <v>37</v>
      </c>
      <c r="F494" s="214" t="s">
        <v>524</v>
      </c>
      <c r="G494" s="28"/>
      <c r="H494" s="221">
        <f>H495</f>
        <v>15802.7</v>
      </c>
    </row>
    <row r="495" spans="1:8" ht="36" x14ac:dyDescent="0.35">
      <c r="A495" s="337"/>
      <c r="B495" s="507" t="s">
        <v>55</v>
      </c>
      <c r="C495" s="212" t="s">
        <v>88</v>
      </c>
      <c r="D495" s="213" t="s">
        <v>45</v>
      </c>
      <c r="E495" s="213" t="s">
        <v>37</v>
      </c>
      <c r="F495" s="214" t="s">
        <v>524</v>
      </c>
      <c r="G495" s="28" t="s">
        <v>56</v>
      </c>
      <c r="H495" s="221">
        <f>'прил9 (ведом 23)'!M163</f>
        <v>15802.7</v>
      </c>
    </row>
    <row r="496" spans="1:8" ht="54" x14ac:dyDescent="0.35">
      <c r="A496" s="337"/>
      <c r="B496" s="507" t="s">
        <v>587</v>
      </c>
      <c r="C496" s="212" t="s">
        <v>88</v>
      </c>
      <c r="D496" s="213" t="s">
        <v>45</v>
      </c>
      <c r="E496" s="213" t="s">
        <v>37</v>
      </c>
      <c r="F496" s="214" t="s">
        <v>586</v>
      </c>
      <c r="G496" s="28"/>
      <c r="H496" s="221">
        <f>H497</f>
        <v>36708.400000000001</v>
      </c>
    </row>
    <row r="497" spans="1:8" ht="36" x14ac:dyDescent="0.35">
      <c r="A497" s="337"/>
      <c r="B497" s="507" t="s">
        <v>55</v>
      </c>
      <c r="C497" s="212" t="s">
        <v>88</v>
      </c>
      <c r="D497" s="213" t="s">
        <v>45</v>
      </c>
      <c r="E497" s="213" t="s">
        <v>37</v>
      </c>
      <c r="F497" s="214" t="s">
        <v>586</v>
      </c>
      <c r="G497" s="28" t="s">
        <v>56</v>
      </c>
      <c r="H497" s="221">
        <f>'прил9 (ведом 23)'!M165</f>
        <v>36708.400000000001</v>
      </c>
    </row>
    <row r="498" spans="1:8" s="347" customFormat="1" ht="18" x14ac:dyDescent="0.35">
      <c r="A498" s="337"/>
      <c r="B498" s="509"/>
      <c r="C498" s="703"/>
      <c r="D498" s="703"/>
      <c r="E498" s="703"/>
      <c r="F498" s="704"/>
      <c r="G498" s="242"/>
      <c r="H498" s="221"/>
    </row>
    <row r="499" spans="1:8" s="347" customFormat="1" ht="69.599999999999994" x14ac:dyDescent="0.3">
      <c r="A499" s="352">
        <v>14</v>
      </c>
      <c r="B499" s="518" t="s">
        <v>72</v>
      </c>
      <c r="C499" s="353" t="s">
        <v>73</v>
      </c>
      <c r="D499" s="353" t="s">
        <v>42</v>
      </c>
      <c r="E499" s="353" t="s">
        <v>43</v>
      </c>
      <c r="F499" s="354" t="s">
        <v>44</v>
      </c>
      <c r="G499" s="346"/>
      <c r="H499" s="258">
        <f>H500</f>
        <v>4548.4000000000005</v>
      </c>
    </row>
    <row r="500" spans="1:8" ht="30.75" customHeight="1" x14ac:dyDescent="0.35">
      <c r="A500" s="337"/>
      <c r="B500" s="506" t="s">
        <v>339</v>
      </c>
      <c r="C500" s="212" t="s">
        <v>73</v>
      </c>
      <c r="D500" s="213" t="s">
        <v>45</v>
      </c>
      <c r="E500" s="213" t="s">
        <v>43</v>
      </c>
      <c r="F500" s="214" t="s">
        <v>44</v>
      </c>
      <c r="G500" s="28"/>
      <c r="H500" s="221">
        <f>H501</f>
        <v>4548.4000000000005</v>
      </c>
    </row>
    <row r="501" spans="1:8" ht="36" x14ac:dyDescent="0.35">
      <c r="A501" s="337"/>
      <c r="B501" s="522" t="s">
        <v>266</v>
      </c>
      <c r="C501" s="212" t="s">
        <v>73</v>
      </c>
      <c r="D501" s="213" t="s">
        <v>45</v>
      </c>
      <c r="E501" s="213" t="s">
        <v>37</v>
      </c>
      <c r="F501" s="214" t="s">
        <v>44</v>
      </c>
      <c r="G501" s="28"/>
      <c r="H501" s="221">
        <f>H502</f>
        <v>4548.4000000000005</v>
      </c>
    </row>
    <row r="502" spans="1:8" ht="36" x14ac:dyDescent="0.35">
      <c r="A502" s="337"/>
      <c r="B502" s="522" t="s">
        <v>74</v>
      </c>
      <c r="C502" s="212" t="s">
        <v>73</v>
      </c>
      <c r="D502" s="213" t="s">
        <v>45</v>
      </c>
      <c r="E502" s="213" t="s">
        <v>37</v>
      </c>
      <c r="F502" s="214" t="s">
        <v>75</v>
      </c>
      <c r="G502" s="28"/>
      <c r="H502" s="221">
        <f>H503</f>
        <v>4548.4000000000005</v>
      </c>
    </row>
    <row r="503" spans="1:8" ht="49.5" customHeight="1" x14ac:dyDescent="0.35">
      <c r="A503" s="337"/>
      <c r="B503" s="509" t="s">
        <v>76</v>
      </c>
      <c r="C503" s="212" t="s">
        <v>73</v>
      </c>
      <c r="D503" s="213" t="s">
        <v>45</v>
      </c>
      <c r="E503" s="213" t="s">
        <v>37</v>
      </c>
      <c r="F503" s="214" t="s">
        <v>75</v>
      </c>
      <c r="G503" s="28" t="s">
        <v>77</v>
      </c>
      <c r="H503" s="221">
        <f>'прил9 (ведом 23)'!M66+'прил9 (ведом 23)'!M220</f>
        <v>4548.4000000000005</v>
      </c>
    </row>
    <row r="504" spans="1:8" ht="18" x14ac:dyDescent="0.35">
      <c r="A504" s="337"/>
      <c r="B504" s="509"/>
      <c r="C504" s="703"/>
      <c r="D504" s="703"/>
      <c r="E504" s="703"/>
      <c r="F504" s="704"/>
      <c r="G504" s="242"/>
      <c r="H504" s="221"/>
    </row>
    <row r="505" spans="1:8" s="347" customFormat="1" ht="52.2" x14ac:dyDescent="0.3">
      <c r="A505" s="352">
        <v>15</v>
      </c>
      <c r="B505" s="518" t="s">
        <v>40</v>
      </c>
      <c r="C505" s="353" t="s">
        <v>41</v>
      </c>
      <c r="D505" s="353" t="s">
        <v>42</v>
      </c>
      <c r="E505" s="353" t="s">
        <v>43</v>
      </c>
      <c r="F505" s="354" t="s">
        <v>44</v>
      </c>
      <c r="G505" s="346"/>
      <c r="H505" s="258">
        <f>H506</f>
        <v>162087.89400000003</v>
      </c>
    </row>
    <row r="506" spans="1:8" s="347" customFormat="1" ht="18" x14ac:dyDescent="0.35">
      <c r="A506" s="337"/>
      <c r="B506" s="506" t="s">
        <v>339</v>
      </c>
      <c r="C506" s="212" t="s">
        <v>41</v>
      </c>
      <c r="D506" s="213" t="s">
        <v>45</v>
      </c>
      <c r="E506" s="213" t="s">
        <v>43</v>
      </c>
      <c r="F506" s="214" t="s">
        <v>44</v>
      </c>
      <c r="G506" s="28"/>
      <c r="H506" s="221">
        <f>H507+H510+H528+H536+H541+H557+H545+H552</f>
        <v>162087.89400000003</v>
      </c>
    </row>
    <row r="507" spans="1:8" s="347" customFormat="1" ht="36" x14ac:dyDescent="0.35">
      <c r="A507" s="337"/>
      <c r="B507" s="506" t="s">
        <v>46</v>
      </c>
      <c r="C507" s="212" t="s">
        <v>41</v>
      </c>
      <c r="D507" s="213" t="s">
        <v>45</v>
      </c>
      <c r="E507" s="213" t="s">
        <v>37</v>
      </c>
      <c r="F507" s="214" t="s">
        <v>44</v>
      </c>
      <c r="G507" s="28"/>
      <c r="H507" s="221">
        <f>H508</f>
        <v>2536.8000000000002</v>
      </c>
    </row>
    <row r="508" spans="1:8" s="347" customFormat="1" ht="36" x14ac:dyDescent="0.35">
      <c r="A508" s="337"/>
      <c r="B508" s="506" t="s">
        <v>47</v>
      </c>
      <c r="C508" s="212" t="s">
        <v>41</v>
      </c>
      <c r="D508" s="213" t="s">
        <v>45</v>
      </c>
      <c r="E508" s="213" t="s">
        <v>37</v>
      </c>
      <c r="F508" s="214" t="s">
        <v>48</v>
      </c>
      <c r="G508" s="28"/>
      <c r="H508" s="221">
        <f>H509</f>
        <v>2536.8000000000002</v>
      </c>
    </row>
    <row r="509" spans="1:8" s="347" customFormat="1" ht="90" x14ac:dyDescent="0.35">
      <c r="A509" s="337"/>
      <c r="B509" s="506" t="s">
        <v>49</v>
      </c>
      <c r="C509" s="212" t="s">
        <v>41</v>
      </c>
      <c r="D509" s="213" t="s">
        <v>45</v>
      </c>
      <c r="E509" s="213" t="s">
        <v>37</v>
      </c>
      <c r="F509" s="214" t="s">
        <v>48</v>
      </c>
      <c r="G509" s="28" t="s">
        <v>50</v>
      </c>
      <c r="H509" s="221">
        <f>'прил9 (ведом 23)'!M22</f>
        <v>2536.8000000000002</v>
      </c>
    </row>
    <row r="510" spans="1:8" s="347" customFormat="1" ht="36" x14ac:dyDescent="0.35">
      <c r="A510" s="337"/>
      <c r="B510" s="506" t="s">
        <v>54</v>
      </c>
      <c r="C510" s="212" t="s">
        <v>41</v>
      </c>
      <c r="D510" s="213" t="s">
        <v>45</v>
      </c>
      <c r="E510" s="213" t="s">
        <v>39</v>
      </c>
      <c r="F510" s="214" t="s">
        <v>44</v>
      </c>
      <c r="G510" s="28"/>
      <c r="H510" s="221">
        <f>H511+H518+H520+H522+H516+H525</f>
        <v>83833.984000000011</v>
      </c>
    </row>
    <row r="511" spans="1:8" s="347" customFormat="1" ht="36" x14ac:dyDescent="0.35">
      <c r="A511" s="337"/>
      <c r="B511" s="506" t="s">
        <v>47</v>
      </c>
      <c r="C511" s="212" t="s">
        <v>41</v>
      </c>
      <c r="D511" s="213" t="s">
        <v>45</v>
      </c>
      <c r="E511" s="213" t="s">
        <v>39</v>
      </c>
      <c r="F511" s="214" t="s">
        <v>48</v>
      </c>
      <c r="G511" s="28"/>
      <c r="H511" s="221">
        <f>SUM(H512:H515)</f>
        <v>78331.784</v>
      </c>
    </row>
    <row r="512" spans="1:8" s="347" customFormat="1" ht="90" x14ac:dyDescent="0.35">
      <c r="A512" s="337"/>
      <c r="B512" s="506" t="s">
        <v>49</v>
      </c>
      <c r="C512" s="212" t="s">
        <v>41</v>
      </c>
      <c r="D512" s="213" t="s">
        <v>45</v>
      </c>
      <c r="E512" s="213" t="s">
        <v>39</v>
      </c>
      <c r="F512" s="214" t="s">
        <v>48</v>
      </c>
      <c r="G512" s="28" t="s">
        <v>50</v>
      </c>
      <c r="H512" s="221">
        <f>'прил9 (ведом 23)'!M28</f>
        <v>76977.671549999999</v>
      </c>
    </row>
    <row r="513" spans="1:8" ht="36" x14ac:dyDescent="0.35">
      <c r="A513" s="337"/>
      <c r="B513" s="506" t="s">
        <v>55</v>
      </c>
      <c r="C513" s="212" t="s">
        <v>41</v>
      </c>
      <c r="D513" s="213" t="s">
        <v>45</v>
      </c>
      <c r="E513" s="213" t="s">
        <v>39</v>
      </c>
      <c r="F513" s="214" t="s">
        <v>48</v>
      </c>
      <c r="G513" s="28" t="s">
        <v>56</v>
      </c>
      <c r="H513" s="221">
        <f>'прил9 (ведом 23)'!M29</f>
        <v>1095.0839999999998</v>
      </c>
    </row>
    <row r="514" spans="1:8" ht="18" x14ac:dyDescent="0.35">
      <c r="A514" s="337"/>
      <c r="B514" s="517" t="s">
        <v>120</v>
      </c>
      <c r="C514" s="709" t="s">
        <v>41</v>
      </c>
      <c r="D514" s="710" t="s">
        <v>45</v>
      </c>
      <c r="E514" s="710" t="s">
        <v>39</v>
      </c>
      <c r="F514" s="711" t="s">
        <v>48</v>
      </c>
      <c r="G514" s="10" t="s">
        <v>121</v>
      </c>
      <c r="H514" s="221">
        <f>'прил9 (ведом 23)'!M30</f>
        <v>187.52845000000002</v>
      </c>
    </row>
    <row r="515" spans="1:8" s="347" customFormat="1" ht="18" x14ac:dyDescent="0.35">
      <c r="A515" s="337"/>
      <c r="B515" s="506" t="s">
        <v>57</v>
      </c>
      <c r="C515" s="212" t="s">
        <v>41</v>
      </c>
      <c r="D515" s="213" t="s">
        <v>45</v>
      </c>
      <c r="E515" s="213" t="s">
        <v>39</v>
      </c>
      <c r="F515" s="214" t="s">
        <v>48</v>
      </c>
      <c r="G515" s="28" t="s">
        <v>58</v>
      </c>
      <c r="H515" s="221">
        <f>'прил9 (ведом 23)'!M31</f>
        <v>71.5</v>
      </c>
    </row>
    <row r="516" spans="1:8" s="347" customFormat="1" ht="72" x14ac:dyDescent="0.35">
      <c r="A516" s="337"/>
      <c r="B516" s="507" t="s">
        <v>385</v>
      </c>
      <c r="C516" s="212" t="s">
        <v>41</v>
      </c>
      <c r="D516" s="213" t="s">
        <v>45</v>
      </c>
      <c r="E516" s="213" t="s">
        <v>39</v>
      </c>
      <c r="F516" s="214" t="s">
        <v>384</v>
      </c>
      <c r="G516" s="28"/>
      <c r="H516" s="221">
        <f>H517</f>
        <v>19.8</v>
      </c>
    </row>
    <row r="517" spans="1:8" s="347" customFormat="1" ht="36" x14ac:dyDescent="0.35">
      <c r="A517" s="337"/>
      <c r="B517" s="507" t="s">
        <v>55</v>
      </c>
      <c r="C517" s="212" t="s">
        <v>41</v>
      </c>
      <c r="D517" s="213" t="s">
        <v>45</v>
      </c>
      <c r="E517" s="213" t="s">
        <v>39</v>
      </c>
      <c r="F517" s="214" t="s">
        <v>384</v>
      </c>
      <c r="G517" s="28" t="s">
        <v>56</v>
      </c>
      <c r="H517" s="221">
        <f>'прил9 (ведом 23)'!M50</f>
        <v>19.8</v>
      </c>
    </row>
    <row r="518" spans="1:8" ht="90" x14ac:dyDescent="0.35">
      <c r="A518" s="337"/>
      <c r="B518" s="506" t="s">
        <v>443</v>
      </c>
      <c r="C518" s="212" t="s">
        <v>41</v>
      </c>
      <c r="D518" s="213" t="s">
        <v>45</v>
      </c>
      <c r="E518" s="213" t="s">
        <v>39</v>
      </c>
      <c r="F518" s="214" t="s">
        <v>265</v>
      </c>
      <c r="G518" s="28"/>
      <c r="H518" s="221">
        <f>H519</f>
        <v>63</v>
      </c>
    </row>
    <row r="519" spans="1:8" ht="36" x14ac:dyDescent="0.35">
      <c r="A519" s="337"/>
      <c r="B519" s="506" t="s">
        <v>55</v>
      </c>
      <c r="C519" s="212" t="s">
        <v>41</v>
      </c>
      <c r="D519" s="213" t="s">
        <v>45</v>
      </c>
      <c r="E519" s="213" t="s">
        <v>39</v>
      </c>
      <c r="F519" s="214" t="s">
        <v>265</v>
      </c>
      <c r="G519" s="28" t="s">
        <v>56</v>
      </c>
      <c r="H519" s="221">
        <f>'прил9 (ведом 23)'!M33</f>
        <v>63</v>
      </c>
    </row>
    <row r="520" spans="1:8" ht="173.25" customHeight="1" x14ac:dyDescent="0.35">
      <c r="A520" s="337"/>
      <c r="B520" s="542" t="s">
        <v>451</v>
      </c>
      <c r="C520" s="212" t="s">
        <v>41</v>
      </c>
      <c r="D520" s="213" t="s">
        <v>45</v>
      </c>
      <c r="E520" s="213" t="s">
        <v>39</v>
      </c>
      <c r="F520" s="214" t="s">
        <v>59</v>
      </c>
      <c r="G520" s="28"/>
      <c r="H520" s="221">
        <f>H521</f>
        <v>729.8</v>
      </c>
    </row>
    <row r="521" spans="1:8" ht="90" x14ac:dyDescent="0.35">
      <c r="A521" s="337"/>
      <c r="B521" s="507" t="s">
        <v>49</v>
      </c>
      <c r="C521" s="212" t="s">
        <v>41</v>
      </c>
      <c r="D521" s="213" t="s">
        <v>45</v>
      </c>
      <c r="E521" s="213" t="s">
        <v>39</v>
      </c>
      <c r="F521" s="214" t="s">
        <v>59</v>
      </c>
      <c r="G521" s="28" t="s">
        <v>50</v>
      </c>
      <c r="H521" s="221">
        <f>'прил9 (ведом 23)'!M35</f>
        <v>729.8</v>
      </c>
    </row>
    <row r="522" spans="1:8" ht="54" x14ac:dyDescent="0.35">
      <c r="A522" s="337"/>
      <c r="B522" s="507" t="s">
        <v>407</v>
      </c>
      <c r="C522" s="212" t="s">
        <v>41</v>
      </c>
      <c r="D522" s="213" t="s">
        <v>45</v>
      </c>
      <c r="E522" s="213" t="s">
        <v>39</v>
      </c>
      <c r="F522" s="214" t="s">
        <v>61</v>
      </c>
      <c r="G522" s="28"/>
      <c r="H522" s="221">
        <f>H523+H524</f>
        <v>730</v>
      </c>
    </row>
    <row r="523" spans="1:8" ht="90" x14ac:dyDescent="0.35">
      <c r="A523" s="337"/>
      <c r="B523" s="507" t="s">
        <v>49</v>
      </c>
      <c r="C523" s="212" t="s">
        <v>41</v>
      </c>
      <c r="D523" s="213" t="s">
        <v>45</v>
      </c>
      <c r="E523" s="213" t="s">
        <v>39</v>
      </c>
      <c r="F523" s="214" t="s">
        <v>61</v>
      </c>
      <c r="G523" s="28" t="s">
        <v>50</v>
      </c>
      <c r="H523" s="221">
        <f>'прил9 (ведом 23)'!M37</f>
        <v>725.8</v>
      </c>
    </row>
    <row r="524" spans="1:8" ht="36" x14ac:dyDescent="0.35">
      <c r="A524" s="337"/>
      <c r="B524" s="507" t="s">
        <v>55</v>
      </c>
      <c r="C524" s="212" t="s">
        <v>41</v>
      </c>
      <c r="D524" s="213" t="s">
        <v>45</v>
      </c>
      <c r="E524" s="213" t="s">
        <v>39</v>
      </c>
      <c r="F524" s="214" t="s">
        <v>61</v>
      </c>
      <c r="G524" s="28" t="s">
        <v>56</v>
      </c>
      <c r="H524" s="221">
        <f>'прил9 (ведом 23)'!M38</f>
        <v>4.2</v>
      </c>
    </row>
    <row r="525" spans="1:8" ht="72" x14ac:dyDescent="0.35">
      <c r="A525" s="337"/>
      <c r="B525" s="506" t="s">
        <v>60</v>
      </c>
      <c r="C525" s="212" t="s">
        <v>41</v>
      </c>
      <c r="D525" s="213" t="s">
        <v>45</v>
      </c>
      <c r="E525" s="213" t="s">
        <v>39</v>
      </c>
      <c r="F525" s="214" t="s">
        <v>539</v>
      </c>
      <c r="G525" s="28"/>
      <c r="H525" s="221">
        <f>H526+H527</f>
        <v>3959.6</v>
      </c>
    </row>
    <row r="526" spans="1:8" ht="90" x14ac:dyDescent="0.35">
      <c r="A526" s="337"/>
      <c r="B526" s="506" t="s">
        <v>49</v>
      </c>
      <c r="C526" s="212" t="s">
        <v>41</v>
      </c>
      <c r="D526" s="213" t="s">
        <v>45</v>
      </c>
      <c r="E526" s="213" t="s">
        <v>39</v>
      </c>
      <c r="F526" s="214" t="s">
        <v>539</v>
      </c>
      <c r="G526" s="28" t="s">
        <v>50</v>
      </c>
      <c r="H526" s="221">
        <f>'прил9 (ведом 23)'!M40</f>
        <v>3918.5</v>
      </c>
    </row>
    <row r="527" spans="1:8" ht="36" x14ac:dyDescent="0.35">
      <c r="A527" s="337"/>
      <c r="B527" s="507" t="s">
        <v>55</v>
      </c>
      <c r="C527" s="212" t="s">
        <v>41</v>
      </c>
      <c r="D527" s="213" t="s">
        <v>45</v>
      </c>
      <c r="E527" s="213" t="s">
        <v>39</v>
      </c>
      <c r="F527" s="214" t="s">
        <v>539</v>
      </c>
      <c r="G527" s="28" t="s">
        <v>56</v>
      </c>
      <c r="H527" s="221">
        <f>'прил9 (ведом 23)'!M41</f>
        <v>41.100000000000009</v>
      </c>
    </row>
    <row r="528" spans="1:8" ht="18" x14ac:dyDescent="0.35">
      <c r="A528" s="337"/>
      <c r="B528" s="506" t="s">
        <v>62</v>
      </c>
      <c r="C528" s="212" t="s">
        <v>41</v>
      </c>
      <c r="D528" s="213" t="s">
        <v>45</v>
      </c>
      <c r="E528" s="213" t="s">
        <v>63</v>
      </c>
      <c r="F528" s="214" t="s">
        <v>44</v>
      </c>
      <c r="G528" s="28"/>
      <c r="H528" s="221">
        <f>H529+H531+H533</f>
        <v>6581.0999999999995</v>
      </c>
    </row>
    <row r="529" spans="1:8" ht="36" x14ac:dyDescent="0.35">
      <c r="A529" s="337"/>
      <c r="B529" s="506" t="s">
        <v>47</v>
      </c>
      <c r="C529" s="212" t="s">
        <v>41</v>
      </c>
      <c r="D529" s="213" t="s">
        <v>45</v>
      </c>
      <c r="E529" s="213" t="s">
        <v>63</v>
      </c>
      <c r="F529" s="214" t="s">
        <v>48</v>
      </c>
      <c r="G529" s="28"/>
      <c r="H529" s="221">
        <f>H530</f>
        <v>4.5</v>
      </c>
    </row>
    <row r="530" spans="1:8" ht="36" x14ac:dyDescent="0.35">
      <c r="A530" s="337"/>
      <c r="B530" s="506" t="s">
        <v>55</v>
      </c>
      <c r="C530" s="212" t="s">
        <v>41</v>
      </c>
      <c r="D530" s="213" t="s">
        <v>45</v>
      </c>
      <c r="E530" s="213" t="s">
        <v>63</v>
      </c>
      <c r="F530" s="214" t="s">
        <v>48</v>
      </c>
      <c r="G530" s="28" t="s">
        <v>56</v>
      </c>
      <c r="H530" s="221">
        <f>'прил9 (ведом 23)'!M44</f>
        <v>4.5</v>
      </c>
    </row>
    <row r="531" spans="1:8" ht="36" x14ac:dyDescent="0.35">
      <c r="A531" s="337"/>
      <c r="B531" s="507" t="s">
        <v>532</v>
      </c>
      <c r="C531" s="212" t="s">
        <v>41</v>
      </c>
      <c r="D531" s="213" t="s">
        <v>45</v>
      </c>
      <c r="E531" s="213" t="s">
        <v>63</v>
      </c>
      <c r="F531" s="214" t="s">
        <v>531</v>
      </c>
      <c r="G531" s="28"/>
      <c r="H531" s="221">
        <f>H532</f>
        <v>130.9</v>
      </c>
    </row>
    <row r="532" spans="1:8" ht="36" x14ac:dyDescent="0.35">
      <c r="A532" s="337"/>
      <c r="B532" s="507" t="s">
        <v>55</v>
      </c>
      <c r="C532" s="212" t="s">
        <v>41</v>
      </c>
      <c r="D532" s="213" t="s">
        <v>45</v>
      </c>
      <c r="E532" s="213" t="s">
        <v>63</v>
      </c>
      <c r="F532" s="214" t="s">
        <v>531</v>
      </c>
      <c r="G532" s="28" t="s">
        <v>56</v>
      </c>
      <c r="H532" s="221">
        <f>'прил9 (ведом 23)'!M201</f>
        <v>130.9</v>
      </c>
    </row>
    <row r="533" spans="1:8" ht="54" x14ac:dyDescent="0.35">
      <c r="A533" s="337"/>
      <c r="B533" s="507" t="s">
        <v>379</v>
      </c>
      <c r="C533" s="212" t="s">
        <v>41</v>
      </c>
      <c r="D533" s="213" t="s">
        <v>45</v>
      </c>
      <c r="E533" s="213" t="s">
        <v>63</v>
      </c>
      <c r="F533" s="214" t="s">
        <v>378</v>
      </c>
      <c r="G533" s="28"/>
      <c r="H533" s="221">
        <f>H534+H535</f>
        <v>6445.7</v>
      </c>
    </row>
    <row r="534" spans="1:8" ht="36" x14ac:dyDescent="0.35">
      <c r="A534" s="337"/>
      <c r="B534" s="507" t="s">
        <v>55</v>
      </c>
      <c r="C534" s="212" t="s">
        <v>41</v>
      </c>
      <c r="D534" s="213" t="s">
        <v>45</v>
      </c>
      <c r="E534" s="213" t="s">
        <v>63</v>
      </c>
      <c r="F534" s="214" t="s">
        <v>378</v>
      </c>
      <c r="G534" s="28" t="s">
        <v>56</v>
      </c>
      <c r="H534" s="221">
        <f>'прил9 (ведом 23)'!M71</f>
        <v>6219.4</v>
      </c>
    </row>
    <row r="535" spans="1:8" ht="18" x14ac:dyDescent="0.35">
      <c r="A535" s="337"/>
      <c r="B535" s="507" t="s">
        <v>57</v>
      </c>
      <c r="C535" s="212" t="s">
        <v>41</v>
      </c>
      <c r="D535" s="213" t="s">
        <v>45</v>
      </c>
      <c r="E535" s="213" t="s">
        <v>63</v>
      </c>
      <c r="F535" s="214" t="s">
        <v>378</v>
      </c>
      <c r="G535" s="28" t="s">
        <v>58</v>
      </c>
      <c r="H535" s="221">
        <f>'прил9 (ведом 23)'!M72</f>
        <v>226.3</v>
      </c>
    </row>
    <row r="536" spans="1:8" ht="18" x14ac:dyDescent="0.35">
      <c r="A536" s="337"/>
      <c r="B536" s="506" t="s">
        <v>64</v>
      </c>
      <c r="C536" s="212" t="s">
        <v>41</v>
      </c>
      <c r="D536" s="213" t="s">
        <v>45</v>
      </c>
      <c r="E536" s="213" t="s">
        <v>52</v>
      </c>
      <c r="F536" s="214" t="s">
        <v>44</v>
      </c>
      <c r="G536" s="28"/>
      <c r="H536" s="221">
        <f>H537+H539</f>
        <v>6438.7</v>
      </c>
    </row>
    <row r="537" spans="1:8" ht="54" x14ac:dyDescent="0.35">
      <c r="A537" s="337"/>
      <c r="B537" s="521" t="s">
        <v>352</v>
      </c>
      <c r="C537" s="212" t="s">
        <v>41</v>
      </c>
      <c r="D537" s="213" t="s">
        <v>45</v>
      </c>
      <c r="E537" s="213" t="s">
        <v>52</v>
      </c>
      <c r="F537" s="214" t="s">
        <v>105</v>
      </c>
      <c r="G537" s="28"/>
      <c r="H537" s="221">
        <f>H538</f>
        <v>3349.7</v>
      </c>
    </row>
    <row r="538" spans="1:8" ht="36" x14ac:dyDescent="0.35">
      <c r="A538" s="337"/>
      <c r="B538" s="506" t="s">
        <v>55</v>
      </c>
      <c r="C538" s="212" t="s">
        <v>41</v>
      </c>
      <c r="D538" s="213" t="s">
        <v>45</v>
      </c>
      <c r="E538" s="213" t="s">
        <v>52</v>
      </c>
      <c r="F538" s="214" t="s">
        <v>105</v>
      </c>
      <c r="G538" s="28" t="s">
        <v>56</v>
      </c>
      <c r="H538" s="221">
        <f>'прил9 (ведом 23)'!M75</f>
        <v>3349.7</v>
      </c>
    </row>
    <row r="539" spans="1:8" ht="54" x14ac:dyDescent="0.35">
      <c r="A539" s="337"/>
      <c r="B539" s="506" t="s">
        <v>354</v>
      </c>
      <c r="C539" s="212" t="s">
        <v>41</v>
      </c>
      <c r="D539" s="213" t="s">
        <v>45</v>
      </c>
      <c r="E539" s="213" t="s">
        <v>52</v>
      </c>
      <c r="F539" s="214" t="s">
        <v>353</v>
      </c>
      <c r="G539" s="28"/>
      <c r="H539" s="221">
        <f>H540</f>
        <v>3089</v>
      </c>
    </row>
    <row r="540" spans="1:8" ht="36" x14ac:dyDescent="0.35">
      <c r="A540" s="337"/>
      <c r="B540" s="506" t="s">
        <v>55</v>
      </c>
      <c r="C540" s="212" t="s">
        <v>41</v>
      </c>
      <c r="D540" s="213" t="s">
        <v>45</v>
      </c>
      <c r="E540" s="213" t="s">
        <v>52</v>
      </c>
      <c r="F540" s="214" t="s">
        <v>353</v>
      </c>
      <c r="G540" s="28" t="s">
        <v>56</v>
      </c>
      <c r="H540" s="221">
        <f>'прил9 (ведом 23)'!M77</f>
        <v>3089</v>
      </c>
    </row>
    <row r="541" spans="1:8" ht="72" x14ac:dyDescent="0.35">
      <c r="A541" s="362"/>
      <c r="B541" s="529" t="s">
        <v>299</v>
      </c>
      <c r="C541" s="355" t="s">
        <v>41</v>
      </c>
      <c r="D541" s="363" t="s">
        <v>45</v>
      </c>
      <c r="E541" s="363" t="s">
        <v>81</v>
      </c>
      <c r="F541" s="373" t="s">
        <v>44</v>
      </c>
      <c r="G541" s="374"/>
      <c r="H541" s="221">
        <f>H542</f>
        <v>6227.4000000000005</v>
      </c>
    </row>
    <row r="542" spans="1:8" ht="36" x14ac:dyDescent="0.35">
      <c r="A542" s="362"/>
      <c r="B542" s="506" t="s">
        <v>464</v>
      </c>
      <c r="C542" s="355" t="s">
        <v>41</v>
      </c>
      <c r="D542" s="363" t="s">
        <v>45</v>
      </c>
      <c r="E542" s="363" t="s">
        <v>81</v>
      </c>
      <c r="F542" s="373" t="s">
        <v>91</v>
      </c>
      <c r="G542" s="374"/>
      <c r="H542" s="221">
        <f>SUM(H543:H544)</f>
        <v>6227.4000000000005</v>
      </c>
    </row>
    <row r="543" spans="1:8" ht="90" x14ac:dyDescent="0.35">
      <c r="A543" s="362"/>
      <c r="B543" s="529" t="s">
        <v>49</v>
      </c>
      <c r="C543" s="355" t="s">
        <v>41</v>
      </c>
      <c r="D543" s="363" t="s">
        <v>45</v>
      </c>
      <c r="E543" s="363" t="s">
        <v>81</v>
      </c>
      <c r="F543" s="373" t="s">
        <v>91</v>
      </c>
      <c r="G543" s="374" t="s">
        <v>50</v>
      </c>
      <c r="H543" s="221">
        <f>'прил9 (ведом 23)'!M375</f>
        <v>5728.3</v>
      </c>
    </row>
    <row r="544" spans="1:8" ht="36" x14ac:dyDescent="0.35">
      <c r="A544" s="362"/>
      <c r="B544" s="506" t="s">
        <v>55</v>
      </c>
      <c r="C544" s="355" t="s">
        <v>41</v>
      </c>
      <c r="D544" s="363" t="s">
        <v>45</v>
      </c>
      <c r="E544" s="363" t="s">
        <v>81</v>
      </c>
      <c r="F544" s="373" t="s">
        <v>91</v>
      </c>
      <c r="G544" s="374" t="s">
        <v>56</v>
      </c>
      <c r="H544" s="221">
        <f>'прил9 (ведом 23)'!M376</f>
        <v>499.09999999999997</v>
      </c>
    </row>
    <row r="545" spans="1:8" ht="36" x14ac:dyDescent="0.35">
      <c r="A545" s="362"/>
      <c r="B545" s="510" t="s">
        <v>331</v>
      </c>
      <c r="C545" s="709" t="s">
        <v>41</v>
      </c>
      <c r="D545" s="710" t="s">
        <v>45</v>
      </c>
      <c r="E545" s="710" t="s">
        <v>88</v>
      </c>
      <c r="F545" s="711" t="s">
        <v>44</v>
      </c>
      <c r="G545" s="374"/>
      <c r="H545" s="221">
        <f>H546+H548+H550</f>
        <v>12114.7</v>
      </c>
    </row>
    <row r="546" spans="1:8" ht="36" x14ac:dyDescent="0.35">
      <c r="A546" s="362"/>
      <c r="B546" s="507" t="s">
        <v>565</v>
      </c>
      <c r="C546" s="212" t="s">
        <v>41</v>
      </c>
      <c r="D546" s="213" t="s">
        <v>45</v>
      </c>
      <c r="E546" s="213" t="s">
        <v>88</v>
      </c>
      <c r="F546" s="214" t="s">
        <v>566</v>
      </c>
      <c r="G546" s="28"/>
      <c r="H546" s="221">
        <f>H547</f>
        <v>471.7</v>
      </c>
    </row>
    <row r="547" spans="1:8" ht="36" x14ac:dyDescent="0.35">
      <c r="A547" s="362"/>
      <c r="B547" s="507" t="s">
        <v>55</v>
      </c>
      <c r="C547" s="212" t="s">
        <v>41</v>
      </c>
      <c r="D547" s="213" t="s">
        <v>45</v>
      </c>
      <c r="E547" s="213" t="s">
        <v>88</v>
      </c>
      <c r="F547" s="214" t="s">
        <v>566</v>
      </c>
      <c r="G547" s="28" t="s">
        <v>56</v>
      </c>
      <c r="H547" s="221">
        <f>'прил9 (ведом 23)'!M170</f>
        <v>471.7</v>
      </c>
    </row>
    <row r="548" spans="1:8" ht="36" x14ac:dyDescent="0.35">
      <c r="A548" s="362"/>
      <c r="B548" s="507" t="s">
        <v>538</v>
      </c>
      <c r="C548" s="212" t="s">
        <v>41</v>
      </c>
      <c r="D548" s="213" t="s">
        <v>45</v>
      </c>
      <c r="E548" s="213" t="s">
        <v>88</v>
      </c>
      <c r="F548" s="214" t="s">
        <v>537</v>
      </c>
      <c r="G548" s="28"/>
      <c r="H548" s="221">
        <f>H549</f>
        <v>1743</v>
      </c>
    </row>
    <row r="549" spans="1:8" ht="36" x14ac:dyDescent="0.35">
      <c r="A549" s="362"/>
      <c r="B549" s="507" t="s">
        <v>55</v>
      </c>
      <c r="C549" s="212" t="s">
        <v>41</v>
      </c>
      <c r="D549" s="213" t="s">
        <v>45</v>
      </c>
      <c r="E549" s="213" t="s">
        <v>88</v>
      </c>
      <c r="F549" s="214" t="s">
        <v>537</v>
      </c>
      <c r="G549" s="28" t="s">
        <v>56</v>
      </c>
      <c r="H549" s="221">
        <f>'прил9 (ведом 23)'!M172</f>
        <v>1743</v>
      </c>
    </row>
    <row r="550" spans="1:8" ht="54" x14ac:dyDescent="0.35">
      <c r="A550" s="362"/>
      <c r="B550" s="510" t="s">
        <v>725</v>
      </c>
      <c r="C550" s="709" t="s">
        <v>41</v>
      </c>
      <c r="D550" s="710" t="s">
        <v>45</v>
      </c>
      <c r="E550" s="710" t="s">
        <v>88</v>
      </c>
      <c r="F550" s="711" t="s">
        <v>724</v>
      </c>
      <c r="G550" s="10"/>
      <c r="H550" s="221">
        <f>H551</f>
        <v>9900</v>
      </c>
    </row>
    <row r="551" spans="1:8" ht="36" x14ac:dyDescent="0.35">
      <c r="A551" s="362"/>
      <c r="B551" s="510" t="s">
        <v>55</v>
      </c>
      <c r="C551" s="709" t="s">
        <v>41</v>
      </c>
      <c r="D551" s="710" t="s">
        <v>45</v>
      </c>
      <c r="E551" s="710" t="s">
        <v>88</v>
      </c>
      <c r="F551" s="711" t="s">
        <v>724</v>
      </c>
      <c r="G551" s="10" t="s">
        <v>56</v>
      </c>
      <c r="H551" s="221">
        <f>'прил9 (ведом 23)'!M174</f>
        <v>9900</v>
      </c>
    </row>
    <row r="552" spans="1:8" ht="18" x14ac:dyDescent="0.35">
      <c r="A552" s="362"/>
      <c r="B552" s="593" t="s">
        <v>374</v>
      </c>
      <c r="C552" s="709" t="s">
        <v>41</v>
      </c>
      <c r="D552" s="710" t="s">
        <v>45</v>
      </c>
      <c r="E552" s="710" t="s">
        <v>672</v>
      </c>
      <c r="F552" s="711" t="s">
        <v>44</v>
      </c>
      <c r="G552" s="28"/>
      <c r="H552" s="221">
        <f>H555+H553</f>
        <v>2627.3</v>
      </c>
    </row>
    <row r="553" spans="1:8" ht="36" x14ac:dyDescent="0.35">
      <c r="A553" s="362"/>
      <c r="B553" s="593" t="s">
        <v>372</v>
      </c>
      <c r="C553" s="709" t="s">
        <v>41</v>
      </c>
      <c r="D553" s="710" t="s">
        <v>45</v>
      </c>
      <c r="E553" s="710" t="s">
        <v>672</v>
      </c>
      <c r="F553" s="711" t="s">
        <v>371</v>
      </c>
      <c r="G553" s="10"/>
      <c r="H553" s="221">
        <f>H554</f>
        <v>1048.2</v>
      </c>
    </row>
    <row r="554" spans="1:8" ht="36" x14ac:dyDescent="0.35">
      <c r="A554" s="362"/>
      <c r="B554" s="593" t="s">
        <v>55</v>
      </c>
      <c r="C554" s="709" t="s">
        <v>41</v>
      </c>
      <c r="D554" s="710" t="s">
        <v>45</v>
      </c>
      <c r="E554" s="710" t="s">
        <v>672</v>
      </c>
      <c r="F554" s="711" t="s">
        <v>371</v>
      </c>
      <c r="G554" s="10" t="s">
        <v>56</v>
      </c>
      <c r="H554" s="221">
        <f>'прил9 (ведом 23)'!M177</f>
        <v>1048.2</v>
      </c>
    </row>
    <row r="555" spans="1:8" ht="36" x14ac:dyDescent="0.35">
      <c r="A555" s="362"/>
      <c r="B555" s="593" t="s">
        <v>337</v>
      </c>
      <c r="C555" s="709" t="s">
        <v>41</v>
      </c>
      <c r="D555" s="710" t="s">
        <v>45</v>
      </c>
      <c r="E555" s="710" t="s">
        <v>672</v>
      </c>
      <c r="F555" s="711" t="s">
        <v>336</v>
      </c>
      <c r="G555" s="28"/>
      <c r="H555" s="221">
        <f>H556</f>
        <v>1579.1</v>
      </c>
    </row>
    <row r="556" spans="1:8" ht="18" x14ac:dyDescent="0.35">
      <c r="A556" s="362"/>
      <c r="B556" s="510" t="s">
        <v>57</v>
      </c>
      <c r="C556" s="709" t="s">
        <v>41</v>
      </c>
      <c r="D556" s="710" t="s">
        <v>45</v>
      </c>
      <c r="E556" s="710" t="s">
        <v>672</v>
      </c>
      <c r="F556" s="711" t="s">
        <v>336</v>
      </c>
      <c r="G556" s="28" t="s">
        <v>58</v>
      </c>
      <c r="H556" s="221">
        <f>'прил9 (ведом 23)'!M80</f>
        <v>1579.1</v>
      </c>
    </row>
    <row r="557" spans="1:8" ht="90" x14ac:dyDescent="0.35">
      <c r="A557" s="362"/>
      <c r="B557" s="510" t="s">
        <v>601</v>
      </c>
      <c r="C557" s="709" t="s">
        <v>41</v>
      </c>
      <c r="D557" s="710" t="s">
        <v>45</v>
      </c>
      <c r="E557" s="710" t="s">
        <v>590</v>
      </c>
      <c r="F557" s="711" t="s">
        <v>44</v>
      </c>
      <c r="G557" s="10"/>
      <c r="H557" s="221">
        <f>H558+H562</f>
        <v>41727.910000000003</v>
      </c>
    </row>
    <row r="558" spans="1:8" ht="36" x14ac:dyDescent="0.35">
      <c r="A558" s="362"/>
      <c r="B558" s="543" t="s">
        <v>464</v>
      </c>
      <c r="C558" s="709" t="s">
        <v>41</v>
      </c>
      <c r="D558" s="710" t="s">
        <v>45</v>
      </c>
      <c r="E558" s="710" t="s">
        <v>590</v>
      </c>
      <c r="F558" s="711" t="s">
        <v>91</v>
      </c>
      <c r="G558" s="10"/>
      <c r="H558" s="221">
        <f>SUM(H559:H561)</f>
        <v>40097.61</v>
      </c>
    </row>
    <row r="559" spans="1:8" ht="90" x14ac:dyDescent="0.35">
      <c r="A559" s="362"/>
      <c r="B559" s="510" t="s">
        <v>49</v>
      </c>
      <c r="C559" s="709" t="s">
        <v>41</v>
      </c>
      <c r="D559" s="710" t="s">
        <v>45</v>
      </c>
      <c r="E559" s="710" t="s">
        <v>590</v>
      </c>
      <c r="F559" s="711" t="s">
        <v>91</v>
      </c>
      <c r="G559" s="10" t="s">
        <v>50</v>
      </c>
      <c r="H559" s="221">
        <f>'прил9 (ведом 23)'!M83</f>
        <v>29012.899999999998</v>
      </c>
    </row>
    <row r="560" spans="1:8" ht="36" x14ac:dyDescent="0.35">
      <c r="A560" s="362"/>
      <c r="B560" s="510" t="s">
        <v>55</v>
      </c>
      <c r="C560" s="709" t="s">
        <v>41</v>
      </c>
      <c r="D560" s="710" t="s">
        <v>45</v>
      </c>
      <c r="E560" s="710" t="s">
        <v>590</v>
      </c>
      <c r="F560" s="711" t="s">
        <v>91</v>
      </c>
      <c r="G560" s="10" t="s">
        <v>56</v>
      </c>
      <c r="H560" s="221">
        <f>'прил9 (ведом 23)'!M84</f>
        <v>11022.41</v>
      </c>
    </row>
    <row r="561" spans="1:8" ht="18" x14ac:dyDescent="0.35">
      <c r="A561" s="362"/>
      <c r="B561" s="510" t="s">
        <v>57</v>
      </c>
      <c r="C561" s="709" t="s">
        <v>41</v>
      </c>
      <c r="D561" s="710" t="s">
        <v>45</v>
      </c>
      <c r="E561" s="710" t="s">
        <v>590</v>
      </c>
      <c r="F561" s="711" t="s">
        <v>91</v>
      </c>
      <c r="G561" s="10" t="s">
        <v>58</v>
      </c>
      <c r="H561" s="221">
        <f>'прил9 (ведом 23)'!M85</f>
        <v>62.3</v>
      </c>
    </row>
    <row r="562" spans="1:8" ht="18" x14ac:dyDescent="0.35">
      <c r="A562" s="362"/>
      <c r="B562" s="510" t="s">
        <v>465</v>
      </c>
      <c r="C562" s="709" t="s">
        <v>41</v>
      </c>
      <c r="D562" s="710" t="s">
        <v>45</v>
      </c>
      <c r="E562" s="710" t="s">
        <v>590</v>
      </c>
      <c r="F562" s="711" t="s">
        <v>380</v>
      </c>
      <c r="G562" s="10"/>
      <c r="H562" s="221">
        <f>H563</f>
        <v>1630.3</v>
      </c>
    </row>
    <row r="563" spans="1:8" ht="36" x14ac:dyDescent="0.35">
      <c r="A563" s="362"/>
      <c r="B563" s="510" t="s">
        <v>55</v>
      </c>
      <c r="C563" s="709" t="s">
        <v>41</v>
      </c>
      <c r="D563" s="710" t="s">
        <v>45</v>
      </c>
      <c r="E563" s="710" t="s">
        <v>590</v>
      </c>
      <c r="F563" s="711" t="s">
        <v>380</v>
      </c>
      <c r="G563" s="10" t="s">
        <v>56</v>
      </c>
      <c r="H563" s="221">
        <f>'прил9 (ведом 23)'!M87</f>
        <v>1630.3</v>
      </c>
    </row>
    <row r="564" spans="1:8" ht="18" x14ac:dyDescent="0.35">
      <c r="A564" s="362"/>
      <c r="B564" s="506"/>
      <c r="C564" s="213"/>
      <c r="D564" s="213"/>
      <c r="E564" s="213"/>
      <c r="F564" s="214"/>
      <c r="G564" s="28"/>
      <c r="H564" s="221"/>
    </row>
    <row r="565" spans="1:8" ht="52.2" x14ac:dyDescent="0.3">
      <c r="A565" s="352">
        <v>16</v>
      </c>
      <c r="B565" s="528" t="s">
        <v>233</v>
      </c>
      <c r="C565" s="353" t="s">
        <v>234</v>
      </c>
      <c r="D565" s="353" t="s">
        <v>42</v>
      </c>
      <c r="E565" s="353" t="s">
        <v>43</v>
      </c>
      <c r="F565" s="354" t="s">
        <v>44</v>
      </c>
      <c r="G565" s="346"/>
      <c r="H565" s="258">
        <f>H566</f>
        <v>53.4</v>
      </c>
    </row>
    <row r="566" spans="1:8" ht="18" x14ac:dyDescent="0.35">
      <c r="A566" s="337"/>
      <c r="B566" s="506" t="s">
        <v>339</v>
      </c>
      <c r="C566" s="212" t="s">
        <v>234</v>
      </c>
      <c r="D566" s="213" t="s">
        <v>45</v>
      </c>
      <c r="E566" s="213" t="s">
        <v>43</v>
      </c>
      <c r="F566" s="214" t="s">
        <v>44</v>
      </c>
      <c r="G566" s="28"/>
      <c r="H566" s="221">
        <f>H567</f>
        <v>53.4</v>
      </c>
    </row>
    <row r="567" spans="1:8" ht="144" x14ac:dyDescent="0.35">
      <c r="A567" s="337"/>
      <c r="B567" s="506" t="s">
        <v>741</v>
      </c>
      <c r="C567" s="212" t="s">
        <v>234</v>
      </c>
      <c r="D567" s="213" t="s">
        <v>45</v>
      </c>
      <c r="E567" s="213" t="s">
        <v>37</v>
      </c>
      <c r="F567" s="214" t="s">
        <v>44</v>
      </c>
      <c r="G567" s="28"/>
      <c r="H567" s="221">
        <f>H568</f>
        <v>53.4</v>
      </c>
    </row>
    <row r="568" spans="1:8" ht="36" x14ac:dyDescent="0.35">
      <c r="A568" s="337"/>
      <c r="B568" s="506" t="s">
        <v>235</v>
      </c>
      <c r="C568" s="212" t="s">
        <v>234</v>
      </c>
      <c r="D568" s="213" t="s">
        <v>45</v>
      </c>
      <c r="E568" s="213" t="s">
        <v>37</v>
      </c>
      <c r="F568" s="214" t="s">
        <v>280</v>
      </c>
      <c r="G568" s="28"/>
      <c r="H568" s="221">
        <f>H569</f>
        <v>53.4</v>
      </c>
    </row>
    <row r="569" spans="1:8" ht="36" x14ac:dyDescent="0.35">
      <c r="A569" s="337"/>
      <c r="B569" s="506" t="s">
        <v>76</v>
      </c>
      <c r="C569" s="212" t="s">
        <v>234</v>
      </c>
      <c r="D569" s="213" t="s">
        <v>45</v>
      </c>
      <c r="E569" s="213" t="s">
        <v>37</v>
      </c>
      <c r="F569" s="214" t="s">
        <v>280</v>
      </c>
      <c r="G569" s="28" t="s">
        <v>77</v>
      </c>
      <c r="H569" s="221">
        <f>'прил9 (ведом 23)'!M490</f>
        <v>53.4</v>
      </c>
    </row>
    <row r="570" spans="1:8" ht="18" x14ac:dyDescent="0.35">
      <c r="A570" s="362"/>
      <c r="B570" s="506"/>
      <c r="C570" s="213"/>
      <c r="D570" s="213"/>
      <c r="E570" s="213"/>
      <c r="F570" s="213"/>
      <c r="G570" s="28"/>
      <c r="H570" s="221"/>
    </row>
    <row r="571" spans="1:8" ht="34.799999999999997" x14ac:dyDescent="0.3">
      <c r="A571" s="352">
        <v>17</v>
      </c>
      <c r="B571" s="544" t="s">
        <v>130</v>
      </c>
      <c r="C571" s="353" t="s">
        <v>131</v>
      </c>
      <c r="D571" s="353" t="s">
        <v>42</v>
      </c>
      <c r="E571" s="353" t="s">
        <v>43</v>
      </c>
      <c r="F571" s="353" t="s">
        <v>44</v>
      </c>
      <c r="G571" s="346"/>
      <c r="H571" s="258">
        <f>H572</f>
        <v>6829.7999999999993</v>
      </c>
    </row>
    <row r="572" spans="1:8" ht="36" x14ac:dyDescent="0.35">
      <c r="A572" s="337"/>
      <c r="B572" s="545" t="s">
        <v>132</v>
      </c>
      <c r="C572" s="212" t="s">
        <v>131</v>
      </c>
      <c r="D572" s="213" t="s">
        <v>45</v>
      </c>
      <c r="E572" s="213" t="s">
        <v>43</v>
      </c>
      <c r="F572" s="214" t="s">
        <v>44</v>
      </c>
      <c r="G572" s="28"/>
      <c r="H572" s="221">
        <f>H573+H579+H577</f>
        <v>6829.7999999999993</v>
      </c>
    </row>
    <row r="573" spans="1:8" ht="36" x14ac:dyDescent="0.35">
      <c r="A573" s="337"/>
      <c r="B573" s="506" t="s">
        <v>47</v>
      </c>
      <c r="C573" s="212" t="s">
        <v>131</v>
      </c>
      <c r="D573" s="213" t="s">
        <v>45</v>
      </c>
      <c r="E573" s="213" t="s">
        <v>43</v>
      </c>
      <c r="F573" s="214" t="s">
        <v>48</v>
      </c>
      <c r="G573" s="28"/>
      <c r="H573" s="221">
        <f>H574+H575+H576</f>
        <v>5667.7069999999994</v>
      </c>
    </row>
    <row r="574" spans="1:8" ht="90" x14ac:dyDescent="0.35">
      <c r="A574" s="337"/>
      <c r="B574" s="522" t="s">
        <v>49</v>
      </c>
      <c r="C574" s="212" t="s">
        <v>131</v>
      </c>
      <c r="D574" s="213" t="s">
        <v>45</v>
      </c>
      <c r="E574" s="213" t="s">
        <v>43</v>
      </c>
      <c r="F574" s="214" t="s">
        <v>48</v>
      </c>
      <c r="G574" s="28" t="s">
        <v>50</v>
      </c>
      <c r="H574" s="221">
        <f>'прил9 (ведом 23)'!M317</f>
        <v>5302.7069999999994</v>
      </c>
    </row>
    <row r="575" spans="1:8" ht="36" x14ac:dyDescent="0.35">
      <c r="A575" s="337"/>
      <c r="B575" s="506" t="s">
        <v>55</v>
      </c>
      <c r="C575" s="212" t="s">
        <v>131</v>
      </c>
      <c r="D575" s="213" t="s">
        <v>45</v>
      </c>
      <c r="E575" s="213" t="s">
        <v>43</v>
      </c>
      <c r="F575" s="214" t="s">
        <v>48</v>
      </c>
      <c r="G575" s="28" t="s">
        <v>56</v>
      </c>
      <c r="H575" s="221">
        <f>'прил9 (ведом 23)'!M318</f>
        <v>346</v>
      </c>
    </row>
    <row r="576" spans="1:8" ht="18" x14ac:dyDescent="0.35">
      <c r="A576" s="337"/>
      <c r="B576" s="506" t="s">
        <v>57</v>
      </c>
      <c r="C576" s="212" t="s">
        <v>131</v>
      </c>
      <c r="D576" s="213" t="s">
        <v>45</v>
      </c>
      <c r="E576" s="213" t="s">
        <v>43</v>
      </c>
      <c r="F576" s="214" t="s">
        <v>48</v>
      </c>
      <c r="G576" s="28" t="s">
        <v>58</v>
      </c>
      <c r="H576" s="221">
        <f>'прил9 (ведом 23)'!M319</f>
        <v>19</v>
      </c>
    </row>
    <row r="577" spans="1:8" ht="36" x14ac:dyDescent="0.35">
      <c r="A577" s="337"/>
      <c r="B577" s="507" t="s">
        <v>532</v>
      </c>
      <c r="C577" s="709" t="s">
        <v>131</v>
      </c>
      <c r="D577" s="710" t="s">
        <v>45</v>
      </c>
      <c r="E577" s="710" t="s">
        <v>43</v>
      </c>
      <c r="F577" s="710" t="s">
        <v>531</v>
      </c>
      <c r="G577" s="10"/>
      <c r="H577" s="221">
        <f>H578</f>
        <v>39.893000000000001</v>
      </c>
    </row>
    <row r="578" spans="1:8" ht="36" x14ac:dyDescent="0.35">
      <c r="A578" s="337"/>
      <c r="B578" s="507" t="s">
        <v>55</v>
      </c>
      <c r="C578" s="709" t="s">
        <v>131</v>
      </c>
      <c r="D578" s="710" t="s">
        <v>45</v>
      </c>
      <c r="E578" s="710" t="s">
        <v>43</v>
      </c>
      <c r="F578" s="710" t="s">
        <v>531</v>
      </c>
      <c r="G578" s="496" t="s">
        <v>56</v>
      </c>
      <c r="H578" s="221">
        <f>'прил9 (ведом 23)'!M327</f>
        <v>39.893000000000001</v>
      </c>
    </row>
    <row r="579" spans="1:8" ht="36" x14ac:dyDescent="0.35">
      <c r="A579" s="337"/>
      <c r="B579" s="506" t="s">
        <v>236</v>
      </c>
      <c r="C579" s="212" t="s">
        <v>131</v>
      </c>
      <c r="D579" s="213" t="s">
        <v>45</v>
      </c>
      <c r="E579" s="213" t="s">
        <v>43</v>
      </c>
      <c r="F579" s="214" t="s">
        <v>133</v>
      </c>
      <c r="G579" s="28"/>
      <c r="H579" s="221">
        <f>SUM(H580:H580)</f>
        <v>1122.2</v>
      </c>
    </row>
    <row r="580" spans="1:8" ht="90" x14ac:dyDescent="0.35">
      <c r="A580" s="337"/>
      <c r="B580" s="506" t="s">
        <v>49</v>
      </c>
      <c r="C580" s="212" t="s">
        <v>131</v>
      </c>
      <c r="D580" s="213" t="s">
        <v>45</v>
      </c>
      <c r="E580" s="213" t="s">
        <v>43</v>
      </c>
      <c r="F580" s="214" t="s">
        <v>133</v>
      </c>
      <c r="G580" s="28" t="s">
        <v>50</v>
      </c>
      <c r="H580" s="221">
        <f>'прил9 (ведом 23)'!M321</f>
        <v>1122.2</v>
      </c>
    </row>
    <row r="581" spans="1:8" ht="18" x14ac:dyDescent="0.35">
      <c r="A581" s="337"/>
      <c r="B581" s="507"/>
      <c r="C581" s="710"/>
      <c r="D581" s="710"/>
      <c r="E581" s="710"/>
      <c r="F581" s="710"/>
      <c r="G581" s="496"/>
      <c r="H581" s="221"/>
    </row>
    <row r="582" spans="1:8" ht="87.6" x14ac:dyDescent="0.35">
      <c r="A582" s="352">
        <v>18</v>
      </c>
      <c r="B582" s="655" t="s">
        <v>680</v>
      </c>
      <c r="C582" s="396" t="s">
        <v>681</v>
      </c>
      <c r="D582" s="397" t="s">
        <v>42</v>
      </c>
      <c r="E582" s="397" t="s">
        <v>43</v>
      </c>
      <c r="F582" s="398" t="s">
        <v>44</v>
      </c>
      <c r="G582" s="242"/>
      <c r="H582" s="258">
        <f>H583</f>
        <v>29400.272000000001</v>
      </c>
    </row>
    <row r="583" spans="1:8" ht="90" x14ac:dyDescent="0.35">
      <c r="A583" s="337"/>
      <c r="B583" s="656" t="s">
        <v>682</v>
      </c>
      <c r="C583" s="212" t="s">
        <v>681</v>
      </c>
      <c r="D583" s="213" t="s">
        <v>89</v>
      </c>
      <c r="E583" s="213" t="s">
        <v>43</v>
      </c>
      <c r="F583" s="214" t="s">
        <v>44</v>
      </c>
      <c r="G583" s="28"/>
      <c r="H583" s="221">
        <f>H584+H587+H590+H593+H596+H599+H602+H605+H608+H613+H616+H619+H622</f>
        <v>29400.272000000001</v>
      </c>
    </row>
    <row r="584" spans="1:8" ht="108" x14ac:dyDescent="0.35">
      <c r="A584" s="337"/>
      <c r="B584" s="656" t="s">
        <v>685</v>
      </c>
      <c r="C584" s="212" t="s">
        <v>681</v>
      </c>
      <c r="D584" s="213" t="s">
        <v>89</v>
      </c>
      <c r="E584" s="213" t="s">
        <v>37</v>
      </c>
      <c r="F584" s="214" t="s">
        <v>44</v>
      </c>
      <c r="G584" s="28"/>
      <c r="H584" s="221">
        <f>H585</f>
        <v>11752.900000000001</v>
      </c>
    </row>
    <row r="585" spans="1:8" ht="72" x14ac:dyDescent="0.35">
      <c r="A585" s="337"/>
      <c r="B585" s="656" t="s">
        <v>684</v>
      </c>
      <c r="C585" s="212" t="s">
        <v>681</v>
      </c>
      <c r="D585" s="213" t="s">
        <v>89</v>
      </c>
      <c r="E585" s="213" t="s">
        <v>37</v>
      </c>
      <c r="F585" s="214" t="s">
        <v>683</v>
      </c>
      <c r="G585" s="28"/>
      <c r="H585" s="221">
        <f>H586</f>
        <v>11752.900000000001</v>
      </c>
    </row>
    <row r="586" spans="1:8" ht="18" x14ac:dyDescent="0.35">
      <c r="A586" s="337"/>
      <c r="B586" s="656" t="s">
        <v>123</v>
      </c>
      <c r="C586" s="212" t="s">
        <v>681</v>
      </c>
      <c r="D586" s="213" t="s">
        <v>89</v>
      </c>
      <c r="E586" s="213" t="s">
        <v>37</v>
      </c>
      <c r="F586" s="214" t="s">
        <v>683</v>
      </c>
      <c r="G586" s="28" t="s">
        <v>124</v>
      </c>
      <c r="H586" s="221">
        <f>'прил9 (ведом 23)'!M227</f>
        <v>11752.900000000001</v>
      </c>
    </row>
    <row r="587" spans="1:8" ht="54" x14ac:dyDescent="0.35">
      <c r="A587" s="337"/>
      <c r="B587" s="656" t="s">
        <v>708</v>
      </c>
      <c r="C587" s="213" t="s">
        <v>681</v>
      </c>
      <c r="D587" s="213" t="s">
        <v>89</v>
      </c>
      <c r="E587" s="213" t="s">
        <v>39</v>
      </c>
      <c r="F587" s="213" t="s">
        <v>44</v>
      </c>
      <c r="G587" s="28"/>
      <c r="H587" s="221">
        <f>H588</f>
        <v>2699</v>
      </c>
    </row>
    <row r="588" spans="1:8" ht="72" x14ac:dyDescent="0.35">
      <c r="A588" s="337"/>
      <c r="B588" s="656" t="s">
        <v>684</v>
      </c>
      <c r="C588" s="213" t="s">
        <v>681</v>
      </c>
      <c r="D588" s="213" t="s">
        <v>89</v>
      </c>
      <c r="E588" s="213" t="s">
        <v>39</v>
      </c>
      <c r="F588" s="213" t="s">
        <v>683</v>
      </c>
      <c r="G588" s="28"/>
      <c r="H588" s="221">
        <f>H589</f>
        <v>2699</v>
      </c>
    </row>
    <row r="589" spans="1:8" ht="18" x14ac:dyDescent="0.35">
      <c r="A589" s="337"/>
      <c r="B589" s="656" t="s">
        <v>123</v>
      </c>
      <c r="C589" s="213" t="s">
        <v>681</v>
      </c>
      <c r="D589" s="213" t="s">
        <v>89</v>
      </c>
      <c r="E589" s="213" t="s">
        <v>39</v>
      </c>
      <c r="F589" s="213" t="s">
        <v>683</v>
      </c>
      <c r="G589" s="28" t="s">
        <v>124</v>
      </c>
      <c r="H589" s="221">
        <f>'прил9 (ведом 23)'!M230</f>
        <v>2699</v>
      </c>
    </row>
    <row r="590" spans="1:8" ht="108" x14ac:dyDescent="0.35">
      <c r="A590" s="337"/>
      <c r="B590" s="510" t="s">
        <v>719</v>
      </c>
      <c r="C590" s="709" t="s">
        <v>681</v>
      </c>
      <c r="D590" s="710" t="s">
        <v>89</v>
      </c>
      <c r="E590" s="710" t="s">
        <v>63</v>
      </c>
      <c r="F590" s="711" t="s">
        <v>44</v>
      </c>
      <c r="G590" s="276"/>
      <c r="H590" s="221">
        <f>H591</f>
        <v>250</v>
      </c>
    </row>
    <row r="591" spans="1:8" ht="72" x14ac:dyDescent="0.35">
      <c r="A591" s="337"/>
      <c r="B591" s="657" t="s">
        <v>684</v>
      </c>
      <c r="C591" s="709" t="s">
        <v>681</v>
      </c>
      <c r="D591" s="710" t="s">
        <v>89</v>
      </c>
      <c r="E591" s="710" t="s">
        <v>63</v>
      </c>
      <c r="F591" s="711" t="s">
        <v>683</v>
      </c>
      <c r="G591" s="276"/>
      <c r="H591" s="221">
        <f>H592</f>
        <v>250</v>
      </c>
    </row>
    <row r="592" spans="1:8" ht="18" x14ac:dyDescent="0.35">
      <c r="A592" s="337"/>
      <c r="B592" s="510" t="s">
        <v>123</v>
      </c>
      <c r="C592" s="709" t="s">
        <v>681</v>
      </c>
      <c r="D592" s="710" t="s">
        <v>89</v>
      </c>
      <c r="E592" s="710" t="s">
        <v>63</v>
      </c>
      <c r="F592" s="711" t="s">
        <v>683</v>
      </c>
      <c r="G592" s="276">
        <v>500</v>
      </c>
      <c r="H592" s="221">
        <f>'прил9 (ведом 23)'!M233</f>
        <v>250</v>
      </c>
    </row>
    <row r="593" spans="1:8" ht="90" x14ac:dyDescent="0.35">
      <c r="A593" s="337"/>
      <c r="B593" s="510" t="s">
        <v>722</v>
      </c>
      <c r="C593" s="709" t="s">
        <v>681</v>
      </c>
      <c r="D593" s="710" t="s">
        <v>89</v>
      </c>
      <c r="E593" s="710" t="s">
        <v>52</v>
      </c>
      <c r="F593" s="711" t="s">
        <v>44</v>
      </c>
      <c r="G593" s="276"/>
      <c r="H593" s="221">
        <f>H594</f>
        <v>5950</v>
      </c>
    </row>
    <row r="594" spans="1:8" ht="72" x14ac:dyDescent="0.35">
      <c r="A594" s="337"/>
      <c r="B594" s="657" t="s">
        <v>684</v>
      </c>
      <c r="C594" s="709" t="s">
        <v>681</v>
      </c>
      <c r="D594" s="710" t="s">
        <v>89</v>
      </c>
      <c r="E594" s="710" t="s">
        <v>52</v>
      </c>
      <c r="F594" s="711" t="s">
        <v>683</v>
      </c>
      <c r="G594" s="276"/>
      <c r="H594" s="221">
        <f>H595</f>
        <v>5950</v>
      </c>
    </row>
    <row r="595" spans="1:8" ht="18" x14ac:dyDescent="0.35">
      <c r="A595" s="337"/>
      <c r="B595" s="510" t="s">
        <v>123</v>
      </c>
      <c r="C595" s="709" t="s">
        <v>681</v>
      </c>
      <c r="D595" s="710" t="s">
        <v>89</v>
      </c>
      <c r="E595" s="710" t="s">
        <v>52</v>
      </c>
      <c r="F595" s="711" t="s">
        <v>683</v>
      </c>
      <c r="G595" s="276">
        <v>500</v>
      </c>
      <c r="H595" s="221">
        <f>'прил9 (ведом 23)'!M236</f>
        <v>5950</v>
      </c>
    </row>
    <row r="596" spans="1:8" ht="72" x14ac:dyDescent="0.35">
      <c r="A596" s="337"/>
      <c r="B596" s="510" t="s">
        <v>735</v>
      </c>
      <c r="C596" s="709" t="s">
        <v>681</v>
      </c>
      <c r="D596" s="710" t="s">
        <v>89</v>
      </c>
      <c r="E596" s="710" t="s">
        <v>65</v>
      </c>
      <c r="F596" s="711" t="s">
        <v>44</v>
      </c>
      <c r="G596" s="276"/>
      <c r="H596" s="221">
        <f>H597</f>
        <v>590</v>
      </c>
    </row>
    <row r="597" spans="1:8" ht="72" x14ac:dyDescent="0.35">
      <c r="A597" s="337"/>
      <c r="B597" s="657" t="s">
        <v>684</v>
      </c>
      <c r="C597" s="709" t="s">
        <v>681</v>
      </c>
      <c r="D597" s="710" t="s">
        <v>89</v>
      </c>
      <c r="E597" s="710" t="s">
        <v>65</v>
      </c>
      <c r="F597" s="711" t="s">
        <v>683</v>
      </c>
      <c r="G597" s="276"/>
      <c r="H597" s="221">
        <f>H598</f>
        <v>590</v>
      </c>
    </row>
    <row r="598" spans="1:8" ht="18" x14ac:dyDescent="0.35">
      <c r="A598" s="337"/>
      <c r="B598" s="510" t="s">
        <v>123</v>
      </c>
      <c r="C598" s="709" t="s">
        <v>681</v>
      </c>
      <c r="D598" s="710" t="s">
        <v>89</v>
      </c>
      <c r="E598" s="710" t="s">
        <v>65</v>
      </c>
      <c r="F598" s="711" t="s">
        <v>683</v>
      </c>
      <c r="G598" s="276">
        <v>500</v>
      </c>
      <c r="H598" s="221">
        <f>'прил9 (ведом 23)'!M239</f>
        <v>590</v>
      </c>
    </row>
    <row r="599" spans="1:8" ht="72" x14ac:dyDescent="0.35">
      <c r="A599" s="337"/>
      <c r="B599" s="565" t="s">
        <v>734</v>
      </c>
      <c r="C599" s="709" t="s">
        <v>681</v>
      </c>
      <c r="D599" s="710" t="s">
        <v>89</v>
      </c>
      <c r="E599" s="710" t="s">
        <v>81</v>
      </c>
      <c r="F599" s="711" t="s">
        <v>44</v>
      </c>
      <c r="G599" s="276"/>
      <c r="H599" s="221">
        <f>H600</f>
        <v>614.27200000000005</v>
      </c>
    </row>
    <row r="600" spans="1:8" ht="36" x14ac:dyDescent="0.35">
      <c r="A600" s="337"/>
      <c r="B600" s="565" t="s">
        <v>444</v>
      </c>
      <c r="C600" s="709" t="s">
        <v>681</v>
      </c>
      <c r="D600" s="710" t="s">
        <v>89</v>
      </c>
      <c r="E600" s="710" t="s">
        <v>81</v>
      </c>
      <c r="F600" s="711" t="s">
        <v>69</v>
      </c>
      <c r="G600" s="276"/>
      <c r="H600" s="221">
        <f>H601</f>
        <v>614.27200000000005</v>
      </c>
    </row>
    <row r="601" spans="1:8" ht="36" x14ac:dyDescent="0.35">
      <c r="A601" s="337"/>
      <c r="B601" s="565" t="s">
        <v>55</v>
      </c>
      <c r="C601" s="709" t="s">
        <v>681</v>
      </c>
      <c r="D601" s="710" t="s">
        <v>89</v>
      </c>
      <c r="E601" s="710" t="s">
        <v>81</v>
      </c>
      <c r="F601" s="711" t="s">
        <v>69</v>
      </c>
      <c r="G601" s="276">
        <v>200</v>
      </c>
      <c r="H601" s="221">
        <f>'прил9 (ведом 23)'!M381</f>
        <v>614.27200000000005</v>
      </c>
    </row>
    <row r="602" spans="1:8" ht="72" x14ac:dyDescent="0.35">
      <c r="A602" s="337"/>
      <c r="B602" s="510" t="s">
        <v>742</v>
      </c>
      <c r="C602" s="709" t="s">
        <v>681</v>
      </c>
      <c r="D602" s="710" t="s">
        <v>89</v>
      </c>
      <c r="E602" s="710" t="s">
        <v>224</v>
      </c>
      <c r="F602" s="711" t="s">
        <v>44</v>
      </c>
      <c r="G602" s="276"/>
      <c r="H602" s="221">
        <f>H603</f>
        <v>569.1</v>
      </c>
    </row>
    <row r="603" spans="1:8" ht="72" x14ac:dyDescent="0.35">
      <c r="A603" s="337"/>
      <c r="B603" s="657" t="s">
        <v>684</v>
      </c>
      <c r="C603" s="709" t="s">
        <v>681</v>
      </c>
      <c r="D603" s="710" t="s">
        <v>89</v>
      </c>
      <c r="E603" s="710" t="s">
        <v>224</v>
      </c>
      <c r="F603" s="711" t="s">
        <v>683</v>
      </c>
      <c r="G603" s="276"/>
      <c r="H603" s="221">
        <f>H604</f>
        <v>569.1</v>
      </c>
    </row>
    <row r="604" spans="1:8" ht="18" x14ac:dyDescent="0.35">
      <c r="A604" s="337"/>
      <c r="B604" s="510" t="s">
        <v>123</v>
      </c>
      <c r="C604" s="709" t="s">
        <v>681</v>
      </c>
      <c r="D604" s="710" t="s">
        <v>89</v>
      </c>
      <c r="E604" s="710" t="s">
        <v>224</v>
      </c>
      <c r="F604" s="711" t="s">
        <v>683</v>
      </c>
      <c r="G604" s="276">
        <v>500</v>
      </c>
      <c r="H604" s="221">
        <f>'прил9 (ведом 23)'!M242</f>
        <v>569.1</v>
      </c>
    </row>
    <row r="605" spans="1:8" ht="54" x14ac:dyDescent="0.35">
      <c r="A605" s="337"/>
      <c r="B605" s="510" t="s">
        <v>746</v>
      </c>
      <c r="C605" s="709" t="s">
        <v>681</v>
      </c>
      <c r="D605" s="710" t="s">
        <v>89</v>
      </c>
      <c r="E605" s="710" t="s">
        <v>226</v>
      </c>
      <c r="F605" s="711" t="s">
        <v>44</v>
      </c>
      <c r="G605" s="276"/>
      <c r="H605" s="221">
        <f>H606</f>
        <v>245</v>
      </c>
    </row>
    <row r="606" spans="1:8" ht="72" x14ac:dyDescent="0.35">
      <c r="A606" s="337"/>
      <c r="B606" s="657" t="s">
        <v>684</v>
      </c>
      <c r="C606" s="709" t="s">
        <v>681</v>
      </c>
      <c r="D606" s="710" t="s">
        <v>89</v>
      </c>
      <c r="E606" s="710" t="s">
        <v>226</v>
      </c>
      <c r="F606" s="711" t="s">
        <v>683</v>
      </c>
      <c r="G606" s="276"/>
      <c r="H606" s="221">
        <f>H607</f>
        <v>245</v>
      </c>
    </row>
    <row r="607" spans="1:8" ht="18" x14ac:dyDescent="0.35">
      <c r="A607" s="337"/>
      <c r="B607" s="510" t="s">
        <v>123</v>
      </c>
      <c r="C607" s="709" t="s">
        <v>681</v>
      </c>
      <c r="D607" s="710" t="s">
        <v>89</v>
      </c>
      <c r="E607" s="710" t="s">
        <v>226</v>
      </c>
      <c r="F607" s="711" t="s">
        <v>683</v>
      </c>
      <c r="G607" s="276">
        <v>500</v>
      </c>
      <c r="H607" s="221">
        <f>'прил9 (ведом 23)'!M245</f>
        <v>245</v>
      </c>
    </row>
    <row r="608" spans="1:8" ht="72" x14ac:dyDescent="0.35">
      <c r="A608" s="337"/>
      <c r="B608" s="510" t="s">
        <v>747</v>
      </c>
      <c r="C608" s="709" t="s">
        <v>681</v>
      </c>
      <c r="D608" s="710" t="s">
        <v>89</v>
      </c>
      <c r="E608" s="710" t="s">
        <v>79</v>
      </c>
      <c r="F608" s="711" t="s">
        <v>44</v>
      </c>
      <c r="G608" s="276"/>
      <c r="H608" s="221">
        <f>H609</f>
        <v>530</v>
      </c>
    </row>
    <row r="609" spans="1:8" ht="72" x14ac:dyDescent="0.35">
      <c r="A609" s="337"/>
      <c r="B609" s="657" t="s">
        <v>684</v>
      </c>
      <c r="C609" s="709" t="s">
        <v>681</v>
      </c>
      <c r="D609" s="710" t="s">
        <v>89</v>
      </c>
      <c r="E609" s="710" t="s">
        <v>79</v>
      </c>
      <c r="F609" s="711" t="s">
        <v>683</v>
      </c>
      <c r="G609" s="276"/>
      <c r="H609" s="221">
        <f>H610</f>
        <v>530</v>
      </c>
    </row>
    <row r="610" spans="1:8" ht="18" x14ac:dyDescent="0.35">
      <c r="A610" s="337"/>
      <c r="B610" s="510" t="s">
        <v>123</v>
      </c>
      <c r="C610" s="709" t="s">
        <v>681</v>
      </c>
      <c r="D610" s="710" t="s">
        <v>89</v>
      </c>
      <c r="E610" s="710" t="s">
        <v>79</v>
      </c>
      <c r="F610" s="711" t="s">
        <v>683</v>
      </c>
      <c r="G610" s="276">
        <v>500</v>
      </c>
      <c r="H610" s="221">
        <f>'прил9 (ведом 23)'!M248</f>
        <v>530</v>
      </c>
    </row>
    <row r="611" spans="1:8" ht="54" x14ac:dyDescent="0.35">
      <c r="A611" s="337"/>
      <c r="B611" s="510" t="s">
        <v>750</v>
      </c>
      <c r="C611" s="709" t="s">
        <v>681</v>
      </c>
      <c r="D611" s="710" t="s">
        <v>89</v>
      </c>
      <c r="E611" s="710" t="s">
        <v>104</v>
      </c>
      <c r="F611" s="711" t="s">
        <v>44</v>
      </c>
      <c r="G611" s="276"/>
      <c r="H611" s="221">
        <f>H612</f>
        <v>1400</v>
      </c>
    </row>
    <row r="612" spans="1:8" ht="72" x14ac:dyDescent="0.35">
      <c r="A612" s="337"/>
      <c r="B612" s="657" t="s">
        <v>684</v>
      </c>
      <c r="C612" s="709" t="s">
        <v>681</v>
      </c>
      <c r="D612" s="710" t="s">
        <v>89</v>
      </c>
      <c r="E612" s="710" t="s">
        <v>104</v>
      </c>
      <c r="F612" s="711" t="s">
        <v>683</v>
      </c>
      <c r="G612" s="276"/>
      <c r="H612" s="221">
        <f>H613</f>
        <v>1400</v>
      </c>
    </row>
    <row r="613" spans="1:8" ht="18" x14ac:dyDescent="0.35">
      <c r="A613" s="337"/>
      <c r="B613" s="510" t="s">
        <v>123</v>
      </c>
      <c r="C613" s="709" t="s">
        <v>681</v>
      </c>
      <c r="D613" s="710" t="s">
        <v>89</v>
      </c>
      <c r="E613" s="710" t="s">
        <v>104</v>
      </c>
      <c r="F613" s="711" t="s">
        <v>683</v>
      </c>
      <c r="G613" s="276">
        <v>500</v>
      </c>
      <c r="H613" s="221">
        <f>'прил9 (ведом 23)'!M251</f>
        <v>1400</v>
      </c>
    </row>
    <row r="614" spans="1:8" ht="72" x14ac:dyDescent="0.35">
      <c r="A614" s="337"/>
      <c r="B614" s="510" t="s">
        <v>751</v>
      </c>
      <c r="C614" s="709" t="s">
        <v>681</v>
      </c>
      <c r="D614" s="710" t="s">
        <v>89</v>
      </c>
      <c r="E614" s="710" t="s">
        <v>67</v>
      </c>
      <c r="F614" s="711" t="s">
        <v>44</v>
      </c>
      <c r="G614" s="276"/>
      <c r="H614" s="221">
        <f>H615</f>
        <v>2800</v>
      </c>
    </row>
    <row r="615" spans="1:8" ht="72" x14ac:dyDescent="0.35">
      <c r="A615" s="337"/>
      <c r="B615" s="657" t="s">
        <v>684</v>
      </c>
      <c r="C615" s="709" t="s">
        <v>681</v>
      </c>
      <c r="D615" s="710" t="s">
        <v>89</v>
      </c>
      <c r="E615" s="710" t="s">
        <v>67</v>
      </c>
      <c r="F615" s="711" t="s">
        <v>683</v>
      </c>
      <c r="G615" s="276"/>
      <c r="H615" s="221">
        <f>H616</f>
        <v>2800</v>
      </c>
    </row>
    <row r="616" spans="1:8" ht="18" x14ac:dyDescent="0.35">
      <c r="A616" s="337"/>
      <c r="B616" s="510" t="s">
        <v>123</v>
      </c>
      <c r="C616" s="709" t="s">
        <v>681</v>
      </c>
      <c r="D616" s="710" t="s">
        <v>89</v>
      </c>
      <c r="E616" s="710" t="s">
        <v>67</v>
      </c>
      <c r="F616" s="711" t="s">
        <v>683</v>
      </c>
      <c r="G616" s="276">
        <v>500</v>
      </c>
      <c r="H616" s="221">
        <f>'прил9 (ведом 23)'!M254</f>
        <v>2800</v>
      </c>
    </row>
    <row r="617" spans="1:8" ht="54" x14ac:dyDescent="0.35">
      <c r="A617" s="337"/>
      <c r="B617" s="510" t="s">
        <v>758</v>
      </c>
      <c r="C617" s="709" t="s">
        <v>681</v>
      </c>
      <c r="D617" s="710" t="s">
        <v>89</v>
      </c>
      <c r="E617" s="710" t="s">
        <v>100</v>
      </c>
      <c r="F617" s="711" t="s">
        <v>44</v>
      </c>
      <c r="G617" s="276"/>
      <c r="H617" s="221">
        <f>H618</f>
        <v>1100</v>
      </c>
    </row>
    <row r="618" spans="1:8" ht="72" x14ac:dyDescent="0.35">
      <c r="A618" s="337"/>
      <c r="B618" s="657" t="s">
        <v>684</v>
      </c>
      <c r="C618" s="709" t="s">
        <v>681</v>
      </c>
      <c r="D618" s="710" t="s">
        <v>89</v>
      </c>
      <c r="E618" s="710" t="s">
        <v>100</v>
      </c>
      <c r="F618" s="711" t="s">
        <v>683</v>
      </c>
      <c r="G618" s="276"/>
      <c r="H618" s="221">
        <f>H619</f>
        <v>1100</v>
      </c>
    </row>
    <row r="619" spans="1:8" ht="18" x14ac:dyDescent="0.35">
      <c r="A619" s="337"/>
      <c r="B619" s="510" t="s">
        <v>123</v>
      </c>
      <c r="C619" s="709" t="s">
        <v>681</v>
      </c>
      <c r="D619" s="710" t="s">
        <v>89</v>
      </c>
      <c r="E619" s="710" t="s">
        <v>100</v>
      </c>
      <c r="F619" s="711" t="s">
        <v>683</v>
      </c>
      <c r="G619" s="276">
        <v>500</v>
      </c>
      <c r="H619" s="221">
        <f>'прил9 (ведом 23)'!M257</f>
        <v>1100</v>
      </c>
    </row>
    <row r="620" spans="1:8" ht="108" x14ac:dyDescent="0.35">
      <c r="A620" s="337"/>
      <c r="B620" s="510" t="s">
        <v>759</v>
      </c>
      <c r="C620" s="709" t="s">
        <v>681</v>
      </c>
      <c r="D620" s="710" t="s">
        <v>89</v>
      </c>
      <c r="E620" s="710" t="s">
        <v>71</v>
      </c>
      <c r="F620" s="711" t="s">
        <v>44</v>
      </c>
      <c r="G620" s="276"/>
      <c r="H620" s="221">
        <f>H621</f>
        <v>900</v>
      </c>
    </row>
    <row r="621" spans="1:8" ht="72" x14ac:dyDescent="0.35">
      <c r="A621" s="337"/>
      <c r="B621" s="657" t="s">
        <v>684</v>
      </c>
      <c r="C621" s="709" t="s">
        <v>681</v>
      </c>
      <c r="D621" s="710" t="s">
        <v>89</v>
      </c>
      <c r="E621" s="710" t="s">
        <v>71</v>
      </c>
      <c r="F621" s="711" t="s">
        <v>683</v>
      </c>
      <c r="G621" s="276"/>
      <c r="H621" s="221">
        <f>H622</f>
        <v>900</v>
      </c>
    </row>
    <row r="622" spans="1:8" ht="18" x14ac:dyDescent="0.35">
      <c r="A622" s="337"/>
      <c r="B622" s="510" t="s">
        <v>123</v>
      </c>
      <c r="C622" s="709" t="s">
        <v>681</v>
      </c>
      <c r="D622" s="710" t="s">
        <v>89</v>
      </c>
      <c r="E622" s="710" t="s">
        <v>71</v>
      </c>
      <c r="F622" s="711" t="s">
        <v>683</v>
      </c>
      <c r="G622" s="276">
        <v>500</v>
      </c>
      <c r="H622" s="221">
        <f>'прил9 (ведом 23)'!M260</f>
        <v>900</v>
      </c>
    </row>
    <row r="623" spans="1:8" s="347" customFormat="1" ht="39" customHeight="1" x14ac:dyDescent="0.3">
      <c r="A623" s="352">
        <v>19</v>
      </c>
      <c r="B623" s="544" t="s">
        <v>607</v>
      </c>
      <c r="C623" s="353" t="s">
        <v>68</v>
      </c>
      <c r="D623" s="353" t="s">
        <v>42</v>
      </c>
      <c r="E623" s="353" t="s">
        <v>43</v>
      </c>
      <c r="F623" s="353" t="s">
        <v>44</v>
      </c>
      <c r="G623" s="346"/>
      <c r="H623" s="258">
        <f>H624</f>
        <v>63018.305939999991</v>
      </c>
    </row>
    <row r="624" spans="1:8" ht="18" x14ac:dyDescent="0.35">
      <c r="A624" s="337"/>
      <c r="B624" s="522" t="s">
        <v>446</v>
      </c>
      <c r="C624" s="212" t="s">
        <v>68</v>
      </c>
      <c r="D624" s="213" t="s">
        <v>45</v>
      </c>
      <c r="E624" s="213" t="s">
        <v>43</v>
      </c>
      <c r="F624" s="214" t="s">
        <v>44</v>
      </c>
      <c r="G624" s="28"/>
      <c r="H624" s="221">
        <f>H629+H631+H627+H625</f>
        <v>63018.305939999991</v>
      </c>
    </row>
    <row r="625" spans="1:8" ht="36" x14ac:dyDescent="0.35">
      <c r="A625" s="337"/>
      <c r="B625" s="510" t="s">
        <v>721</v>
      </c>
      <c r="C625" s="709" t="s">
        <v>68</v>
      </c>
      <c r="D625" s="710" t="s">
        <v>45</v>
      </c>
      <c r="E625" s="710" t="s">
        <v>43</v>
      </c>
      <c r="F625" s="711" t="s">
        <v>720</v>
      </c>
      <c r="G625" s="10"/>
      <c r="H625" s="221">
        <f>H626</f>
        <v>14918.399999999998</v>
      </c>
    </row>
    <row r="626" spans="1:8" ht="36" x14ac:dyDescent="0.35">
      <c r="A626" s="337"/>
      <c r="B626" s="510" t="s">
        <v>55</v>
      </c>
      <c r="C626" s="709" t="s">
        <v>68</v>
      </c>
      <c r="D626" s="710" t="s">
        <v>45</v>
      </c>
      <c r="E626" s="710" t="s">
        <v>43</v>
      </c>
      <c r="F626" s="711" t="s">
        <v>720</v>
      </c>
      <c r="G626" s="10" t="s">
        <v>56</v>
      </c>
      <c r="H626" s="221">
        <f>'прил9 (ведом 23)'!M91</f>
        <v>14918.399999999998</v>
      </c>
    </row>
    <row r="627" spans="1:8" ht="36" x14ac:dyDescent="0.35">
      <c r="A627" s="337"/>
      <c r="B627" s="522" t="s">
        <v>709</v>
      </c>
      <c r="C627" s="212" t="s">
        <v>68</v>
      </c>
      <c r="D627" s="213" t="s">
        <v>45</v>
      </c>
      <c r="E627" s="213" t="s">
        <v>43</v>
      </c>
      <c r="F627" s="214" t="s">
        <v>710</v>
      </c>
      <c r="G627" s="28"/>
      <c r="H627" s="221">
        <f>H628</f>
        <v>21761.599999999999</v>
      </c>
    </row>
    <row r="628" spans="1:8" ht="18" x14ac:dyDescent="0.35">
      <c r="A628" s="337"/>
      <c r="B628" s="522" t="s">
        <v>123</v>
      </c>
      <c r="C628" s="212" t="s">
        <v>68</v>
      </c>
      <c r="D628" s="213" t="s">
        <v>45</v>
      </c>
      <c r="E628" s="213" t="s">
        <v>43</v>
      </c>
      <c r="F628" s="214" t="s">
        <v>710</v>
      </c>
      <c r="G628" s="28">
        <v>500</v>
      </c>
      <c r="H628" s="221">
        <f>'прил9 (ведом 23)'!M264</f>
        <v>21761.599999999999</v>
      </c>
    </row>
    <row r="629" spans="1:8" ht="162" x14ac:dyDescent="0.35">
      <c r="A629" s="337"/>
      <c r="B629" s="522" t="s">
        <v>678</v>
      </c>
      <c r="C629" s="212" t="s">
        <v>68</v>
      </c>
      <c r="D629" s="213" t="s">
        <v>45</v>
      </c>
      <c r="E629" s="213" t="s">
        <v>43</v>
      </c>
      <c r="F629" s="214" t="s">
        <v>677</v>
      </c>
      <c r="G629" s="28"/>
      <c r="H629" s="221">
        <f>H630</f>
        <v>14603.4</v>
      </c>
    </row>
    <row r="630" spans="1:8" ht="36" x14ac:dyDescent="0.35">
      <c r="A630" s="337"/>
      <c r="B630" s="507" t="s">
        <v>55</v>
      </c>
      <c r="C630" s="212" t="s">
        <v>68</v>
      </c>
      <c r="D630" s="213" t="s">
        <v>45</v>
      </c>
      <c r="E630" s="213" t="s">
        <v>43</v>
      </c>
      <c r="F630" s="214" t="s">
        <v>677</v>
      </c>
      <c r="G630" s="28" t="s">
        <v>56</v>
      </c>
      <c r="H630" s="221">
        <f>'прил9 (ведом 23)'!M93</f>
        <v>14603.4</v>
      </c>
    </row>
    <row r="631" spans="1:8" ht="36" x14ac:dyDescent="0.35">
      <c r="A631" s="337"/>
      <c r="B631" s="506" t="s">
        <v>444</v>
      </c>
      <c r="C631" s="212" t="s">
        <v>68</v>
      </c>
      <c r="D631" s="213" t="s">
        <v>45</v>
      </c>
      <c r="E631" s="213" t="s">
        <v>43</v>
      </c>
      <c r="F631" s="214" t="s">
        <v>69</v>
      </c>
      <c r="G631" s="28"/>
      <c r="H631" s="221">
        <f>H632</f>
        <v>11734.905939999995</v>
      </c>
    </row>
    <row r="632" spans="1:8" ht="18" x14ac:dyDescent="0.35">
      <c r="A632" s="337"/>
      <c r="B632" s="506" t="s">
        <v>57</v>
      </c>
      <c r="C632" s="212" t="s">
        <v>68</v>
      </c>
      <c r="D632" s="213" t="s">
        <v>45</v>
      </c>
      <c r="E632" s="213" t="s">
        <v>43</v>
      </c>
      <c r="F632" s="214" t="s">
        <v>69</v>
      </c>
      <c r="G632" s="28" t="s">
        <v>58</v>
      </c>
      <c r="H632" s="221">
        <f>'прил9 (ведом 23)'!M55</f>
        <v>11734.905939999995</v>
      </c>
    </row>
    <row r="633" spans="1:8" ht="14.4" customHeight="1" x14ac:dyDescent="0.35">
      <c r="A633" s="430"/>
      <c r="B633" s="431"/>
      <c r="C633" s="78"/>
      <c r="D633" s="78"/>
      <c r="E633" s="78"/>
      <c r="F633" s="78"/>
      <c r="G633" s="78"/>
      <c r="H633" s="432"/>
    </row>
    <row r="634" spans="1:8" ht="18" x14ac:dyDescent="0.35">
      <c r="A634" s="430"/>
      <c r="B634" s="431"/>
      <c r="C634" s="78"/>
      <c r="D634" s="78"/>
      <c r="E634" s="78"/>
      <c r="F634" s="78"/>
      <c r="G634" s="78"/>
      <c r="H634" s="432"/>
    </row>
    <row r="635" spans="1:8" ht="17.399999999999999" x14ac:dyDescent="0.3">
      <c r="A635" s="333"/>
      <c r="B635" s="41"/>
      <c r="C635" s="42"/>
      <c r="D635" s="42"/>
      <c r="E635" s="42"/>
      <c r="F635" s="42"/>
      <c r="G635" s="43"/>
    </row>
    <row r="636" spans="1:8" ht="18" x14ac:dyDescent="0.35">
      <c r="A636" s="700" t="s">
        <v>762</v>
      </c>
      <c r="B636" s="41"/>
      <c r="C636" s="42"/>
      <c r="D636" s="42"/>
      <c r="E636" s="42"/>
      <c r="F636" s="42"/>
      <c r="G636" s="43"/>
    </row>
    <row r="637" spans="1:8" ht="18" x14ac:dyDescent="0.35">
      <c r="A637" s="700" t="s">
        <v>763</v>
      </c>
      <c r="B637" s="41"/>
      <c r="C637" s="42"/>
      <c r="D637" s="42"/>
      <c r="E637" s="42"/>
      <c r="F637" s="42"/>
      <c r="G637" s="43"/>
    </row>
    <row r="638" spans="1:8" ht="18" x14ac:dyDescent="0.35">
      <c r="A638" s="700" t="s">
        <v>375</v>
      </c>
      <c r="B638" s="41"/>
      <c r="C638" s="45"/>
      <c r="D638" s="42"/>
      <c r="E638" s="42"/>
      <c r="F638" s="42"/>
      <c r="G638" s="45"/>
      <c r="H638" s="111" t="s">
        <v>764</v>
      </c>
    </row>
    <row r="639" spans="1:8" ht="18" x14ac:dyDescent="0.35">
      <c r="A639" s="701" t="s">
        <v>376</v>
      </c>
      <c r="B639" s="41"/>
      <c r="C639" s="42"/>
      <c r="D639" s="42"/>
      <c r="E639" s="42"/>
      <c r="F639" s="42"/>
    </row>
    <row r="640" spans="1:8" x14ac:dyDescent="0.3">
      <c r="A640" s="333"/>
      <c r="B640" s="41"/>
      <c r="C640" s="42"/>
      <c r="D640" s="42"/>
      <c r="E640" s="42"/>
      <c r="F640" s="42"/>
    </row>
    <row r="641" spans="1:8" x14ac:dyDescent="0.3">
      <c r="A641" s="333"/>
      <c r="B641" s="41"/>
      <c r="C641" s="42"/>
      <c r="D641" s="42"/>
      <c r="E641" s="42"/>
      <c r="F641" s="42"/>
    </row>
    <row r="642" spans="1:8" ht="17.399999999999999" x14ac:dyDescent="0.3">
      <c r="A642" s="333"/>
      <c r="B642" s="41"/>
      <c r="C642" s="42"/>
      <c r="D642" s="42"/>
      <c r="E642" s="42"/>
      <c r="F642" s="42"/>
      <c r="G642" s="43"/>
    </row>
    <row r="643" spans="1:8" hidden="1" x14ac:dyDescent="0.3">
      <c r="A643" s="331">
        <v>1</v>
      </c>
      <c r="B643" s="403" t="s">
        <v>237</v>
      </c>
      <c r="H643" s="332">
        <f>H14+H160+H222+H272+H297+H336+H362+H401+H464+H473+H479+H489+H499+H505+H443+H565</f>
        <v>2608809.0939599997</v>
      </c>
    </row>
    <row r="644" spans="1:8" hidden="1" x14ac:dyDescent="0.3"/>
    <row r="645" spans="1:8" hidden="1" x14ac:dyDescent="0.3">
      <c r="H645" s="332">
        <f>(H643/H13)*100</f>
        <v>96.335071209904342</v>
      </c>
    </row>
    <row r="646" spans="1:8" hidden="1" x14ac:dyDescent="0.3"/>
    <row r="647" spans="1:8" hidden="1" x14ac:dyDescent="0.3">
      <c r="A647" s="331">
        <v>1</v>
      </c>
      <c r="B647" s="403" t="s">
        <v>238</v>
      </c>
      <c r="H647" s="332">
        <f>H571+H623</f>
        <v>69848.105939999994</v>
      </c>
    </row>
    <row r="648" spans="1:8" hidden="1" x14ac:dyDescent="0.3">
      <c r="H648" s="332">
        <f>(H647/H649)*100</f>
        <v>2.6075791236970365</v>
      </c>
    </row>
    <row r="649" spans="1:8" hidden="1" x14ac:dyDescent="0.3">
      <c r="H649" s="332">
        <f>H643+H647</f>
        <v>2678657.1998999999</v>
      </c>
    </row>
  </sheetData>
  <autoFilter ref="A1:H649"/>
  <mergeCells count="3">
    <mergeCell ref="A8:H8"/>
    <mergeCell ref="C11:F11"/>
    <mergeCell ref="C12:F12"/>
  </mergeCells>
  <printOptions horizontalCentered="1"/>
  <pageMargins left="1.1811023622047245" right="0.39370078740157483" top="0.78740157480314965" bottom="0.39370078740157483" header="0" footer="0"/>
  <pageSetup paperSize="9" scale="81" fitToHeight="0" orientation="portrait" blackAndWhite="1" r:id="rId1"/>
  <headerFooter differentFirst="1" alignWithMargins="0">
    <oddHeader>&amp;C&amp;"Times New Roman,обычный"&amp;12&amp;P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72"/>
  <sheetViews>
    <sheetView zoomScale="80" zoomScaleNormal="80" zoomScaleSheetLayoutView="70" workbookViewId="0">
      <pane ySplit="5" topLeftCell="A6" activePane="bottomLeft" state="frozen"/>
      <selection activeCell="C47" sqref="C47"/>
      <selection pane="bottomLeft" activeCell="O8" sqref="O8"/>
    </sheetView>
  </sheetViews>
  <sheetFormatPr defaultColWidth="9.109375" defaultRowHeight="15.6" x14ac:dyDescent="0.3"/>
  <cols>
    <col min="1" max="1" width="4.5546875" style="331" customWidth="1"/>
    <col min="2" max="2" width="62.44140625" style="403" customWidth="1"/>
    <col min="3" max="3" width="3.109375" style="404" customWidth="1"/>
    <col min="4" max="4" width="2.33203125" style="404" customWidth="1"/>
    <col min="5" max="5" width="3" style="404" customWidth="1"/>
    <col min="6" max="6" width="8" style="404" customWidth="1"/>
    <col min="7" max="7" width="5.5546875" style="402" customWidth="1"/>
    <col min="8" max="8" width="14.109375" style="44" customWidth="1"/>
    <col min="9" max="9" width="13.33203125" style="45" customWidth="1"/>
    <col min="10" max="10" width="17.6640625" style="45" customWidth="1"/>
    <col min="11" max="11" width="16.44140625" style="45" hidden="1" customWidth="1"/>
    <col min="12" max="12" width="14.6640625" style="45" hidden="1" customWidth="1"/>
    <col min="13" max="16384" width="9.109375" style="45"/>
  </cols>
  <sheetData>
    <row r="1" spans="1:12" ht="18" x14ac:dyDescent="0.35">
      <c r="I1" s="158" t="s">
        <v>513</v>
      </c>
    </row>
    <row r="2" spans="1:12" ht="18" x14ac:dyDescent="0.35">
      <c r="I2" s="158" t="s">
        <v>765</v>
      </c>
    </row>
    <row r="3" spans="1:12" ht="18" x14ac:dyDescent="0.35">
      <c r="I3" s="158"/>
    </row>
    <row r="4" spans="1:12" s="35" customFormat="1" ht="18" x14ac:dyDescent="0.35">
      <c r="I4" s="39" t="s">
        <v>515</v>
      </c>
    </row>
    <row r="5" spans="1:12" s="35" customFormat="1" ht="18" x14ac:dyDescent="0.35">
      <c r="I5" s="39" t="s">
        <v>667</v>
      </c>
    </row>
    <row r="8" spans="1:12" ht="76.5" customHeight="1" x14ac:dyDescent="0.3">
      <c r="A8" s="735" t="s">
        <v>595</v>
      </c>
      <c r="B8" s="735"/>
      <c r="C8" s="735"/>
      <c r="D8" s="735"/>
      <c r="E8" s="735"/>
      <c r="F8" s="735"/>
      <c r="G8" s="735"/>
      <c r="H8" s="735"/>
      <c r="I8" s="735"/>
    </row>
    <row r="9" spans="1:12" x14ac:dyDescent="0.3">
      <c r="A9" s="45"/>
      <c r="B9" s="45"/>
      <c r="C9" s="331"/>
      <c r="D9" s="331"/>
      <c r="E9" s="331"/>
      <c r="F9" s="331"/>
      <c r="G9" s="332"/>
    </row>
    <row r="10" spans="1:12" ht="18" x14ac:dyDescent="0.35">
      <c r="A10" s="333"/>
      <c r="B10" s="41"/>
      <c r="C10" s="42"/>
      <c r="D10" s="42"/>
      <c r="E10" s="42"/>
      <c r="F10" s="42"/>
      <c r="G10" s="45"/>
      <c r="I10" s="334" t="s">
        <v>22</v>
      </c>
    </row>
    <row r="11" spans="1:12" ht="18" x14ac:dyDescent="0.35">
      <c r="A11" s="743" t="s">
        <v>23</v>
      </c>
      <c r="B11" s="744" t="s">
        <v>24</v>
      </c>
      <c r="C11" s="744" t="s">
        <v>28</v>
      </c>
      <c r="D11" s="744"/>
      <c r="E11" s="744"/>
      <c r="F11" s="744"/>
      <c r="G11" s="744" t="s">
        <v>29</v>
      </c>
      <c r="H11" s="742" t="s">
        <v>15</v>
      </c>
      <c r="I11" s="742"/>
    </row>
    <row r="12" spans="1:12" ht="40.950000000000003" customHeight="1" x14ac:dyDescent="0.3">
      <c r="A12" s="743"/>
      <c r="B12" s="744"/>
      <c r="C12" s="744"/>
      <c r="D12" s="744"/>
      <c r="E12" s="744"/>
      <c r="F12" s="744"/>
      <c r="G12" s="744"/>
      <c r="H12" s="335" t="s">
        <v>504</v>
      </c>
      <c r="I12" s="335" t="s">
        <v>592</v>
      </c>
    </row>
    <row r="13" spans="1:12" ht="18" x14ac:dyDescent="0.35">
      <c r="A13" s="230">
        <v>1</v>
      </c>
      <c r="B13" s="336">
        <v>2</v>
      </c>
      <c r="C13" s="739" t="s">
        <v>30</v>
      </c>
      <c r="D13" s="740"/>
      <c r="E13" s="740"/>
      <c r="F13" s="741"/>
      <c r="G13" s="242" t="s">
        <v>31</v>
      </c>
      <c r="H13" s="231">
        <v>5</v>
      </c>
      <c r="I13" s="231">
        <v>6</v>
      </c>
    </row>
    <row r="14" spans="1:12" ht="18" x14ac:dyDescent="0.35">
      <c r="A14" s="337"/>
      <c r="B14" s="338" t="s">
        <v>202</v>
      </c>
      <c r="C14" s="339"/>
      <c r="D14" s="339"/>
      <c r="E14" s="339"/>
      <c r="F14" s="339"/>
      <c r="G14" s="340"/>
      <c r="H14" s="341">
        <f>H15+H125+H166+H209+H232+H257+H276+H300+H349+H358+H364+H374+H386+H439+H446+H451+H380+H433+H339</f>
        <v>1958815.2999999998</v>
      </c>
      <c r="I14" s="341">
        <f>I15+I125+I166+I209+I232+I257+I276+I300+I349+I358+I364+I374+I386+I439+I446+I451+I380+I433+I339</f>
        <v>1887225.6</v>
      </c>
      <c r="J14" s="342"/>
      <c r="K14" s="455">
        <f>H14-'прил10 (ведом 24-25)'!M16</f>
        <v>0</v>
      </c>
      <c r="L14" s="441">
        <f>I14-'прил10 (ведом 24-25)'!N16</f>
        <v>0</v>
      </c>
    </row>
    <row r="15" spans="1:12" s="347" customFormat="1" ht="52.2" x14ac:dyDescent="0.3">
      <c r="A15" s="343">
        <v>1</v>
      </c>
      <c r="B15" s="505" t="s">
        <v>205</v>
      </c>
      <c r="C15" s="344" t="s">
        <v>39</v>
      </c>
      <c r="D15" s="344" t="s">
        <v>42</v>
      </c>
      <c r="E15" s="344" t="s">
        <v>43</v>
      </c>
      <c r="F15" s="345" t="s">
        <v>44</v>
      </c>
      <c r="G15" s="346"/>
      <c r="H15" s="258">
        <f>H16+H77+H91</f>
        <v>1274466.7999999998</v>
      </c>
      <c r="I15" s="258">
        <f>I16+I77+I91</f>
        <v>1288047.3000000003</v>
      </c>
    </row>
    <row r="16" spans="1:12" ht="18" x14ac:dyDescent="0.35">
      <c r="A16" s="337"/>
      <c r="B16" s="506" t="s">
        <v>206</v>
      </c>
      <c r="C16" s="703" t="s">
        <v>39</v>
      </c>
      <c r="D16" s="703" t="s">
        <v>45</v>
      </c>
      <c r="E16" s="703" t="s">
        <v>43</v>
      </c>
      <c r="F16" s="704" t="s">
        <v>44</v>
      </c>
      <c r="G16" s="242"/>
      <c r="H16" s="221">
        <f>H17+H31+H74</f>
        <v>1112862.8999999997</v>
      </c>
      <c r="I16" s="221">
        <f>I17+I31+I74</f>
        <v>1116100.9000000001</v>
      </c>
    </row>
    <row r="17" spans="1:9" ht="18" x14ac:dyDescent="0.35">
      <c r="A17" s="337"/>
      <c r="B17" s="506" t="s">
        <v>267</v>
      </c>
      <c r="C17" s="212" t="s">
        <v>39</v>
      </c>
      <c r="D17" s="213" t="s">
        <v>45</v>
      </c>
      <c r="E17" s="213" t="s">
        <v>37</v>
      </c>
      <c r="F17" s="214" t="s">
        <v>44</v>
      </c>
      <c r="G17" s="242"/>
      <c r="H17" s="221">
        <f>H24+H20+H27+H29+H18+H22</f>
        <v>392727.7</v>
      </c>
      <c r="I17" s="221">
        <f>I24+I20+I27+I29+I18+I22</f>
        <v>405956.10000000003</v>
      </c>
    </row>
    <row r="18" spans="1:9" ht="36" x14ac:dyDescent="0.35">
      <c r="A18" s="337"/>
      <c r="B18" s="506" t="s">
        <v>464</v>
      </c>
      <c r="C18" s="212" t="s">
        <v>39</v>
      </c>
      <c r="D18" s="213" t="s">
        <v>45</v>
      </c>
      <c r="E18" s="213" t="s">
        <v>37</v>
      </c>
      <c r="F18" s="214" t="s">
        <v>91</v>
      </c>
      <c r="G18" s="28"/>
      <c r="H18" s="221">
        <f>H19</f>
        <v>110229.7</v>
      </c>
      <c r="I18" s="221">
        <f>I19</f>
        <v>123486.2</v>
      </c>
    </row>
    <row r="19" spans="1:9" ht="36" x14ac:dyDescent="0.35">
      <c r="A19" s="337"/>
      <c r="B19" s="506" t="s">
        <v>76</v>
      </c>
      <c r="C19" s="212" t="s">
        <v>39</v>
      </c>
      <c r="D19" s="213" t="s">
        <v>45</v>
      </c>
      <c r="E19" s="213" t="s">
        <v>37</v>
      </c>
      <c r="F19" s="214" t="s">
        <v>91</v>
      </c>
      <c r="G19" s="28" t="s">
        <v>77</v>
      </c>
      <c r="H19" s="221">
        <f>'прил10 (ведом 24-25)'!M309</f>
        <v>110229.7</v>
      </c>
      <c r="I19" s="221">
        <f>'прил10 (ведом 24-25)'!N309</f>
        <v>123486.2</v>
      </c>
    </row>
    <row r="20" spans="1:9" ht="36" x14ac:dyDescent="0.35">
      <c r="A20" s="337"/>
      <c r="B20" s="507" t="s">
        <v>207</v>
      </c>
      <c r="C20" s="212" t="s">
        <v>39</v>
      </c>
      <c r="D20" s="213" t="s">
        <v>45</v>
      </c>
      <c r="E20" s="213" t="s">
        <v>37</v>
      </c>
      <c r="F20" s="214" t="s">
        <v>273</v>
      </c>
      <c r="G20" s="28"/>
      <c r="H20" s="221">
        <f>H21</f>
        <v>30855.9</v>
      </c>
      <c r="I20" s="221">
        <f>I21</f>
        <v>30855.9</v>
      </c>
    </row>
    <row r="21" spans="1:9" ht="36" x14ac:dyDescent="0.35">
      <c r="A21" s="337"/>
      <c r="B21" s="507" t="s">
        <v>76</v>
      </c>
      <c r="C21" s="212" t="s">
        <v>39</v>
      </c>
      <c r="D21" s="213" t="s">
        <v>45</v>
      </c>
      <c r="E21" s="213" t="s">
        <v>37</v>
      </c>
      <c r="F21" s="214" t="s">
        <v>273</v>
      </c>
      <c r="G21" s="28" t="s">
        <v>77</v>
      </c>
      <c r="H21" s="221">
        <f>'прил10 (ведом 24-25)'!M311</f>
        <v>30855.9</v>
      </c>
      <c r="I21" s="221">
        <f>'прил10 (ведом 24-25)'!N311</f>
        <v>30855.9</v>
      </c>
    </row>
    <row r="22" spans="1:9" ht="36" x14ac:dyDescent="0.35">
      <c r="A22" s="337"/>
      <c r="B22" s="507" t="s">
        <v>208</v>
      </c>
      <c r="C22" s="348" t="s">
        <v>39</v>
      </c>
      <c r="D22" s="349" t="s">
        <v>45</v>
      </c>
      <c r="E22" s="349" t="s">
        <v>37</v>
      </c>
      <c r="F22" s="350" t="s">
        <v>274</v>
      </c>
      <c r="G22" s="351"/>
      <c r="H22" s="221">
        <f>H23</f>
        <v>50.5</v>
      </c>
      <c r="I22" s="221">
        <f>I23</f>
        <v>0</v>
      </c>
    </row>
    <row r="23" spans="1:9" ht="36" x14ac:dyDescent="0.35">
      <c r="A23" s="337"/>
      <c r="B23" s="508" t="s">
        <v>203</v>
      </c>
      <c r="C23" s="348" t="s">
        <v>39</v>
      </c>
      <c r="D23" s="349" t="s">
        <v>45</v>
      </c>
      <c r="E23" s="349" t="s">
        <v>37</v>
      </c>
      <c r="F23" s="350" t="s">
        <v>274</v>
      </c>
      <c r="G23" s="351" t="s">
        <v>204</v>
      </c>
      <c r="H23" s="221">
        <f>'прил10 (ведом 24-25)'!M263</f>
        <v>50.5</v>
      </c>
      <c r="I23" s="221">
        <f>'прил10 (ведом 24-25)'!N263</f>
        <v>0</v>
      </c>
    </row>
    <row r="24" spans="1:9" ht="108" x14ac:dyDescent="0.35">
      <c r="A24" s="337"/>
      <c r="B24" s="506" t="s">
        <v>283</v>
      </c>
      <c r="C24" s="212" t="s">
        <v>39</v>
      </c>
      <c r="D24" s="213" t="s">
        <v>45</v>
      </c>
      <c r="E24" s="213" t="s">
        <v>37</v>
      </c>
      <c r="F24" s="214" t="s">
        <v>284</v>
      </c>
      <c r="G24" s="28"/>
      <c r="H24" s="221">
        <f>SUM(H25:H26)</f>
        <v>6292.9</v>
      </c>
      <c r="I24" s="221">
        <f>SUM(I25:I26)</f>
        <v>6292.9</v>
      </c>
    </row>
    <row r="25" spans="1:9" ht="36" x14ac:dyDescent="0.35">
      <c r="A25" s="337"/>
      <c r="B25" s="506" t="s">
        <v>55</v>
      </c>
      <c r="C25" s="212" t="s">
        <v>39</v>
      </c>
      <c r="D25" s="213" t="s">
        <v>45</v>
      </c>
      <c r="E25" s="213" t="s">
        <v>37</v>
      </c>
      <c r="F25" s="214" t="s">
        <v>284</v>
      </c>
      <c r="G25" s="28" t="s">
        <v>56</v>
      </c>
      <c r="H25" s="221">
        <f>'прил10 (ведом 24-25)'!M417</f>
        <v>92.9</v>
      </c>
      <c r="I25" s="221">
        <f>'прил10 (ведом 24-25)'!N417</f>
        <v>92.9</v>
      </c>
    </row>
    <row r="26" spans="1:9" ht="18" x14ac:dyDescent="0.35">
      <c r="A26" s="337"/>
      <c r="B26" s="509" t="s">
        <v>120</v>
      </c>
      <c r="C26" s="212" t="s">
        <v>39</v>
      </c>
      <c r="D26" s="213" t="s">
        <v>45</v>
      </c>
      <c r="E26" s="213" t="s">
        <v>37</v>
      </c>
      <c r="F26" s="214" t="s">
        <v>284</v>
      </c>
      <c r="G26" s="28" t="s">
        <v>121</v>
      </c>
      <c r="H26" s="221">
        <f>'прил10 (ведом 24-25)'!M418</f>
        <v>6200</v>
      </c>
      <c r="I26" s="221">
        <f>'прил10 (ведом 24-25)'!N418</f>
        <v>6200</v>
      </c>
    </row>
    <row r="27" spans="1:9" ht="162" x14ac:dyDescent="0.35">
      <c r="A27" s="337"/>
      <c r="B27" s="506" t="s">
        <v>268</v>
      </c>
      <c r="C27" s="212" t="s">
        <v>39</v>
      </c>
      <c r="D27" s="213" t="s">
        <v>45</v>
      </c>
      <c r="E27" s="213" t="s">
        <v>37</v>
      </c>
      <c r="F27" s="214" t="s">
        <v>269</v>
      </c>
      <c r="G27" s="28"/>
      <c r="H27" s="221">
        <f>H28</f>
        <v>557.9</v>
      </c>
      <c r="I27" s="221">
        <f>I28</f>
        <v>580.29999999999995</v>
      </c>
    </row>
    <row r="28" spans="1:9" ht="36" x14ac:dyDescent="0.35">
      <c r="A28" s="337"/>
      <c r="B28" s="506" t="s">
        <v>76</v>
      </c>
      <c r="C28" s="212" t="s">
        <v>39</v>
      </c>
      <c r="D28" s="213" t="s">
        <v>45</v>
      </c>
      <c r="E28" s="213" t="s">
        <v>37</v>
      </c>
      <c r="F28" s="214" t="s">
        <v>269</v>
      </c>
      <c r="G28" s="28" t="s">
        <v>77</v>
      </c>
      <c r="H28" s="221">
        <f>'прил10 (ведом 24-25)'!M313</f>
        <v>557.9</v>
      </c>
      <c r="I28" s="221">
        <f>'прил10 (ведом 24-25)'!N313</f>
        <v>580.29999999999995</v>
      </c>
    </row>
    <row r="29" spans="1:9" ht="90" x14ac:dyDescent="0.35">
      <c r="A29" s="337"/>
      <c r="B29" s="506" t="s">
        <v>345</v>
      </c>
      <c r="C29" s="212" t="s">
        <v>39</v>
      </c>
      <c r="D29" s="213" t="s">
        <v>45</v>
      </c>
      <c r="E29" s="213" t="s">
        <v>37</v>
      </c>
      <c r="F29" s="214" t="s">
        <v>270</v>
      </c>
      <c r="G29" s="28"/>
      <c r="H29" s="221">
        <f>H30</f>
        <v>244740.80000000002</v>
      </c>
      <c r="I29" s="221">
        <f>I30</f>
        <v>244740.80000000002</v>
      </c>
    </row>
    <row r="30" spans="1:9" ht="36" x14ac:dyDescent="0.35">
      <c r="A30" s="337"/>
      <c r="B30" s="509" t="s">
        <v>76</v>
      </c>
      <c r="C30" s="212" t="s">
        <v>39</v>
      </c>
      <c r="D30" s="213" t="s">
        <v>45</v>
      </c>
      <c r="E30" s="213" t="s">
        <v>37</v>
      </c>
      <c r="F30" s="214" t="s">
        <v>270</v>
      </c>
      <c r="G30" s="28" t="s">
        <v>77</v>
      </c>
      <c r="H30" s="221">
        <f>'прил10 (ведом 24-25)'!M315</f>
        <v>244740.80000000002</v>
      </c>
      <c r="I30" s="221">
        <f>'прил10 (ведом 24-25)'!N315</f>
        <v>244740.80000000002</v>
      </c>
    </row>
    <row r="31" spans="1:9" ht="18" x14ac:dyDescent="0.35">
      <c r="A31" s="337"/>
      <c r="B31" s="506" t="s">
        <v>272</v>
      </c>
      <c r="C31" s="212" t="s">
        <v>39</v>
      </c>
      <c r="D31" s="213" t="s">
        <v>45</v>
      </c>
      <c r="E31" s="213" t="s">
        <v>39</v>
      </c>
      <c r="F31" s="214" t="s">
        <v>44</v>
      </c>
      <c r="G31" s="28"/>
      <c r="H31" s="221">
        <f>H48+H52+H56+H32+H40+H63+H45+H37+H59+H70+H68+H66</f>
        <v>714677.69999999972</v>
      </c>
      <c r="I31" s="221">
        <f>I48+I52+I56+I32+I40+I63+I45+I37+I59+I70+I68+I66</f>
        <v>704687.3</v>
      </c>
    </row>
    <row r="32" spans="1:9" ht="36" x14ac:dyDescent="0.35">
      <c r="A32" s="337"/>
      <c r="B32" s="506" t="s">
        <v>464</v>
      </c>
      <c r="C32" s="212" t="s">
        <v>39</v>
      </c>
      <c r="D32" s="213" t="s">
        <v>45</v>
      </c>
      <c r="E32" s="213" t="s">
        <v>39</v>
      </c>
      <c r="F32" s="214" t="s">
        <v>91</v>
      </c>
      <c r="G32" s="28"/>
      <c r="H32" s="221">
        <f>SUM(H33:H36)</f>
        <v>81087.199999999997</v>
      </c>
      <c r="I32" s="221">
        <f>SUM(I33:I36)</f>
        <v>94774.8</v>
      </c>
    </row>
    <row r="33" spans="1:9" ht="90" x14ac:dyDescent="0.35">
      <c r="A33" s="337"/>
      <c r="B33" s="507" t="s">
        <v>49</v>
      </c>
      <c r="C33" s="212" t="s">
        <v>39</v>
      </c>
      <c r="D33" s="213" t="s">
        <v>45</v>
      </c>
      <c r="E33" s="213" t="s">
        <v>39</v>
      </c>
      <c r="F33" s="214" t="s">
        <v>91</v>
      </c>
      <c r="G33" s="28" t="s">
        <v>50</v>
      </c>
      <c r="H33" s="221">
        <f>'прил10 (ведом 24-25)'!M326</f>
        <v>361.1</v>
      </c>
      <c r="I33" s="221">
        <f>'прил10 (ведом 24-25)'!N326</f>
        <v>361.1</v>
      </c>
    </row>
    <row r="34" spans="1:9" ht="36" x14ac:dyDescent="0.35">
      <c r="A34" s="337"/>
      <c r="B34" s="507" t="s">
        <v>55</v>
      </c>
      <c r="C34" s="212" t="s">
        <v>39</v>
      </c>
      <c r="D34" s="213" t="s">
        <v>45</v>
      </c>
      <c r="E34" s="213" t="s">
        <v>39</v>
      </c>
      <c r="F34" s="214" t="s">
        <v>91</v>
      </c>
      <c r="G34" s="28" t="s">
        <v>56</v>
      </c>
      <c r="H34" s="221">
        <f>'прил10 (ведом 24-25)'!M327</f>
        <v>8467.9</v>
      </c>
      <c r="I34" s="221">
        <f>'прил10 (ведом 24-25)'!N327</f>
        <v>12418.4</v>
      </c>
    </row>
    <row r="35" spans="1:9" ht="36" x14ac:dyDescent="0.35">
      <c r="A35" s="337"/>
      <c r="B35" s="506" t="s">
        <v>76</v>
      </c>
      <c r="C35" s="212" t="s">
        <v>39</v>
      </c>
      <c r="D35" s="213" t="s">
        <v>45</v>
      </c>
      <c r="E35" s="213" t="s">
        <v>39</v>
      </c>
      <c r="F35" s="214" t="s">
        <v>91</v>
      </c>
      <c r="G35" s="28" t="s">
        <v>77</v>
      </c>
      <c r="H35" s="221">
        <f>'прил10 (ведом 24-25)'!M328</f>
        <v>71870.399999999994</v>
      </c>
      <c r="I35" s="221">
        <f>'прил10 (ведом 24-25)'!N328</f>
        <v>81618.100000000006</v>
      </c>
    </row>
    <row r="36" spans="1:9" ht="18" x14ac:dyDescent="0.35">
      <c r="A36" s="337"/>
      <c r="B36" s="506" t="s">
        <v>57</v>
      </c>
      <c r="C36" s="212" t="s">
        <v>39</v>
      </c>
      <c r="D36" s="213" t="s">
        <v>45</v>
      </c>
      <c r="E36" s="213" t="s">
        <v>39</v>
      </c>
      <c r="F36" s="214" t="s">
        <v>91</v>
      </c>
      <c r="G36" s="28" t="s">
        <v>58</v>
      </c>
      <c r="H36" s="221">
        <f>'прил10 (ведом 24-25)'!M329</f>
        <v>387.8</v>
      </c>
      <c r="I36" s="221">
        <f>'прил10 (ведом 24-25)'!N329</f>
        <v>377.2</v>
      </c>
    </row>
    <row r="37" spans="1:9" ht="36" x14ac:dyDescent="0.35">
      <c r="A37" s="337"/>
      <c r="B37" s="507" t="s">
        <v>207</v>
      </c>
      <c r="C37" s="212" t="s">
        <v>39</v>
      </c>
      <c r="D37" s="213" t="s">
        <v>45</v>
      </c>
      <c r="E37" s="213" t="s">
        <v>39</v>
      </c>
      <c r="F37" s="214" t="s">
        <v>273</v>
      </c>
      <c r="G37" s="28"/>
      <c r="H37" s="221">
        <f>H38+H39</f>
        <v>29811.599999999999</v>
      </c>
      <c r="I37" s="221">
        <f>I38+I39</f>
        <v>29811.599999999999</v>
      </c>
    </row>
    <row r="38" spans="1:9" ht="36" x14ac:dyDescent="0.35">
      <c r="A38" s="337"/>
      <c r="B38" s="507" t="s">
        <v>55</v>
      </c>
      <c r="C38" s="212" t="s">
        <v>39</v>
      </c>
      <c r="D38" s="213" t="s">
        <v>45</v>
      </c>
      <c r="E38" s="213" t="s">
        <v>39</v>
      </c>
      <c r="F38" s="214" t="s">
        <v>273</v>
      </c>
      <c r="G38" s="28" t="s">
        <v>56</v>
      </c>
      <c r="H38" s="221">
        <f>'прил10 (ведом 24-25)'!M331</f>
        <v>4257.3999999999996</v>
      </c>
      <c r="I38" s="221">
        <f>'прил10 (ведом 24-25)'!N331</f>
        <v>4257.3999999999996</v>
      </c>
    </row>
    <row r="39" spans="1:9" ht="36" x14ac:dyDescent="0.35">
      <c r="A39" s="337"/>
      <c r="B39" s="507" t="s">
        <v>76</v>
      </c>
      <c r="C39" s="212" t="s">
        <v>39</v>
      </c>
      <c r="D39" s="213" t="s">
        <v>45</v>
      </c>
      <c r="E39" s="213" t="s">
        <v>39</v>
      </c>
      <c r="F39" s="214" t="s">
        <v>273</v>
      </c>
      <c r="G39" s="28" t="s">
        <v>77</v>
      </c>
      <c r="H39" s="221">
        <f>'прил10 (ведом 24-25)'!M332</f>
        <v>25554.2</v>
      </c>
      <c r="I39" s="221">
        <f>'прил10 (ведом 24-25)'!N332</f>
        <v>25554.2</v>
      </c>
    </row>
    <row r="40" spans="1:9" ht="36" x14ac:dyDescent="0.35">
      <c r="A40" s="337"/>
      <c r="B40" s="507" t="s">
        <v>208</v>
      </c>
      <c r="C40" s="212" t="s">
        <v>39</v>
      </c>
      <c r="D40" s="213" t="s">
        <v>45</v>
      </c>
      <c r="E40" s="213" t="s">
        <v>39</v>
      </c>
      <c r="F40" s="214" t="s">
        <v>274</v>
      </c>
      <c r="G40" s="28"/>
      <c r="H40" s="221">
        <f>SUM(H41:H44)</f>
        <v>17362.7</v>
      </c>
      <c r="I40" s="221">
        <f>SUM(I41:I44)</f>
        <v>17338.3</v>
      </c>
    </row>
    <row r="41" spans="1:9" ht="90" x14ac:dyDescent="0.35">
      <c r="A41" s="337"/>
      <c r="B41" s="510" t="s">
        <v>49</v>
      </c>
      <c r="C41" s="212" t="s">
        <v>39</v>
      </c>
      <c r="D41" s="213" t="s">
        <v>45</v>
      </c>
      <c r="E41" s="213" t="s">
        <v>39</v>
      </c>
      <c r="F41" s="214" t="s">
        <v>274</v>
      </c>
      <c r="G41" s="28" t="s">
        <v>50</v>
      </c>
      <c r="H41" s="221">
        <f>'прил10 (ведом 24-25)'!M334</f>
        <v>93.8</v>
      </c>
      <c r="I41" s="221">
        <f>'прил10 (ведом 24-25)'!N334</f>
        <v>93.8</v>
      </c>
    </row>
    <row r="42" spans="1:9" ht="36" x14ac:dyDescent="0.35">
      <c r="A42" s="337"/>
      <c r="B42" s="507" t="s">
        <v>55</v>
      </c>
      <c r="C42" s="212" t="s">
        <v>39</v>
      </c>
      <c r="D42" s="213" t="s">
        <v>45</v>
      </c>
      <c r="E42" s="213" t="s">
        <v>39</v>
      </c>
      <c r="F42" s="214" t="s">
        <v>274</v>
      </c>
      <c r="G42" s="28" t="s">
        <v>56</v>
      </c>
      <c r="H42" s="221">
        <f>'прил10 (ведом 24-25)'!M335</f>
        <v>546.20000000000005</v>
      </c>
      <c r="I42" s="221">
        <f>'прил10 (ведом 24-25)'!N335</f>
        <v>546.20000000000005</v>
      </c>
    </row>
    <row r="43" spans="1:9" ht="36" x14ac:dyDescent="0.35">
      <c r="A43" s="337"/>
      <c r="B43" s="508" t="s">
        <v>203</v>
      </c>
      <c r="C43" s="212" t="s">
        <v>39</v>
      </c>
      <c r="D43" s="213" t="s">
        <v>45</v>
      </c>
      <c r="E43" s="213" t="s">
        <v>39</v>
      </c>
      <c r="F43" s="214" t="s">
        <v>274</v>
      </c>
      <c r="G43" s="28" t="s">
        <v>204</v>
      </c>
      <c r="H43" s="221">
        <f>'прил10 (ведом 24-25)'!M269</f>
        <v>862.4</v>
      </c>
      <c r="I43" s="221">
        <f>'прил10 (ведом 24-25)'!N269</f>
        <v>838</v>
      </c>
    </row>
    <row r="44" spans="1:9" ht="36" x14ac:dyDescent="0.35">
      <c r="A44" s="337"/>
      <c r="B44" s="507" t="s">
        <v>76</v>
      </c>
      <c r="C44" s="212" t="s">
        <v>39</v>
      </c>
      <c r="D44" s="213" t="s">
        <v>45</v>
      </c>
      <c r="E44" s="213" t="s">
        <v>39</v>
      </c>
      <c r="F44" s="214" t="s">
        <v>274</v>
      </c>
      <c r="G44" s="28" t="s">
        <v>77</v>
      </c>
      <c r="H44" s="221">
        <f>'прил10 (ведом 24-25)'!M336</f>
        <v>15860.3</v>
      </c>
      <c r="I44" s="221">
        <f>'прил10 (ведом 24-25)'!N336</f>
        <v>15860.3</v>
      </c>
    </row>
    <row r="45" spans="1:9" ht="234" x14ac:dyDescent="0.35">
      <c r="A45" s="337"/>
      <c r="B45" s="507" t="s">
        <v>604</v>
      </c>
      <c r="C45" s="212" t="s">
        <v>39</v>
      </c>
      <c r="D45" s="213" t="s">
        <v>45</v>
      </c>
      <c r="E45" s="213" t="s">
        <v>39</v>
      </c>
      <c r="F45" s="214" t="s">
        <v>522</v>
      </c>
      <c r="G45" s="28"/>
      <c r="H45" s="221">
        <f>H46+H47</f>
        <v>35752.9</v>
      </c>
      <c r="I45" s="221">
        <f>I46+I47</f>
        <v>35752.9</v>
      </c>
    </row>
    <row r="46" spans="1:9" ht="90" x14ac:dyDescent="0.35">
      <c r="A46" s="337"/>
      <c r="B46" s="507" t="s">
        <v>49</v>
      </c>
      <c r="C46" s="212" t="s">
        <v>39</v>
      </c>
      <c r="D46" s="213" t="s">
        <v>45</v>
      </c>
      <c r="E46" s="213" t="s">
        <v>39</v>
      </c>
      <c r="F46" s="214" t="s">
        <v>522</v>
      </c>
      <c r="G46" s="28" t="s">
        <v>50</v>
      </c>
      <c r="H46" s="221">
        <f>'прил10 (ведом 24-25)'!M338</f>
        <v>2968.6</v>
      </c>
      <c r="I46" s="221">
        <f>'прил10 (ведом 24-25)'!N338</f>
        <v>2968.6</v>
      </c>
    </row>
    <row r="47" spans="1:9" ht="36" x14ac:dyDescent="0.35">
      <c r="A47" s="337"/>
      <c r="B47" s="507" t="s">
        <v>76</v>
      </c>
      <c r="C47" s="212" t="s">
        <v>39</v>
      </c>
      <c r="D47" s="213" t="s">
        <v>45</v>
      </c>
      <c r="E47" s="213" t="s">
        <v>39</v>
      </c>
      <c r="F47" s="214" t="s">
        <v>522</v>
      </c>
      <c r="G47" s="28" t="s">
        <v>77</v>
      </c>
      <c r="H47" s="221">
        <f>'прил10 (ведом 24-25)'!M339</f>
        <v>32784.300000000003</v>
      </c>
      <c r="I47" s="221">
        <f>'прил10 (ведом 24-25)'!N339</f>
        <v>32784.300000000003</v>
      </c>
    </row>
    <row r="48" spans="1:9" ht="162" x14ac:dyDescent="0.35">
      <c r="A48" s="337"/>
      <c r="B48" s="506" t="s">
        <v>268</v>
      </c>
      <c r="C48" s="212" t="s">
        <v>39</v>
      </c>
      <c r="D48" s="213" t="s">
        <v>45</v>
      </c>
      <c r="E48" s="213" t="s">
        <v>39</v>
      </c>
      <c r="F48" s="214" t="s">
        <v>269</v>
      </c>
      <c r="G48" s="28"/>
      <c r="H48" s="221">
        <f>SUM(H49:H51)</f>
        <v>1599.6</v>
      </c>
      <c r="I48" s="221">
        <f>SUM(I49:I51)</f>
        <v>1663.6</v>
      </c>
    </row>
    <row r="49" spans="1:9" ht="90" x14ac:dyDescent="0.35">
      <c r="A49" s="337"/>
      <c r="B49" s="507" t="s">
        <v>49</v>
      </c>
      <c r="C49" s="212" t="s">
        <v>39</v>
      </c>
      <c r="D49" s="213" t="s">
        <v>45</v>
      </c>
      <c r="E49" s="213" t="s">
        <v>39</v>
      </c>
      <c r="F49" s="214" t="s">
        <v>269</v>
      </c>
      <c r="G49" s="28" t="s">
        <v>50</v>
      </c>
      <c r="H49" s="221">
        <f>'прил10 (ведом 24-25)'!M341</f>
        <v>77.599999999999994</v>
      </c>
      <c r="I49" s="221">
        <f>'прил10 (ведом 24-25)'!N341</f>
        <v>80</v>
      </c>
    </row>
    <row r="50" spans="1:9" ht="18" x14ac:dyDescent="0.35">
      <c r="A50" s="337"/>
      <c r="B50" s="507" t="s">
        <v>120</v>
      </c>
      <c r="C50" s="212" t="s">
        <v>39</v>
      </c>
      <c r="D50" s="213" t="s">
        <v>45</v>
      </c>
      <c r="E50" s="213" t="s">
        <v>39</v>
      </c>
      <c r="F50" s="214" t="s">
        <v>269</v>
      </c>
      <c r="G50" s="28" t="s">
        <v>121</v>
      </c>
      <c r="H50" s="221">
        <f>'прил10 (ведом 24-25)'!M342</f>
        <v>5.5</v>
      </c>
      <c r="I50" s="221">
        <f>'прил10 (ведом 24-25)'!N342</f>
        <v>5.6</v>
      </c>
    </row>
    <row r="51" spans="1:9" ht="36" x14ac:dyDescent="0.35">
      <c r="A51" s="337"/>
      <c r="B51" s="506" t="s">
        <v>76</v>
      </c>
      <c r="C51" s="212" t="s">
        <v>39</v>
      </c>
      <c r="D51" s="213" t="s">
        <v>45</v>
      </c>
      <c r="E51" s="213" t="s">
        <v>39</v>
      </c>
      <c r="F51" s="214" t="s">
        <v>269</v>
      </c>
      <c r="G51" s="28" t="s">
        <v>77</v>
      </c>
      <c r="H51" s="221">
        <f>'прил10 (ведом 24-25)'!M343</f>
        <v>1516.5</v>
      </c>
      <c r="I51" s="221">
        <f>'прил10 (ведом 24-25)'!N343</f>
        <v>1578</v>
      </c>
    </row>
    <row r="52" spans="1:9" ht="90" x14ac:dyDescent="0.35">
      <c r="A52" s="337"/>
      <c r="B52" s="506" t="s">
        <v>345</v>
      </c>
      <c r="C52" s="212" t="s">
        <v>39</v>
      </c>
      <c r="D52" s="213" t="s">
        <v>45</v>
      </c>
      <c r="E52" s="213" t="s">
        <v>39</v>
      </c>
      <c r="F52" s="214" t="s">
        <v>270</v>
      </c>
      <c r="G52" s="28"/>
      <c r="H52" s="221">
        <f>SUM(H53:H55)</f>
        <v>444750.99999999994</v>
      </c>
      <c r="I52" s="221">
        <f>SUM(I53:I55)</f>
        <v>444788.39999999997</v>
      </c>
    </row>
    <row r="53" spans="1:9" ht="90" x14ac:dyDescent="0.35">
      <c r="A53" s="337"/>
      <c r="B53" s="506" t="s">
        <v>49</v>
      </c>
      <c r="C53" s="212" t="s">
        <v>39</v>
      </c>
      <c r="D53" s="213" t="s">
        <v>45</v>
      </c>
      <c r="E53" s="213" t="s">
        <v>39</v>
      </c>
      <c r="F53" s="214" t="s">
        <v>270</v>
      </c>
      <c r="G53" s="28" t="s">
        <v>50</v>
      </c>
      <c r="H53" s="221">
        <f>'прил10 (ведом 24-25)'!M345</f>
        <v>30259.8</v>
      </c>
      <c r="I53" s="221">
        <f>'прил10 (ведом 24-25)'!N345</f>
        <v>30259.8</v>
      </c>
    </row>
    <row r="54" spans="1:9" ht="36" x14ac:dyDescent="0.35">
      <c r="A54" s="337"/>
      <c r="B54" s="506" t="s">
        <v>55</v>
      </c>
      <c r="C54" s="212" t="s">
        <v>39</v>
      </c>
      <c r="D54" s="213" t="s">
        <v>45</v>
      </c>
      <c r="E54" s="213" t="s">
        <v>39</v>
      </c>
      <c r="F54" s="214" t="s">
        <v>270</v>
      </c>
      <c r="G54" s="28" t="s">
        <v>56</v>
      </c>
      <c r="H54" s="221">
        <f>'прил10 (ведом 24-25)'!M346</f>
        <v>1983</v>
      </c>
      <c r="I54" s="221">
        <f>'прил10 (ведом 24-25)'!N346</f>
        <v>1983</v>
      </c>
    </row>
    <row r="55" spans="1:9" ht="36" x14ac:dyDescent="0.35">
      <c r="A55" s="337"/>
      <c r="B55" s="506" t="s">
        <v>76</v>
      </c>
      <c r="C55" s="212" t="s">
        <v>39</v>
      </c>
      <c r="D55" s="213" t="s">
        <v>45</v>
      </c>
      <c r="E55" s="213" t="s">
        <v>39</v>
      </c>
      <c r="F55" s="214" t="s">
        <v>270</v>
      </c>
      <c r="G55" s="28" t="s">
        <v>77</v>
      </c>
      <c r="H55" s="221">
        <f>'прил10 (ведом 24-25)'!M347</f>
        <v>412508.19999999995</v>
      </c>
      <c r="I55" s="221">
        <f>'прил10 (ведом 24-25)'!N347</f>
        <v>412545.6</v>
      </c>
    </row>
    <row r="56" spans="1:9" ht="72" x14ac:dyDescent="0.35">
      <c r="A56" s="337"/>
      <c r="B56" s="506" t="s">
        <v>209</v>
      </c>
      <c r="C56" s="703" t="s">
        <v>39</v>
      </c>
      <c r="D56" s="703" t="s">
        <v>45</v>
      </c>
      <c r="E56" s="703" t="s">
        <v>39</v>
      </c>
      <c r="F56" s="704" t="s">
        <v>275</v>
      </c>
      <c r="G56" s="242"/>
      <c r="H56" s="221">
        <f>SUM(H57:H58)</f>
        <v>2502.6</v>
      </c>
      <c r="I56" s="221">
        <f>SUM(I57:I58)</f>
        <v>2502.6</v>
      </c>
    </row>
    <row r="57" spans="1:9" ht="36" x14ac:dyDescent="0.35">
      <c r="A57" s="337"/>
      <c r="B57" s="507" t="s">
        <v>55</v>
      </c>
      <c r="C57" s="212" t="s">
        <v>39</v>
      </c>
      <c r="D57" s="213" t="s">
        <v>45</v>
      </c>
      <c r="E57" s="213" t="s">
        <v>39</v>
      </c>
      <c r="F57" s="214" t="s">
        <v>275</v>
      </c>
      <c r="G57" s="28" t="s">
        <v>56</v>
      </c>
      <c r="H57" s="221">
        <f>'прил10 (ведом 24-25)'!M349</f>
        <v>129.9</v>
      </c>
      <c r="I57" s="221">
        <f>'прил10 (ведом 24-25)'!N349</f>
        <v>129.9</v>
      </c>
    </row>
    <row r="58" spans="1:9" ht="36" x14ac:dyDescent="0.35">
      <c r="A58" s="337"/>
      <c r="B58" s="506" t="s">
        <v>76</v>
      </c>
      <c r="C58" s="703" t="s">
        <v>39</v>
      </c>
      <c r="D58" s="703" t="s">
        <v>45</v>
      </c>
      <c r="E58" s="703" t="s">
        <v>39</v>
      </c>
      <c r="F58" s="704" t="s">
        <v>275</v>
      </c>
      <c r="G58" s="242" t="s">
        <v>77</v>
      </c>
      <c r="H58" s="221">
        <f>'прил10 (ведом 24-25)'!M350</f>
        <v>2372.6999999999998</v>
      </c>
      <c r="I58" s="221">
        <f>'прил10 (ведом 24-25)'!N350</f>
        <v>2372.6999999999998</v>
      </c>
    </row>
    <row r="59" spans="1:9" ht="126" x14ac:dyDescent="0.35">
      <c r="A59" s="337"/>
      <c r="B59" s="510" t="s">
        <v>551</v>
      </c>
      <c r="C59" s="709" t="s">
        <v>39</v>
      </c>
      <c r="D59" s="710" t="s">
        <v>45</v>
      </c>
      <c r="E59" s="710" t="s">
        <v>39</v>
      </c>
      <c r="F59" s="711" t="s">
        <v>550</v>
      </c>
      <c r="G59" s="10"/>
      <c r="H59" s="221">
        <f>SUM(H60:H62)</f>
        <v>2232.2000000000003</v>
      </c>
      <c r="I59" s="221">
        <f>SUM(I60:I62)</f>
        <v>2086.4</v>
      </c>
    </row>
    <row r="60" spans="1:9" ht="36" x14ac:dyDescent="0.35">
      <c r="A60" s="337"/>
      <c r="B60" s="510" t="s">
        <v>55</v>
      </c>
      <c r="C60" s="709" t="s">
        <v>39</v>
      </c>
      <c r="D60" s="710" t="s">
        <v>45</v>
      </c>
      <c r="E60" s="710" t="s">
        <v>39</v>
      </c>
      <c r="F60" s="711" t="s">
        <v>550</v>
      </c>
      <c r="G60" s="10" t="s">
        <v>56</v>
      </c>
      <c r="H60" s="221">
        <f>'прил10 (ведом 24-25)'!M352</f>
        <v>79.900000000000006</v>
      </c>
      <c r="I60" s="221">
        <f>'прил10 (ведом 24-25)'!N352</f>
        <v>66.3</v>
      </c>
    </row>
    <row r="61" spans="1:9" ht="18" x14ac:dyDescent="0.35">
      <c r="A61" s="337"/>
      <c r="B61" s="507" t="s">
        <v>120</v>
      </c>
      <c r="C61" s="212" t="s">
        <v>39</v>
      </c>
      <c r="D61" s="213" t="s">
        <v>45</v>
      </c>
      <c r="E61" s="213" t="s">
        <v>39</v>
      </c>
      <c r="F61" s="214" t="s">
        <v>550</v>
      </c>
      <c r="G61" s="28" t="s">
        <v>121</v>
      </c>
      <c r="H61" s="221">
        <f>'прил10 (ведом 24-25)'!M353</f>
        <v>25.5</v>
      </c>
      <c r="I61" s="221">
        <f>'прил10 (ведом 24-25)'!N353</f>
        <v>23.6</v>
      </c>
    </row>
    <row r="62" spans="1:9" ht="36" x14ac:dyDescent="0.35">
      <c r="A62" s="337"/>
      <c r="B62" s="510" t="s">
        <v>76</v>
      </c>
      <c r="C62" s="709" t="s">
        <v>39</v>
      </c>
      <c r="D62" s="710" t="s">
        <v>45</v>
      </c>
      <c r="E62" s="710" t="s">
        <v>39</v>
      </c>
      <c r="F62" s="711" t="s">
        <v>550</v>
      </c>
      <c r="G62" s="10" t="s">
        <v>77</v>
      </c>
      <c r="H62" s="221">
        <f>'прил10 (ведом 24-25)'!M354</f>
        <v>2126.8000000000002</v>
      </c>
      <c r="I62" s="221">
        <f>'прил10 (ведом 24-25)'!N354</f>
        <v>1996.5</v>
      </c>
    </row>
    <row r="63" spans="1:9" ht="72" x14ac:dyDescent="0.35">
      <c r="A63" s="337"/>
      <c r="B63" s="507" t="s">
        <v>455</v>
      </c>
      <c r="C63" s="212" t="s">
        <v>39</v>
      </c>
      <c r="D63" s="213" t="s">
        <v>45</v>
      </c>
      <c r="E63" s="213" t="s">
        <v>39</v>
      </c>
      <c r="F63" s="214" t="s">
        <v>454</v>
      </c>
      <c r="G63" s="28"/>
      <c r="H63" s="221">
        <f>H64+H65</f>
        <v>63320.5</v>
      </c>
      <c r="I63" s="221">
        <f>I64+I65</f>
        <v>62761.9</v>
      </c>
    </row>
    <row r="64" spans="1:9" ht="36" x14ac:dyDescent="0.35">
      <c r="A64" s="337"/>
      <c r="B64" s="507" t="s">
        <v>55</v>
      </c>
      <c r="C64" s="212" t="s">
        <v>39</v>
      </c>
      <c r="D64" s="213" t="s">
        <v>45</v>
      </c>
      <c r="E64" s="213" t="s">
        <v>39</v>
      </c>
      <c r="F64" s="214" t="s">
        <v>454</v>
      </c>
      <c r="G64" s="28" t="s">
        <v>56</v>
      </c>
      <c r="H64" s="221">
        <f>'прил10 (ведом 24-25)'!M356</f>
        <v>1902.9</v>
      </c>
      <c r="I64" s="221">
        <f>'прил10 (ведом 24-25)'!N356</f>
        <v>1917.7</v>
      </c>
    </row>
    <row r="65" spans="1:9" ht="36" x14ac:dyDescent="0.35">
      <c r="A65" s="337"/>
      <c r="B65" s="507" t="s">
        <v>76</v>
      </c>
      <c r="C65" s="212" t="s">
        <v>39</v>
      </c>
      <c r="D65" s="213" t="s">
        <v>45</v>
      </c>
      <c r="E65" s="213" t="s">
        <v>39</v>
      </c>
      <c r="F65" s="214" t="s">
        <v>454</v>
      </c>
      <c r="G65" s="28" t="s">
        <v>77</v>
      </c>
      <c r="H65" s="221">
        <f>'прил10 (ведом 24-25)'!M357</f>
        <v>61417.599999999999</v>
      </c>
      <c r="I65" s="221">
        <f>'прил10 (ведом 24-25)'!N357</f>
        <v>60844.200000000004</v>
      </c>
    </row>
    <row r="66" spans="1:9" ht="108" x14ac:dyDescent="0.35">
      <c r="A66" s="337"/>
      <c r="B66" s="599" t="s">
        <v>503</v>
      </c>
      <c r="C66" s="369" t="s">
        <v>39</v>
      </c>
      <c r="D66" s="370" t="s">
        <v>45</v>
      </c>
      <c r="E66" s="370" t="s">
        <v>39</v>
      </c>
      <c r="F66" s="371" t="s">
        <v>502</v>
      </c>
      <c r="G66" s="429"/>
      <c r="H66" s="221">
        <f>H67</f>
        <v>17968.2</v>
      </c>
      <c r="I66" s="221">
        <f>I67</f>
        <v>0</v>
      </c>
    </row>
    <row r="67" spans="1:9" ht="36" x14ac:dyDescent="0.35">
      <c r="A67" s="337"/>
      <c r="B67" s="599" t="s">
        <v>203</v>
      </c>
      <c r="C67" s="607" t="s">
        <v>39</v>
      </c>
      <c r="D67" s="608" t="s">
        <v>45</v>
      </c>
      <c r="E67" s="608" t="s">
        <v>39</v>
      </c>
      <c r="F67" s="609" t="s">
        <v>502</v>
      </c>
      <c r="G67" s="429" t="s">
        <v>204</v>
      </c>
      <c r="H67" s="221">
        <f>'прил10 (ведом 24-25)'!M271</f>
        <v>17968.2</v>
      </c>
      <c r="I67" s="221">
        <f>'прил10 (ведом 24-25)'!N271</f>
        <v>0</v>
      </c>
    </row>
    <row r="68" spans="1:9" ht="162" x14ac:dyDescent="0.35">
      <c r="A68" s="337"/>
      <c r="B68" s="510" t="s">
        <v>552</v>
      </c>
      <c r="C68" s="709" t="s">
        <v>39</v>
      </c>
      <c r="D68" s="710" t="s">
        <v>45</v>
      </c>
      <c r="E68" s="710" t="s">
        <v>39</v>
      </c>
      <c r="F68" s="711" t="s">
        <v>553</v>
      </c>
      <c r="G68" s="10"/>
      <c r="H68" s="221">
        <f>H69</f>
        <v>3900.6</v>
      </c>
      <c r="I68" s="221">
        <f>I69</f>
        <v>0</v>
      </c>
    </row>
    <row r="69" spans="1:9" ht="36" x14ac:dyDescent="0.35">
      <c r="A69" s="337"/>
      <c r="B69" s="510" t="s">
        <v>76</v>
      </c>
      <c r="C69" s="709" t="s">
        <v>39</v>
      </c>
      <c r="D69" s="710" t="s">
        <v>45</v>
      </c>
      <c r="E69" s="710" t="s">
        <v>39</v>
      </c>
      <c r="F69" s="711" t="s">
        <v>553</v>
      </c>
      <c r="G69" s="10" t="s">
        <v>77</v>
      </c>
      <c r="H69" s="221">
        <f>'прил10 (ведом 24-25)'!M359</f>
        <v>3900.6</v>
      </c>
      <c r="I69" s="221">
        <f>'прил10 (ведом 24-25)'!N359</f>
        <v>0</v>
      </c>
    </row>
    <row r="70" spans="1:9" ht="72" x14ac:dyDescent="0.35">
      <c r="A70" s="337"/>
      <c r="B70" s="510" t="s">
        <v>548</v>
      </c>
      <c r="C70" s="709" t="s">
        <v>39</v>
      </c>
      <c r="D70" s="710" t="s">
        <v>45</v>
      </c>
      <c r="E70" s="710" t="s">
        <v>39</v>
      </c>
      <c r="F70" s="711" t="s">
        <v>547</v>
      </c>
      <c r="G70" s="28"/>
      <c r="H70" s="221">
        <f>H71+H72+H73</f>
        <v>14388.6</v>
      </c>
      <c r="I70" s="221">
        <f>I71+I72+I73</f>
        <v>13206.8</v>
      </c>
    </row>
    <row r="71" spans="1:9" ht="36" x14ac:dyDescent="0.35">
      <c r="A71" s="337"/>
      <c r="B71" s="510" t="s">
        <v>55</v>
      </c>
      <c r="C71" s="709" t="s">
        <v>39</v>
      </c>
      <c r="D71" s="710" t="s">
        <v>45</v>
      </c>
      <c r="E71" s="710" t="s">
        <v>39</v>
      </c>
      <c r="F71" s="711" t="s">
        <v>547</v>
      </c>
      <c r="G71" s="10" t="s">
        <v>56</v>
      </c>
      <c r="H71" s="221">
        <f>'прил10 (ведом 24-25)'!M361</f>
        <v>90.6</v>
      </c>
      <c r="I71" s="221">
        <f>'прил10 (ведом 24-25)'!N361</f>
        <v>71.900000000000006</v>
      </c>
    </row>
    <row r="72" spans="1:9" ht="18" x14ac:dyDescent="0.35">
      <c r="A72" s="337"/>
      <c r="B72" s="510" t="s">
        <v>120</v>
      </c>
      <c r="C72" s="709" t="s">
        <v>39</v>
      </c>
      <c r="D72" s="710" t="s">
        <v>45</v>
      </c>
      <c r="E72" s="710" t="s">
        <v>39</v>
      </c>
      <c r="F72" s="711" t="s">
        <v>547</v>
      </c>
      <c r="G72" s="10" t="s">
        <v>121</v>
      </c>
      <c r="H72" s="221">
        <f>'прил10 (ведом 24-25)'!M362</f>
        <v>102</v>
      </c>
      <c r="I72" s="221">
        <f>'прил10 (ведом 24-25)'!N362</f>
        <v>102</v>
      </c>
    </row>
    <row r="73" spans="1:9" ht="36" x14ac:dyDescent="0.35">
      <c r="A73" s="337"/>
      <c r="B73" s="510" t="s">
        <v>76</v>
      </c>
      <c r="C73" s="709" t="s">
        <v>39</v>
      </c>
      <c r="D73" s="710" t="s">
        <v>45</v>
      </c>
      <c r="E73" s="710" t="s">
        <v>39</v>
      </c>
      <c r="F73" s="711" t="s">
        <v>547</v>
      </c>
      <c r="G73" s="10" t="s">
        <v>77</v>
      </c>
      <c r="H73" s="221">
        <f>'прил10 (ведом 24-25)'!M363</f>
        <v>14196</v>
      </c>
      <c r="I73" s="221">
        <f>'прил10 (ведом 24-25)'!N363</f>
        <v>13032.9</v>
      </c>
    </row>
    <row r="74" spans="1:9" ht="72" x14ac:dyDescent="0.35">
      <c r="A74" s="337"/>
      <c r="B74" s="510" t="s">
        <v>674</v>
      </c>
      <c r="C74" s="709" t="s">
        <v>39</v>
      </c>
      <c r="D74" s="710" t="s">
        <v>45</v>
      </c>
      <c r="E74" s="710" t="s">
        <v>655</v>
      </c>
      <c r="F74" s="711" t="s">
        <v>673</v>
      </c>
      <c r="G74" s="10"/>
      <c r="H74" s="221">
        <f>H75+H76</f>
        <v>5457.5</v>
      </c>
      <c r="I74" s="221">
        <f>I75+I76</f>
        <v>5457.5</v>
      </c>
    </row>
    <row r="75" spans="1:9" ht="90" x14ac:dyDescent="0.35">
      <c r="A75" s="337"/>
      <c r="B75" s="510" t="s">
        <v>49</v>
      </c>
      <c r="C75" s="709" t="s">
        <v>39</v>
      </c>
      <c r="D75" s="710" t="s">
        <v>45</v>
      </c>
      <c r="E75" s="710" t="s">
        <v>655</v>
      </c>
      <c r="F75" s="711" t="s">
        <v>673</v>
      </c>
      <c r="G75" s="10" t="s">
        <v>50</v>
      </c>
      <c r="H75" s="221">
        <f>'прил10 (ведом 24-25)'!M365</f>
        <v>399.32925</v>
      </c>
      <c r="I75" s="221">
        <f>'прил10 (ведом 24-25)'!N365</f>
        <v>399.32925</v>
      </c>
    </row>
    <row r="76" spans="1:9" ht="36" x14ac:dyDescent="0.35">
      <c r="A76" s="337"/>
      <c r="B76" s="510" t="s">
        <v>76</v>
      </c>
      <c r="C76" s="709" t="s">
        <v>39</v>
      </c>
      <c r="D76" s="710" t="s">
        <v>45</v>
      </c>
      <c r="E76" s="710" t="s">
        <v>655</v>
      </c>
      <c r="F76" s="711" t="s">
        <v>673</v>
      </c>
      <c r="G76" s="10" t="s">
        <v>77</v>
      </c>
      <c r="H76" s="221">
        <f>'прил10 (ведом 24-25)'!M366</f>
        <v>5058.1707500000002</v>
      </c>
      <c r="I76" s="221">
        <f>'прил10 (ведом 24-25)'!N366</f>
        <v>5058.1707500000002</v>
      </c>
    </row>
    <row r="77" spans="1:9" ht="18" x14ac:dyDescent="0.35">
      <c r="A77" s="337"/>
      <c r="B77" s="506" t="s">
        <v>210</v>
      </c>
      <c r="C77" s="212" t="s">
        <v>39</v>
      </c>
      <c r="D77" s="213" t="s">
        <v>89</v>
      </c>
      <c r="E77" s="213" t="s">
        <v>43</v>
      </c>
      <c r="F77" s="214" t="s">
        <v>44</v>
      </c>
      <c r="G77" s="242"/>
      <c r="H77" s="221">
        <f>H78</f>
        <v>70176.600000000006</v>
      </c>
      <c r="I77" s="221">
        <f>I78</f>
        <v>80775.10000000002</v>
      </c>
    </row>
    <row r="78" spans="1:9" ht="36" x14ac:dyDescent="0.35">
      <c r="A78" s="337"/>
      <c r="B78" s="506" t="s">
        <v>276</v>
      </c>
      <c r="C78" s="212" t="s">
        <v>39</v>
      </c>
      <c r="D78" s="213" t="s">
        <v>89</v>
      </c>
      <c r="E78" s="213" t="s">
        <v>37</v>
      </c>
      <c r="F78" s="214" t="s">
        <v>44</v>
      </c>
      <c r="G78" s="242"/>
      <c r="H78" s="221">
        <f>H79+H87+H89+H84</f>
        <v>70176.600000000006</v>
      </c>
      <c r="I78" s="221">
        <f>I79+I87+I89+I84</f>
        <v>80775.10000000002</v>
      </c>
    </row>
    <row r="79" spans="1:9" ht="36" x14ac:dyDescent="0.35">
      <c r="A79" s="337"/>
      <c r="B79" s="506" t="s">
        <v>464</v>
      </c>
      <c r="C79" s="212" t="s">
        <v>39</v>
      </c>
      <c r="D79" s="213" t="s">
        <v>89</v>
      </c>
      <c r="E79" s="213" t="s">
        <v>37</v>
      </c>
      <c r="F79" s="214" t="s">
        <v>91</v>
      </c>
      <c r="G79" s="28"/>
      <c r="H79" s="221">
        <f>SUM(H80:H83)</f>
        <v>53765.8</v>
      </c>
      <c r="I79" s="221">
        <f>SUM(I80:I83)</f>
        <v>64360.80000000001</v>
      </c>
    </row>
    <row r="80" spans="1:9" ht="90" x14ac:dyDescent="0.35">
      <c r="A80" s="337"/>
      <c r="B80" s="507" t="s">
        <v>49</v>
      </c>
      <c r="C80" s="212" t="s">
        <v>39</v>
      </c>
      <c r="D80" s="213" t="s">
        <v>89</v>
      </c>
      <c r="E80" s="213" t="s">
        <v>37</v>
      </c>
      <c r="F80" s="214" t="s">
        <v>91</v>
      </c>
      <c r="G80" s="28" t="s">
        <v>50</v>
      </c>
      <c r="H80" s="221">
        <f>'прил10 (ведом 24-25)'!M377</f>
        <v>15332.3</v>
      </c>
      <c r="I80" s="221">
        <f>'прил10 (ведом 24-25)'!N377</f>
        <v>15332.3</v>
      </c>
    </row>
    <row r="81" spans="1:9" ht="36" x14ac:dyDescent="0.35">
      <c r="A81" s="337"/>
      <c r="B81" s="507" t="s">
        <v>55</v>
      </c>
      <c r="C81" s="212" t="s">
        <v>39</v>
      </c>
      <c r="D81" s="213" t="s">
        <v>89</v>
      </c>
      <c r="E81" s="213" t="s">
        <v>37</v>
      </c>
      <c r="F81" s="214" t="s">
        <v>91</v>
      </c>
      <c r="G81" s="28" t="s">
        <v>56</v>
      </c>
      <c r="H81" s="221">
        <f>'прил10 (ведом 24-25)'!M378</f>
        <v>1122.5915299999999</v>
      </c>
      <c r="I81" s="221">
        <f>'прил10 (ведом 24-25)'!N378</f>
        <v>6539.5915300000006</v>
      </c>
    </row>
    <row r="82" spans="1:9" ht="36" x14ac:dyDescent="0.35">
      <c r="A82" s="337"/>
      <c r="B82" s="506" t="s">
        <v>76</v>
      </c>
      <c r="C82" s="212" t="s">
        <v>39</v>
      </c>
      <c r="D82" s="213" t="s">
        <v>89</v>
      </c>
      <c r="E82" s="213" t="s">
        <v>37</v>
      </c>
      <c r="F82" s="214" t="s">
        <v>91</v>
      </c>
      <c r="G82" s="28" t="s">
        <v>77</v>
      </c>
      <c r="H82" s="221">
        <f>'прил10 (ведом 24-25)'!M379</f>
        <v>37266.408470000002</v>
      </c>
      <c r="I82" s="221">
        <f>'прил10 (ведом 24-25)'!N379</f>
        <v>42444.608470000006</v>
      </c>
    </row>
    <row r="83" spans="1:9" ht="18" x14ac:dyDescent="0.35">
      <c r="A83" s="337"/>
      <c r="B83" s="507" t="s">
        <v>57</v>
      </c>
      <c r="C83" s="212" t="s">
        <v>39</v>
      </c>
      <c r="D83" s="213" t="s">
        <v>89</v>
      </c>
      <c r="E83" s="213" t="s">
        <v>37</v>
      </c>
      <c r="F83" s="214" t="s">
        <v>91</v>
      </c>
      <c r="G83" s="28" t="s">
        <v>58</v>
      </c>
      <c r="H83" s="221">
        <f>'прил10 (ведом 24-25)'!M380</f>
        <v>44.5</v>
      </c>
      <c r="I83" s="221">
        <f>'прил10 (ведом 24-25)'!N380</f>
        <v>44.3</v>
      </c>
    </row>
    <row r="84" spans="1:9" ht="36" x14ac:dyDescent="0.35">
      <c r="A84" s="337"/>
      <c r="B84" s="507" t="s">
        <v>207</v>
      </c>
      <c r="C84" s="212" t="s">
        <v>39</v>
      </c>
      <c r="D84" s="213" t="s">
        <v>89</v>
      </c>
      <c r="E84" s="213" t="s">
        <v>37</v>
      </c>
      <c r="F84" s="214" t="s">
        <v>273</v>
      </c>
      <c r="G84" s="28"/>
      <c r="H84" s="221">
        <f>H85+H86</f>
        <v>5321.7999999999993</v>
      </c>
      <c r="I84" s="221">
        <f>I85+I86</f>
        <v>5321.7999999999993</v>
      </c>
    </row>
    <row r="85" spans="1:9" ht="36" x14ac:dyDescent="0.35">
      <c r="A85" s="337"/>
      <c r="B85" s="507" t="s">
        <v>55</v>
      </c>
      <c r="C85" s="212" t="s">
        <v>39</v>
      </c>
      <c r="D85" s="213" t="s">
        <v>89</v>
      </c>
      <c r="E85" s="213" t="s">
        <v>37</v>
      </c>
      <c r="F85" s="214" t="s">
        <v>273</v>
      </c>
      <c r="G85" s="28" t="s">
        <v>56</v>
      </c>
      <c r="H85" s="221">
        <f>'прил10 (ведом 24-25)'!M382</f>
        <v>1064.3499999999999</v>
      </c>
      <c r="I85" s="221">
        <f>'прил10 (ведом 24-25)'!N382</f>
        <v>1064.3499999999999</v>
      </c>
    </row>
    <row r="86" spans="1:9" ht="36" x14ac:dyDescent="0.35">
      <c r="A86" s="337"/>
      <c r="B86" s="511" t="s">
        <v>76</v>
      </c>
      <c r="C86" s="212" t="s">
        <v>39</v>
      </c>
      <c r="D86" s="213" t="s">
        <v>89</v>
      </c>
      <c r="E86" s="213" t="s">
        <v>37</v>
      </c>
      <c r="F86" s="214" t="s">
        <v>273</v>
      </c>
      <c r="G86" s="28" t="s">
        <v>77</v>
      </c>
      <c r="H86" s="221">
        <f>'прил10 (ведом 24-25)'!M383</f>
        <v>4257.45</v>
      </c>
      <c r="I86" s="221">
        <f>'прил10 (ведом 24-25)'!N383</f>
        <v>4257.45</v>
      </c>
    </row>
    <row r="87" spans="1:9" ht="162" x14ac:dyDescent="0.35">
      <c r="A87" s="337"/>
      <c r="B87" s="506" t="s">
        <v>268</v>
      </c>
      <c r="C87" s="212" t="s">
        <v>39</v>
      </c>
      <c r="D87" s="213" t="s">
        <v>89</v>
      </c>
      <c r="E87" s="213" t="s">
        <v>37</v>
      </c>
      <c r="F87" s="214" t="s">
        <v>269</v>
      </c>
      <c r="G87" s="28"/>
      <c r="H87" s="221">
        <f>H88</f>
        <v>89</v>
      </c>
      <c r="I87" s="221">
        <f>I88</f>
        <v>92.5</v>
      </c>
    </row>
    <row r="88" spans="1:9" ht="36" x14ac:dyDescent="0.35">
      <c r="A88" s="337"/>
      <c r="B88" s="507" t="s">
        <v>76</v>
      </c>
      <c r="C88" s="212" t="s">
        <v>39</v>
      </c>
      <c r="D88" s="213" t="s">
        <v>89</v>
      </c>
      <c r="E88" s="213" t="s">
        <v>37</v>
      </c>
      <c r="F88" s="214" t="s">
        <v>269</v>
      </c>
      <c r="G88" s="28" t="s">
        <v>77</v>
      </c>
      <c r="H88" s="221">
        <f>'прил10 (ведом 24-25)'!M385</f>
        <v>89</v>
      </c>
      <c r="I88" s="221">
        <f>'прил10 (ведом 24-25)'!N385</f>
        <v>92.5</v>
      </c>
    </row>
    <row r="89" spans="1:9" ht="90" x14ac:dyDescent="0.35">
      <c r="A89" s="337"/>
      <c r="B89" s="507" t="s">
        <v>345</v>
      </c>
      <c r="C89" s="212" t="s">
        <v>39</v>
      </c>
      <c r="D89" s="213" t="s">
        <v>89</v>
      </c>
      <c r="E89" s="213" t="s">
        <v>37</v>
      </c>
      <c r="F89" s="214" t="s">
        <v>270</v>
      </c>
      <c r="G89" s="28"/>
      <c r="H89" s="221">
        <f>H90</f>
        <v>11000</v>
      </c>
      <c r="I89" s="221">
        <f>I90</f>
        <v>11000</v>
      </c>
    </row>
    <row r="90" spans="1:9" ht="36" x14ac:dyDescent="0.35">
      <c r="A90" s="337"/>
      <c r="B90" s="507" t="s">
        <v>76</v>
      </c>
      <c r="C90" s="212" t="s">
        <v>39</v>
      </c>
      <c r="D90" s="213" t="s">
        <v>89</v>
      </c>
      <c r="E90" s="213" t="s">
        <v>37</v>
      </c>
      <c r="F90" s="214" t="s">
        <v>270</v>
      </c>
      <c r="G90" s="28" t="s">
        <v>77</v>
      </c>
      <c r="H90" s="221">
        <f>'прил10 (ведом 24-25)'!M387</f>
        <v>11000</v>
      </c>
      <c r="I90" s="221">
        <f>'прил10 (ведом 24-25)'!N387</f>
        <v>11000</v>
      </c>
    </row>
    <row r="91" spans="1:9" ht="36" x14ac:dyDescent="0.35">
      <c r="A91" s="337"/>
      <c r="B91" s="506" t="s">
        <v>212</v>
      </c>
      <c r="C91" s="212" t="s">
        <v>39</v>
      </c>
      <c r="D91" s="213" t="s">
        <v>30</v>
      </c>
      <c r="E91" s="213" t="s">
        <v>43</v>
      </c>
      <c r="F91" s="214" t="s">
        <v>44</v>
      </c>
      <c r="G91" s="242"/>
      <c r="H91" s="221">
        <f>H92+H110+H115+H118+H121</f>
        <v>91427.300000000017</v>
      </c>
      <c r="I91" s="221">
        <f>I92+I110+I115+I118+I121</f>
        <v>91171.300000000017</v>
      </c>
    </row>
    <row r="92" spans="1:9" ht="36" x14ac:dyDescent="0.35">
      <c r="A92" s="337"/>
      <c r="B92" s="506" t="s">
        <v>282</v>
      </c>
      <c r="C92" s="212" t="s">
        <v>39</v>
      </c>
      <c r="D92" s="213" t="s">
        <v>30</v>
      </c>
      <c r="E92" s="213" t="s">
        <v>37</v>
      </c>
      <c r="F92" s="214" t="s">
        <v>44</v>
      </c>
      <c r="G92" s="242"/>
      <c r="H92" s="221">
        <f>H93+H97+H107+H104+H102</f>
        <v>83246.600000000006</v>
      </c>
      <c r="I92" s="221">
        <f>I93+I97+I107+I104+I102</f>
        <v>82758.600000000006</v>
      </c>
    </row>
    <row r="93" spans="1:9" ht="36" x14ac:dyDescent="0.35">
      <c r="A93" s="337"/>
      <c r="B93" s="506" t="s">
        <v>47</v>
      </c>
      <c r="C93" s="212" t="s">
        <v>39</v>
      </c>
      <c r="D93" s="213" t="s">
        <v>30</v>
      </c>
      <c r="E93" s="213" t="s">
        <v>37</v>
      </c>
      <c r="F93" s="214" t="s">
        <v>48</v>
      </c>
      <c r="G93" s="28"/>
      <c r="H93" s="221">
        <f>SUM(H94:H96)</f>
        <v>12618</v>
      </c>
      <c r="I93" s="221">
        <f>SUM(I94:I96)</f>
        <v>12624.6</v>
      </c>
    </row>
    <row r="94" spans="1:9" ht="90" x14ac:dyDescent="0.35">
      <c r="A94" s="337"/>
      <c r="B94" s="506" t="s">
        <v>49</v>
      </c>
      <c r="C94" s="212" t="s">
        <v>39</v>
      </c>
      <c r="D94" s="213" t="s">
        <v>30</v>
      </c>
      <c r="E94" s="213" t="s">
        <v>37</v>
      </c>
      <c r="F94" s="214" t="s">
        <v>48</v>
      </c>
      <c r="G94" s="28" t="s">
        <v>50</v>
      </c>
      <c r="H94" s="221">
        <f>'прил10 (ведом 24-25)'!M393</f>
        <v>11816.7</v>
      </c>
      <c r="I94" s="221">
        <f>'прил10 (ведом 24-25)'!N393</f>
        <v>11816.7</v>
      </c>
    </row>
    <row r="95" spans="1:9" ht="36" x14ac:dyDescent="0.35">
      <c r="A95" s="337"/>
      <c r="B95" s="506" t="s">
        <v>55</v>
      </c>
      <c r="C95" s="212" t="s">
        <v>39</v>
      </c>
      <c r="D95" s="213" t="s">
        <v>30</v>
      </c>
      <c r="E95" s="213" t="s">
        <v>37</v>
      </c>
      <c r="F95" s="214" t="s">
        <v>48</v>
      </c>
      <c r="G95" s="28" t="s">
        <v>56</v>
      </c>
      <c r="H95" s="221">
        <f>'прил10 (ведом 24-25)'!M394</f>
        <v>784.4</v>
      </c>
      <c r="I95" s="221">
        <f>'прил10 (ведом 24-25)'!N394</f>
        <v>791.1</v>
      </c>
    </row>
    <row r="96" spans="1:9" ht="18" x14ac:dyDescent="0.35">
      <c r="A96" s="337"/>
      <c r="B96" s="506" t="s">
        <v>57</v>
      </c>
      <c r="C96" s="212" t="s">
        <v>39</v>
      </c>
      <c r="D96" s="213" t="s">
        <v>30</v>
      </c>
      <c r="E96" s="213" t="s">
        <v>37</v>
      </c>
      <c r="F96" s="214" t="s">
        <v>48</v>
      </c>
      <c r="G96" s="28" t="s">
        <v>58</v>
      </c>
      <c r="H96" s="221">
        <f>'прил10 (ведом 24-25)'!M395</f>
        <v>16.899999999999999</v>
      </c>
      <c r="I96" s="221">
        <f>'прил10 (ведом 24-25)'!N395</f>
        <v>16.8</v>
      </c>
    </row>
    <row r="97" spans="1:9" ht="36" x14ac:dyDescent="0.35">
      <c r="A97" s="337"/>
      <c r="B97" s="506" t="s">
        <v>464</v>
      </c>
      <c r="C97" s="212" t="s">
        <v>39</v>
      </c>
      <c r="D97" s="213" t="s">
        <v>30</v>
      </c>
      <c r="E97" s="213" t="s">
        <v>37</v>
      </c>
      <c r="F97" s="214" t="s">
        <v>91</v>
      </c>
      <c r="G97" s="28"/>
      <c r="H97" s="221">
        <f>SUM(H98:H101)</f>
        <v>61101.2</v>
      </c>
      <c r="I97" s="221">
        <f>SUM(I98:I101)</f>
        <v>61130.5</v>
      </c>
    </row>
    <row r="98" spans="1:9" ht="90" x14ac:dyDescent="0.35">
      <c r="A98" s="337"/>
      <c r="B98" s="506" t="s">
        <v>49</v>
      </c>
      <c r="C98" s="212" t="s">
        <v>39</v>
      </c>
      <c r="D98" s="213" t="s">
        <v>30</v>
      </c>
      <c r="E98" s="213" t="s">
        <v>37</v>
      </c>
      <c r="F98" s="214" t="s">
        <v>91</v>
      </c>
      <c r="G98" s="28" t="s">
        <v>50</v>
      </c>
      <c r="H98" s="221">
        <f>'прил10 (ведом 24-25)'!M397</f>
        <v>37625.5</v>
      </c>
      <c r="I98" s="221">
        <f>'прил10 (ведом 24-25)'!N397</f>
        <v>37625.5</v>
      </c>
    </row>
    <row r="99" spans="1:9" ht="36" x14ac:dyDescent="0.35">
      <c r="A99" s="337"/>
      <c r="B99" s="506" t="s">
        <v>55</v>
      </c>
      <c r="C99" s="212" t="s">
        <v>39</v>
      </c>
      <c r="D99" s="213" t="s">
        <v>30</v>
      </c>
      <c r="E99" s="213" t="s">
        <v>37</v>
      </c>
      <c r="F99" s="214" t="s">
        <v>91</v>
      </c>
      <c r="G99" s="28" t="s">
        <v>56</v>
      </c>
      <c r="H99" s="221">
        <f>'прил10 (ведом 24-25)'!M398</f>
        <v>3061.4</v>
      </c>
      <c r="I99" s="221">
        <f>'прил10 (ведом 24-25)'!N398</f>
        <v>3091.4</v>
      </c>
    </row>
    <row r="100" spans="1:9" ht="36" x14ac:dyDescent="0.35">
      <c r="A100" s="337"/>
      <c r="B100" s="507" t="s">
        <v>76</v>
      </c>
      <c r="C100" s="212" t="s">
        <v>39</v>
      </c>
      <c r="D100" s="213" t="s">
        <v>30</v>
      </c>
      <c r="E100" s="213" t="s">
        <v>37</v>
      </c>
      <c r="F100" s="214" t="s">
        <v>91</v>
      </c>
      <c r="G100" s="28" t="s">
        <v>77</v>
      </c>
      <c r="H100" s="221">
        <f>'прил10 (ведом 24-25)'!M399</f>
        <v>20409.3</v>
      </c>
      <c r="I100" s="221">
        <f>'прил10 (ведом 24-25)'!N399</f>
        <v>20409.3</v>
      </c>
    </row>
    <row r="101" spans="1:9" ht="18" x14ac:dyDescent="0.35">
      <c r="A101" s="337"/>
      <c r="B101" s="507" t="s">
        <v>57</v>
      </c>
      <c r="C101" s="212" t="s">
        <v>39</v>
      </c>
      <c r="D101" s="213" t="s">
        <v>30</v>
      </c>
      <c r="E101" s="213" t="s">
        <v>37</v>
      </c>
      <c r="F101" s="214" t="s">
        <v>91</v>
      </c>
      <c r="G101" s="28" t="s">
        <v>58</v>
      </c>
      <c r="H101" s="221">
        <f>'прил10 (ведом 24-25)'!M400</f>
        <v>5</v>
      </c>
      <c r="I101" s="221">
        <f>'прил10 (ведом 24-25)'!N400</f>
        <v>4.3</v>
      </c>
    </row>
    <row r="102" spans="1:9" ht="36" x14ac:dyDescent="0.35">
      <c r="A102" s="337"/>
      <c r="B102" s="510" t="s">
        <v>579</v>
      </c>
      <c r="C102" s="709" t="s">
        <v>39</v>
      </c>
      <c r="D102" s="710" t="s">
        <v>30</v>
      </c>
      <c r="E102" s="710" t="s">
        <v>37</v>
      </c>
      <c r="F102" s="711" t="s">
        <v>578</v>
      </c>
      <c r="G102" s="10"/>
      <c r="H102" s="221">
        <f>H103</f>
        <v>518.6</v>
      </c>
      <c r="I102" s="221">
        <f>I103</f>
        <v>0</v>
      </c>
    </row>
    <row r="103" spans="1:9" ht="36" x14ac:dyDescent="0.35">
      <c r="A103" s="337"/>
      <c r="B103" s="510" t="s">
        <v>76</v>
      </c>
      <c r="C103" s="709" t="s">
        <v>39</v>
      </c>
      <c r="D103" s="710" t="s">
        <v>30</v>
      </c>
      <c r="E103" s="710" t="s">
        <v>37</v>
      </c>
      <c r="F103" s="711" t="s">
        <v>578</v>
      </c>
      <c r="G103" s="10" t="s">
        <v>77</v>
      </c>
      <c r="H103" s="221">
        <f>'прил10 (ведом 24-25)'!M402</f>
        <v>518.6</v>
      </c>
      <c r="I103" s="221">
        <f>'прил10 (ведом 24-25)'!N402</f>
        <v>0</v>
      </c>
    </row>
    <row r="104" spans="1:9" ht="90" x14ac:dyDescent="0.35">
      <c r="A104" s="337"/>
      <c r="B104" s="507" t="s">
        <v>345</v>
      </c>
      <c r="C104" s="212" t="s">
        <v>39</v>
      </c>
      <c r="D104" s="213" t="s">
        <v>30</v>
      </c>
      <c r="E104" s="213" t="s">
        <v>37</v>
      </c>
      <c r="F104" s="214" t="s">
        <v>270</v>
      </c>
      <c r="G104" s="28"/>
      <c r="H104" s="221">
        <f>SUM(H105:H106)</f>
        <v>6836.2000000000007</v>
      </c>
      <c r="I104" s="221">
        <f>SUM(I105:I106)</f>
        <v>6836.8</v>
      </c>
    </row>
    <row r="105" spans="1:9" ht="90" x14ac:dyDescent="0.35">
      <c r="A105" s="337"/>
      <c r="B105" s="507" t="s">
        <v>49</v>
      </c>
      <c r="C105" s="212" t="s">
        <v>39</v>
      </c>
      <c r="D105" s="213" t="s">
        <v>30</v>
      </c>
      <c r="E105" s="213" t="s">
        <v>37</v>
      </c>
      <c r="F105" s="214" t="s">
        <v>270</v>
      </c>
      <c r="G105" s="28" t="s">
        <v>50</v>
      </c>
      <c r="H105" s="221">
        <f>'прил10 (ведом 24-25)'!M404</f>
        <v>6820.6</v>
      </c>
      <c r="I105" s="221">
        <f>'прил10 (ведом 24-25)'!N404</f>
        <v>6821.2</v>
      </c>
    </row>
    <row r="106" spans="1:9" ht="36" x14ac:dyDescent="0.35">
      <c r="A106" s="337"/>
      <c r="B106" s="510" t="s">
        <v>55</v>
      </c>
      <c r="C106" s="709" t="s">
        <v>39</v>
      </c>
      <c r="D106" s="710" t="s">
        <v>30</v>
      </c>
      <c r="E106" s="710" t="s">
        <v>37</v>
      </c>
      <c r="F106" s="711" t="s">
        <v>270</v>
      </c>
      <c r="G106" s="10" t="s">
        <v>56</v>
      </c>
      <c r="H106" s="221">
        <f>'прил10 (ведом 24-25)'!M405</f>
        <v>15.6</v>
      </c>
      <c r="I106" s="221">
        <f>'прил10 (ведом 24-25)'!N405</f>
        <v>15.6</v>
      </c>
    </row>
    <row r="107" spans="1:9" ht="216" x14ac:dyDescent="0.35">
      <c r="A107" s="337"/>
      <c r="B107" s="507" t="s">
        <v>434</v>
      </c>
      <c r="C107" s="212" t="s">
        <v>39</v>
      </c>
      <c r="D107" s="213" t="s">
        <v>30</v>
      </c>
      <c r="E107" s="213" t="s">
        <v>37</v>
      </c>
      <c r="F107" s="214" t="s">
        <v>346</v>
      </c>
      <c r="G107" s="28"/>
      <c r="H107" s="221">
        <f>SUM(H108:H109)</f>
        <v>2172.6</v>
      </c>
      <c r="I107" s="221">
        <f>SUM(I108:I109)</f>
        <v>2166.6999999999998</v>
      </c>
    </row>
    <row r="108" spans="1:9" ht="90" x14ac:dyDescent="0.35">
      <c r="A108" s="337"/>
      <c r="B108" s="510" t="s">
        <v>49</v>
      </c>
      <c r="C108" s="709" t="s">
        <v>39</v>
      </c>
      <c r="D108" s="710" t="s">
        <v>30</v>
      </c>
      <c r="E108" s="710" t="s">
        <v>37</v>
      </c>
      <c r="F108" s="711" t="s">
        <v>346</v>
      </c>
      <c r="G108" s="10" t="s">
        <v>50</v>
      </c>
      <c r="H108" s="221">
        <f>'прил10 (ведом 24-25)'!M370</f>
        <v>8.1999999999999993</v>
      </c>
      <c r="I108" s="221">
        <f>'прил10 (ведом 24-25)'!N370</f>
        <v>8.1999999999999993</v>
      </c>
    </row>
    <row r="109" spans="1:9" ht="36" x14ac:dyDescent="0.35">
      <c r="A109" s="337"/>
      <c r="B109" s="507" t="s">
        <v>76</v>
      </c>
      <c r="C109" s="212" t="s">
        <v>39</v>
      </c>
      <c r="D109" s="213" t="s">
        <v>30</v>
      </c>
      <c r="E109" s="213" t="s">
        <v>37</v>
      </c>
      <c r="F109" s="214" t="s">
        <v>346</v>
      </c>
      <c r="G109" s="28" t="s">
        <v>77</v>
      </c>
      <c r="H109" s="221">
        <f>'прил10 (ведом 24-25)'!M371</f>
        <v>2164.4</v>
      </c>
      <c r="I109" s="221">
        <f>'прил10 (ведом 24-25)'!N371</f>
        <v>2158.5</v>
      </c>
    </row>
    <row r="110" spans="1:9" ht="36" x14ac:dyDescent="0.35">
      <c r="A110" s="337"/>
      <c r="B110" s="507" t="s">
        <v>281</v>
      </c>
      <c r="C110" s="212" t="s">
        <v>39</v>
      </c>
      <c r="D110" s="213" t="s">
        <v>30</v>
      </c>
      <c r="E110" s="213" t="s">
        <v>39</v>
      </c>
      <c r="F110" s="214" t="s">
        <v>44</v>
      </c>
      <c r="G110" s="28"/>
      <c r="H110" s="221">
        <f>H111+H113</f>
        <v>7904.6</v>
      </c>
      <c r="I110" s="221">
        <f>I111+I113</f>
        <v>8136.6</v>
      </c>
    </row>
    <row r="111" spans="1:9" ht="36" x14ac:dyDescent="0.35">
      <c r="A111" s="337"/>
      <c r="B111" s="507" t="s">
        <v>470</v>
      </c>
      <c r="C111" s="212" t="s">
        <v>39</v>
      </c>
      <c r="D111" s="213" t="s">
        <v>30</v>
      </c>
      <c r="E111" s="213" t="s">
        <v>39</v>
      </c>
      <c r="F111" s="214" t="s">
        <v>469</v>
      </c>
      <c r="G111" s="28"/>
      <c r="H111" s="221">
        <f>H112</f>
        <v>2107.5</v>
      </c>
      <c r="I111" s="221">
        <f>I112</f>
        <v>2107.5</v>
      </c>
    </row>
    <row r="112" spans="1:9" ht="36" x14ac:dyDescent="0.35">
      <c r="A112" s="337"/>
      <c r="B112" s="507" t="s">
        <v>76</v>
      </c>
      <c r="C112" s="212" t="s">
        <v>39</v>
      </c>
      <c r="D112" s="213" t="s">
        <v>30</v>
      </c>
      <c r="E112" s="213" t="s">
        <v>39</v>
      </c>
      <c r="F112" s="214" t="s">
        <v>469</v>
      </c>
      <c r="G112" s="28" t="s">
        <v>77</v>
      </c>
      <c r="H112" s="221">
        <f>'прил10 (ведом 24-25)'!M408</f>
        <v>2107.5</v>
      </c>
      <c r="I112" s="221">
        <f>'прил10 (ведом 24-25)'!N408</f>
        <v>2107.5</v>
      </c>
    </row>
    <row r="113" spans="1:9" ht="108" x14ac:dyDescent="0.35">
      <c r="A113" s="337"/>
      <c r="B113" s="507" t="s">
        <v>439</v>
      </c>
      <c r="C113" s="212" t="s">
        <v>39</v>
      </c>
      <c r="D113" s="213" t="s">
        <v>30</v>
      </c>
      <c r="E113" s="213" t="s">
        <v>39</v>
      </c>
      <c r="F113" s="214" t="s">
        <v>438</v>
      </c>
      <c r="G113" s="28"/>
      <c r="H113" s="221">
        <f>H114</f>
        <v>5797.1</v>
      </c>
      <c r="I113" s="221">
        <f>I114</f>
        <v>6029.1</v>
      </c>
    </row>
    <row r="114" spans="1:9" ht="36" x14ac:dyDescent="0.35">
      <c r="A114" s="337"/>
      <c r="B114" s="507" t="s">
        <v>76</v>
      </c>
      <c r="C114" s="212" t="s">
        <v>39</v>
      </c>
      <c r="D114" s="213" t="s">
        <v>30</v>
      </c>
      <c r="E114" s="213" t="s">
        <v>39</v>
      </c>
      <c r="F114" s="214" t="s">
        <v>438</v>
      </c>
      <c r="G114" s="28" t="s">
        <v>77</v>
      </c>
      <c r="H114" s="221">
        <f>'прил10 (ведом 24-25)'!M410</f>
        <v>5797.1</v>
      </c>
      <c r="I114" s="221">
        <f>'прил10 (ведом 24-25)'!N410</f>
        <v>6029.1</v>
      </c>
    </row>
    <row r="115" spans="1:9" ht="36" x14ac:dyDescent="0.35">
      <c r="A115" s="337"/>
      <c r="B115" s="512" t="s">
        <v>351</v>
      </c>
      <c r="C115" s="702" t="s">
        <v>39</v>
      </c>
      <c r="D115" s="703" t="s">
        <v>30</v>
      </c>
      <c r="E115" s="703" t="s">
        <v>63</v>
      </c>
      <c r="F115" s="704" t="s">
        <v>44</v>
      </c>
      <c r="G115" s="242"/>
      <c r="H115" s="221">
        <f>H116</f>
        <v>141.5</v>
      </c>
      <c r="I115" s="221">
        <f>I116</f>
        <v>141.5</v>
      </c>
    </row>
    <row r="116" spans="1:9" ht="54" x14ac:dyDescent="0.35">
      <c r="A116" s="337"/>
      <c r="B116" s="512" t="s">
        <v>472</v>
      </c>
      <c r="C116" s="702" t="s">
        <v>39</v>
      </c>
      <c r="D116" s="703" t="s">
        <v>30</v>
      </c>
      <c r="E116" s="703" t="s">
        <v>63</v>
      </c>
      <c r="F116" s="704" t="s">
        <v>105</v>
      </c>
      <c r="G116" s="242"/>
      <c r="H116" s="221">
        <f>H117</f>
        <v>141.5</v>
      </c>
      <c r="I116" s="221">
        <f>I117</f>
        <v>141.5</v>
      </c>
    </row>
    <row r="117" spans="1:9" ht="36" x14ac:dyDescent="0.35">
      <c r="A117" s="337"/>
      <c r="B117" s="512" t="s">
        <v>55</v>
      </c>
      <c r="C117" s="702" t="s">
        <v>39</v>
      </c>
      <c r="D117" s="703" t="s">
        <v>30</v>
      </c>
      <c r="E117" s="703" t="s">
        <v>63</v>
      </c>
      <c r="F117" s="704" t="s">
        <v>105</v>
      </c>
      <c r="G117" s="242" t="s">
        <v>56</v>
      </c>
      <c r="H117" s="221">
        <f>'прил10 (ведом 24-25)'!M296</f>
        <v>141.5</v>
      </c>
      <c r="I117" s="221">
        <f>'прил10 (ведом 24-25)'!N296</f>
        <v>141.5</v>
      </c>
    </row>
    <row r="118" spans="1:9" ht="36" x14ac:dyDescent="0.35">
      <c r="A118" s="337"/>
      <c r="B118" s="512" t="s">
        <v>468</v>
      </c>
      <c r="C118" s="702" t="s">
        <v>39</v>
      </c>
      <c r="D118" s="703" t="s">
        <v>30</v>
      </c>
      <c r="E118" s="703" t="s">
        <v>52</v>
      </c>
      <c r="F118" s="704" t="s">
        <v>44</v>
      </c>
      <c r="G118" s="242"/>
      <c r="H118" s="221">
        <f>H119</f>
        <v>24</v>
      </c>
      <c r="I118" s="221">
        <f>I119</f>
        <v>24</v>
      </c>
    </row>
    <row r="119" spans="1:9" ht="18" x14ac:dyDescent="0.35">
      <c r="A119" s="337"/>
      <c r="B119" s="512" t="s">
        <v>473</v>
      </c>
      <c r="C119" s="702" t="s">
        <v>39</v>
      </c>
      <c r="D119" s="703" t="s">
        <v>30</v>
      </c>
      <c r="E119" s="703" t="s">
        <v>52</v>
      </c>
      <c r="F119" s="704" t="s">
        <v>467</v>
      </c>
      <c r="G119" s="242"/>
      <c r="H119" s="221">
        <f>H120</f>
        <v>24</v>
      </c>
      <c r="I119" s="221">
        <f>I120</f>
        <v>24</v>
      </c>
    </row>
    <row r="120" spans="1:9" ht="36" x14ac:dyDescent="0.35">
      <c r="A120" s="337"/>
      <c r="B120" s="512" t="s">
        <v>55</v>
      </c>
      <c r="C120" s="702" t="s">
        <v>39</v>
      </c>
      <c r="D120" s="703" t="s">
        <v>30</v>
      </c>
      <c r="E120" s="703" t="s">
        <v>52</v>
      </c>
      <c r="F120" s="704" t="s">
        <v>467</v>
      </c>
      <c r="G120" s="242" t="s">
        <v>56</v>
      </c>
      <c r="H120" s="221">
        <f>'прил10 (ведом 24-25)'!M299</f>
        <v>24</v>
      </c>
      <c r="I120" s="221">
        <f>'прил10 (ведом 24-25)'!N299</f>
        <v>24</v>
      </c>
    </row>
    <row r="121" spans="1:9" ht="36" x14ac:dyDescent="0.35">
      <c r="A121" s="337"/>
      <c r="B121" s="512" t="s">
        <v>471</v>
      </c>
      <c r="C121" s="702" t="s">
        <v>39</v>
      </c>
      <c r="D121" s="703" t="s">
        <v>30</v>
      </c>
      <c r="E121" s="703" t="s">
        <v>65</v>
      </c>
      <c r="F121" s="704" t="s">
        <v>44</v>
      </c>
      <c r="G121" s="242"/>
      <c r="H121" s="221">
        <f>H122</f>
        <v>110.6</v>
      </c>
      <c r="I121" s="221">
        <f>I122</f>
        <v>110.6</v>
      </c>
    </row>
    <row r="122" spans="1:9" ht="36" x14ac:dyDescent="0.35">
      <c r="A122" s="337"/>
      <c r="B122" s="512" t="s">
        <v>127</v>
      </c>
      <c r="C122" s="702" t="s">
        <v>39</v>
      </c>
      <c r="D122" s="703" t="s">
        <v>30</v>
      </c>
      <c r="E122" s="703" t="s">
        <v>65</v>
      </c>
      <c r="F122" s="704" t="s">
        <v>90</v>
      </c>
      <c r="G122" s="242"/>
      <c r="H122" s="221">
        <f>H123</f>
        <v>110.6</v>
      </c>
      <c r="I122" s="221">
        <f>I123</f>
        <v>110.6</v>
      </c>
    </row>
    <row r="123" spans="1:9" ht="36" x14ac:dyDescent="0.35">
      <c r="A123" s="337"/>
      <c r="B123" s="512" t="s">
        <v>55</v>
      </c>
      <c r="C123" s="702" t="s">
        <v>39</v>
      </c>
      <c r="D123" s="703" t="s">
        <v>30</v>
      </c>
      <c r="E123" s="703" t="s">
        <v>65</v>
      </c>
      <c r="F123" s="704" t="s">
        <v>90</v>
      </c>
      <c r="G123" s="242" t="s">
        <v>56</v>
      </c>
      <c r="H123" s="221">
        <f>'прил10 (ведом 24-25)'!M302</f>
        <v>110.6</v>
      </c>
      <c r="I123" s="221">
        <f>'прил10 (ведом 24-25)'!N302</f>
        <v>110.6</v>
      </c>
    </row>
    <row r="124" spans="1:9" ht="18" x14ac:dyDescent="0.35">
      <c r="A124" s="337"/>
      <c r="B124" s="513"/>
      <c r="C124" s="702"/>
      <c r="D124" s="703"/>
      <c r="E124" s="703"/>
      <c r="F124" s="704"/>
      <c r="G124" s="242"/>
      <c r="H124" s="221"/>
      <c r="I124" s="221"/>
    </row>
    <row r="125" spans="1:9" s="347" customFormat="1" ht="52.2" x14ac:dyDescent="0.3">
      <c r="A125" s="352">
        <v>2</v>
      </c>
      <c r="B125" s="505" t="s">
        <v>213</v>
      </c>
      <c r="C125" s="353" t="s">
        <v>63</v>
      </c>
      <c r="D125" s="353" t="s">
        <v>42</v>
      </c>
      <c r="E125" s="353" t="s">
        <v>43</v>
      </c>
      <c r="F125" s="354" t="s">
        <v>44</v>
      </c>
      <c r="G125" s="346"/>
      <c r="H125" s="258">
        <f>H126+H152+H146</f>
        <v>96417.300000000017</v>
      </c>
      <c r="I125" s="258">
        <f>I126+I152+I146</f>
        <v>96420.200000000026</v>
      </c>
    </row>
    <row r="126" spans="1:9" s="347" customFormat="1" ht="54" x14ac:dyDescent="0.35">
      <c r="A126" s="337"/>
      <c r="B126" s="514" t="s">
        <v>214</v>
      </c>
      <c r="C126" s="212" t="s">
        <v>63</v>
      </c>
      <c r="D126" s="213" t="s">
        <v>45</v>
      </c>
      <c r="E126" s="213" t="s">
        <v>43</v>
      </c>
      <c r="F126" s="214" t="s">
        <v>44</v>
      </c>
      <c r="G126" s="242"/>
      <c r="H126" s="221">
        <f>H127+H132+H135+H140+H143</f>
        <v>84485.200000000012</v>
      </c>
      <c r="I126" s="221">
        <f>I127+I132+I135+I140+I143</f>
        <v>84484.500000000015</v>
      </c>
    </row>
    <row r="127" spans="1:9" s="347" customFormat="1" ht="36" x14ac:dyDescent="0.35">
      <c r="A127" s="337"/>
      <c r="B127" s="514" t="s">
        <v>276</v>
      </c>
      <c r="C127" s="212" t="s">
        <v>63</v>
      </c>
      <c r="D127" s="213" t="s">
        <v>45</v>
      </c>
      <c r="E127" s="213" t="s">
        <v>37</v>
      </c>
      <c r="F127" s="214" t="s">
        <v>44</v>
      </c>
      <c r="G127" s="242"/>
      <c r="H127" s="221">
        <f>H128+H130</f>
        <v>60029.8</v>
      </c>
      <c r="I127" s="221">
        <f>I128+I130</f>
        <v>60086.6</v>
      </c>
    </row>
    <row r="128" spans="1:9" s="347" customFormat="1" ht="36" x14ac:dyDescent="0.35">
      <c r="A128" s="337"/>
      <c r="B128" s="506" t="s">
        <v>464</v>
      </c>
      <c r="C128" s="212" t="s">
        <v>63</v>
      </c>
      <c r="D128" s="213" t="s">
        <v>45</v>
      </c>
      <c r="E128" s="213" t="s">
        <v>37</v>
      </c>
      <c r="F128" s="214" t="s">
        <v>91</v>
      </c>
      <c r="G128" s="28"/>
      <c r="H128" s="221">
        <f>H129</f>
        <v>54257</v>
      </c>
      <c r="I128" s="221">
        <f>I129</f>
        <v>54257.7</v>
      </c>
    </row>
    <row r="129" spans="1:9" s="347" customFormat="1" ht="36" x14ac:dyDescent="0.35">
      <c r="A129" s="337"/>
      <c r="B129" s="509" t="s">
        <v>76</v>
      </c>
      <c r="C129" s="212" t="s">
        <v>63</v>
      </c>
      <c r="D129" s="213" t="s">
        <v>45</v>
      </c>
      <c r="E129" s="213" t="s">
        <v>37</v>
      </c>
      <c r="F129" s="214" t="s">
        <v>91</v>
      </c>
      <c r="G129" s="28" t="s">
        <v>77</v>
      </c>
      <c r="H129" s="221">
        <f>'прил10 (ведом 24-25)'!M434</f>
        <v>54257</v>
      </c>
      <c r="I129" s="221">
        <f>'прил10 (ведом 24-25)'!N434</f>
        <v>54257.7</v>
      </c>
    </row>
    <row r="130" spans="1:9" s="347" customFormat="1" ht="36" x14ac:dyDescent="0.35">
      <c r="A130" s="337"/>
      <c r="B130" s="515" t="s">
        <v>315</v>
      </c>
      <c r="C130" s="212" t="s">
        <v>63</v>
      </c>
      <c r="D130" s="213" t="s">
        <v>45</v>
      </c>
      <c r="E130" s="213" t="s">
        <v>37</v>
      </c>
      <c r="F130" s="214" t="s">
        <v>316</v>
      </c>
      <c r="G130" s="28"/>
      <c r="H130" s="221">
        <f>'прил10 (ведом 24-25)'!M435</f>
        <v>5772.8</v>
      </c>
      <c r="I130" s="221">
        <f>'прил10 (ведом 24-25)'!N435</f>
        <v>5828.9</v>
      </c>
    </row>
    <row r="131" spans="1:9" s="347" customFormat="1" ht="36" x14ac:dyDescent="0.35">
      <c r="A131" s="337"/>
      <c r="B131" s="515" t="s">
        <v>76</v>
      </c>
      <c r="C131" s="212" t="s">
        <v>63</v>
      </c>
      <c r="D131" s="213" t="s">
        <v>45</v>
      </c>
      <c r="E131" s="213" t="s">
        <v>37</v>
      </c>
      <c r="F131" s="214" t="s">
        <v>316</v>
      </c>
      <c r="G131" s="28" t="s">
        <v>77</v>
      </c>
      <c r="H131" s="221">
        <f>'прил10 (ведом 24-25)'!M436</f>
        <v>5772.8</v>
      </c>
      <c r="I131" s="221">
        <f>'прил10 (ведом 24-25)'!N436</f>
        <v>5828.9</v>
      </c>
    </row>
    <row r="132" spans="1:9" s="347" customFormat="1" ht="18" x14ac:dyDescent="0.35">
      <c r="A132" s="337"/>
      <c r="B132" s="515" t="s">
        <v>277</v>
      </c>
      <c r="C132" s="212" t="s">
        <v>63</v>
      </c>
      <c r="D132" s="213" t="s">
        <v>45</v>
      </c>
      <c r="E132" s="213" t="s">
        <v>39</v>
      </c>
      <c r="F132" s="214" t="s">
        <v>44</v>
      </c>
      <c r="G132" s="28"/>
      <c r="H132" s="221">
        <f>H133</f>
        <v>375</v>
      </c>
      <c r="I132" s="221">
        <f>I133</f>
        <v>375</v>
      </c>
    </row>
    <row r="133" spans="1:9" s="347" customFormat="1" ht="36" x14ac:dyDescent="0.35">
      <c r="A133" s="337"/>
      <c r="B133" s="515" t="s">
        <v>211</v>
      </c>
      <c r="C133" s="212" t="s">
        <v>63</v>
      </c>
      <c r="D133" s="213" t="s">
        <v>45</v>
      </c>
      <c r="E133" s="213" t="s">
        <v>39</v>
      </c>
      <c r="F133" s="214" t="s">
        <v>279</v>
      </c>
      <c r="G133" s="28"/>
      <c r="H133" s="221">
        <f>H134</f>
        <v>375</v>
      </c>
      <c r="I133" s="221">
        <f>I134</f>
        <v>375</v>
      </c>
    </row>
    <row r="134" spans="1:9" s="347" customFormat="1" ht="18" x14ac:dyDescent="0.35">
      <c r="A134" s="337"/>
      <c r="B134" s="515" t="s">
        <v>120</v>
      </c>
      <c r="C134" s="212" t="s">
        <v>63</v>
      </c>
      <c r="D134" s="213" t="s">
        <v>45</v>
      </c>
      <c r="E134" s="213" t="s">
        <v>39</v>
      </c>
      <c r="F134" s="214" t="s">
        <v>279</v>
      </c>
      <c r="G134" s="28" t="s">
        <v>121</v>
      </c>
      <c r="H134" s="221">
        <f>'прил10 (ведом 24-25)'!M442</f>
        <v>375</v>
      </c>
      <c r="I134" s="221">
        <f>'прил10 (ведом 24-25)'!N442</f>
        <v>375</v>
      </c>
    </row>
    <row r="135" spans="1:9" s="347" customFormat="1" ht="18" x14ac:dyDescent="0.35">
      <c r="A135" s="337"/>
      <c r="B135" s="506" t="s">
        <v>317</v>
      </c>
      <c r="C135" s="355" t="s">
        <v>63</v>
      </c>
      <c r="D135" s="356" t="s">
        <v>45</v>
      </c>
      <c r="E135" s="356" t="s">
        <v>63</v>
      </c>
      <c r="F135" s="357" t="s">
        <v>44</v>
      </c>
      <c r="G135" s="358"/>
      <c r="H135" s="221">
        <f>H136+H138</f>
        <v>12452.699999999999</v>
      </c>
      <c r="I135" s="221">
        <f>I136+I138</f>
        <v>12395</v>
      </c>
    </row>
    <row r="136" spans="1:9" s="347" customFormat="1" ht="36" x14ac:dyDescent="0.35">
      <c r="A136" s="337"/>
      <c r="B136" s="506" t="s">
        <v>464</v>
      </c>
      <c r="C136" s="355" t="s">
        <v>63</v>
      </c>
      <c r="D136" s="356" t="s">
        <v>45</v>
      </c>
      <c r="E136" s="356" t="s">
        <v>63</v>
      </c>
      <c r="F136" s="357" t="s">
        <v>91</v>
      </c>
      <c r="G136" s="358"/>
      <c r="H136" s="221">
        <f>H137</f>
        <v>11901.3</v>
      </c>
      <c r="I136" s="221">
        <f>I137</f>
        <v>11901.3</v>
      </c>
    </row>
    <row r="137" spans="1:9" s="347" customFormat="1" ht="36" x14ac:dyDescent="0.35">
      <c r="A137" s="337"/>
      <c r="B137" s="509" t="s">
        <v>76</v>
      </c>
      <c r="C137" s="212" t="s">
        <v>63</v>
      </c>
      <c r="D137" s="213" t="s">
        <v>45</v>
      </c>
      <c r="E137" s="213" t="s">
        <v>63</v>
      </c>
      <c r="F137" s="214" t="s">
        <v>91</v>
      </c>
      <c r="G137" s="28" t="s">
        <v>77</v>
      </c>
      <c r="H137" s="221">
        <f>'прил10 (ведом 24-25)'!M452</f>
        <v>11901.3</v>
      </c>
      <c r="I137" s="221">
        <f>'прил10 (ведом 24-25)'!N452</f>
        <v>11901.3</v>
      </c>
    </row>
    <row r="138" spans="1:9" s="347" customFormat="1" ht="18" x14ac:dyDescent="0.35">
      <c r="A138" s="337"/>
      <c r="B138" s="517" t="s">
        <v>568</v>
      </c>
      <c r="C138" s="709" t="s">
        <v>63</v>
      </c>
      <c r="D138" s="710" t="s">
        <v>45</v>
      </c>
      <c r="E138" s="710" t="s">
        <v>63</v>
      </c>
      <c r="F138" s="711" t="s">
        <v>567</v>
      </c>
      <c r="G138" s="10"/>
      <c r="H138" s="221">
        <f>H139</f>
        <v>551.4</v>
      </c>
      <c r="I138" s="221">
        <f>I139</f>
        <v>493.7</v>
      </c>
    </row>
    <row r="139" spans="1:9" s="347" customFormat="1" ht="36" x14ac:dyDescent="0.35">
      <c r="A139" s="337"/>
      <c r="B139" s="517" t="s">
        <v>76</v>
      </c>
      <c r="C139" s="709" t="s">
        <v>63</v>
      </c>
      <c r="D139" s="710" t="s">
        <v>45</v>
      </c>
      <c r="E139" s="710" t="s">
        <v>63</v>
      </c>
      <c r="F139" s="711" t="s">
        <v>567</v>
      </c>
      <c r="G139" s="10" t="s">
        <v>77</v>
      </c>
      <c r="H139" s="221">
        <f>'прил10 (ведом 24-25)'!M454</f>
        <v>551.4</v>
      </c>
      <c r="I139" s="221">
        <f>'прил10 (ведом 24-25)'!N454</f>
        <v>493.7</v>
      </c>
    </row>
    <row r="140" spans="1:9" s="347" customFormat="1" ht="36" x14ac:dyDescent="0.35">
      <c r="A140" s="337"/>
      <c r="B140" s="509" t="s">
        <v>319</v>
      </c>
      <c r="C140" s="355" t="s">
        <v>63</v>
      </c>
      <c r="D140" s="356" t="s">
        <v>45</v>
      </c>
      <c r="E140" s="356" t="s">
        <v>52</v>
      </c>
      <c r="F140" s="214" t="s">
        <v>44</v>
      </c>
      <c r="G140" s="28"/>
      <c r="H140" s="221">
        <f>H141</f>
        <v>11327.1</v>
      </c>
      <c r="I140" s="221">
        <f>I141</f>
        <v>11327.3</v>
      </c>
    </row>
    <row r="141" spans="1:9" s="347" customFormat="1" ht="36" x14ac:dyDescent="0.35">
      <c r="A141" s="337"/>
      <c r="B141" s="506" t="s">
        <v>464</v>
      </c>
      <c r="C141" s="355" t="s">
        <v>63</v>
      </c>
      <c r="D141" s="356" t="s">
        <v>45</v>
      </c>
      <c r="E141" s="356" t="s">
        <v>52</v>
      </c>
      <c r="F141" s="357" t="s">
        <v>91</v>
      </c>
      <c r="G141" s="358"/>
      <c r="H141" s="221">
        <f>SUM(H142:H142)</f>
        <v>11327.1</v>
      </c>
      <c r="I141" s="221">
        <f>SUM(I142:I142)</f>
        <v>11327.3</v>
      </c>
    </row>
    <row r="142" spans="1:9" s="347" customFormat="1" ht="90" x14ac:dyDescent="0.35">
      <c r="A142" s="337"/>
      <c r="B142" s="507" t="s">
        <v>49</v>
      </c>
      <c r="C142" s="212" t="s">
        <v>63</v>
      </c>
      <c r="D142" s="213" t="s">
        <v>45</v>
      </c>
      <c r="E142" s="213" t="s">
        <v>52</v>
      </c>
      <c r="F142" s="214" t="s">
        <v>91</v>
      </c>
      <c r="G142" s="28" t="s">
        <v>50</v>
      </c>
      <c r="H142" s="221">
        <f>'прил10 (ведом 24-25)'!M457</f>
        <v>11327.1</v>
      </c>
      <c r="I142" s="221">
        <f>'прил10 (ведом 24-25)'!N457</f>
        <v>11327.3</v>
      </c>
    </row>
    <row r="143" spans="1:9" s="347" customFormat="1" ht="36" x14ac:dyDescent="0.35">
      <c r="A143" s="337"/>
      <c r="B143" s="515" t="s">
        <v>281</v>
      </c>
      <c r="C143" s="212" t="s">
        <v>63</v>
      </c>
      <c r="D143" s="213" t="s">
        <v>45</v>
      </c>
      <c r="E143" s="213" t="s">
        <v>65</v>
      </c>
      <c r="F143" s="214" t="s">
        <v>44</v>
      </c>
      <c r="G143" s="28"/>
      <c r="H143" s="221">
        <f>H144</f>
        <v>300.60000000000002</v>
      </c>
      <c r="I143" s="221">
        <f>I144</f>
        <v>300.60000000000002</v>
      </c>
    </row>
    <row r="144" spans="1:9" s="347" customFormat="1" ht="36" x14ac:dyDescent="0.35">
      <c r="A144" s="337"/>
      <c r="B144" s="515" t="s">
        <v>470</v>
      </c>
      <c r="C144" s="212" t="s">
        <v>63</v>
      </c>
      <c r="D144" s="213" t="s">
        <v>45</v>
      </c>
      <c r="E144" s="213" t="s">
        <v>65</v>
      </c>
      <c r="F144" s="214" t="s">
        <v>469</v>
      </c>
      <c r="G144" s="28"/>
      <c r="H144" s="221">
        <f>H145</f>
        <v>300.60000000000002</v>
      </c>
      <c r="I144" s="221">
        <f>I145</f>
        <v>300.60000000000002</v>
      </c>
    </row>
    <row r="145" spans="1:9" s="347" customFormat="1" ht="36" x14ac:dyDescent="0.35">
      <c r="A145" s="337"/>
      <c r="B145" s="515" t="s">
        <v>76</v>
      </c>
      <c r="C145" s="212" t="s">
        <v>63</v>
      </c>
      <c r="D145" s="213" t="s">
        <v>45</v>
      </c>
      <c r="E145" s="213" t="s">
        <v>65</v>
      </c>
      <c r="F145" s="214" t="s">
        <v>469</v>
      </c>
      <c r="G145" s="28" t="s">
        <v>77</v>
      </c>
      <c r="H145" s="221">
        <f>'прил10 (ведом 24-25)'!M445</f>
        <v>300.60000000000002</v>
      </c>
      <c r="I145" s="221">
        <f>'прил10 (ведом 24-25)'!N445</f>
        <v>300.60000000000002</v>
      </c>
    </row>
    <row r="146" spans="1:9" s="347" customFormat="1" ht="36" x14ac:dyDescent="0.35">
      <c r="A146" s="337"/>
      <c r="B146" s="507" t="s">
        <v>327</v>
      </c>
      <c r="C146" s="355" t="s">
        <v>63</v>
      </c>
      <c r="D146" s="356" t="s">
        <v>89</v>
      </c>
      <c r="E146" s="356" t="s">
        <v>43</v>
      </c>
      <c r="F146" s="214" t="s">
        <v>44</v>
      </c>
      <c r="G146" s="28"/>
      <c r="H146" s="221">
        <f>H147</f>
        <v>436</v>
      </c>
      <c r="I146" s="221">
        <f>I147</f>
        <v>435.1</v>
      </c>
    </row>
    <row r="147" spans="1:9" s="347" customFormat="1" ht="90" x14ac:dyDescent="0.35">
      <c r="A147" s="337"/>
      <c r="B147" s="515" t="s">
        <v>320</v>
      </c>
      <c r="C147" s="355" t="s">
        <v>63</v>
      </c>
      <c r="D147" s="356" t="s">
        <v>89</v>
      </c>
      <c r="E147" s="356" t="s">
        <v>63</v>
      </c>
      <c r="F147" s="214" t="s">
        <v>44</v>
      </c>
      <c r="G147" s="28"/>
      <c r="H147" s="221">
        <f>H150+H148</f>
        <v>436</v>
      </c>
      <c r="I147" s="221">
        <f>I150+I148</f>
        <v>435.1</v>
      </c>
    </row>
    <row r="148" spans="1:9" s="347" customFormat="1" ht="36" x14ac:dyDescent="0.35">
      <c r="A148" s="337"/>
      <c r="B148" s="515" t="s">
        <v>315</v>
      </c>
      <c r="C148" s="355" t="s">
        <v>63</v>
      </c>
      <c r="D148" s="356" t="s">
        <v>89</v>
      </c>
      <c r="E148" s="356" t="s">
        <v>63</v>
      </c>
      <c r="F148" s="214" t="s">
        <v>316</v>
      </c>
      <c r="G148" s="28"/>
      <c r="H148" s="221">
        <f>H149</f>
        <v>393.9</v>
      </c>
      <c r="I148" s="221">
        <f>I149</f>
        <v>393</v>
      </c>
    </row>
    <row r="149" spans="1:9" s="347" customFormat="1" ht="36" x14ac:dyDescent="0.35">
      <c r="A149" s="337"/>
      <c r="B149" s="507" t="s">
        <v>55</v>
      </c>
      <c r="C149" s="355" t="s">
        <v>63</v>
      </c>
      <c r="D149" s="356" t="s">
        <v>89</v>
      </c>
      <c r="E149" s="356" t="s">
        <v>63</v>
      </c>
      <c r="F149" s="214" t="s">
        <v>316</v>
      </c>
      <c r="G149" s="28" t="s">
        <v>56</v>
      </c>
      <c r="H149" s="221">
        <f>'прил10 (ведом 24-25)'!M461</f>
        <v>393.9</v>
      </c>
      <c r="I149" s="221">
        <f>'прил10 (ведом 24-25)'!N461</f>
        <v>393</v>
      </c>
    </row>
    <row r="150" spans="1:9" s="347" customFormat="1" ht="36" x14ac:dyDescent="0.35">
      <c r="A150" s="337"/>
      <c r="B150" s="515" t="s">
        <v>410</v>
      </c>
      <c r="C150" s="212" t="s">
        <v>63</v>
      </c>
      <c r="D150" s="213" t="s">
        <v>89</v>
      </c>
      <c r="E150" s="213" t="s">
        <v>63</v>
      </c>
      <c r="F150" s="214" t="s">
        <v>411</v>
      </c>
      <c r="G150" s="28"/>
      <c r="H150" s="221">
        <f>H151</f>
        <v>42.1</v>
      </c>
      <c r="I150" s="221">
        <f>I151</f>
        <v>42.1</v>
      </c>
    </row>
    <row r="151" spans="1:9" s="347" customFormat="1" ht="36" x14ac:dyDescent="0.35">
      <c r="A151" s="337"/>
      <c r="B151" s="515" t="s">
        <v>76</v>
      </c>
      <c r="C151" s="212" t="s">
        <v>63</v>
      </c>
      <c r="D151" s="213" t="s">
        <v>89</v>
      </c>
      <c r="E151" s="213" t="s">
        <v>63</v>
      </c>
      <c r="F151" s="214" t="s">
        <v>411</v>
      </c>
      <c r="G151" s="28" t="s">
        <v>77</v>
      </c>
      <c r="H151" s="221">
        <f>'прил10 (ведом 24-25)'!M463</f>
        <v>42.1</v>
      </c>
      <c r="I151" s="221">
        <f>'прил10 (ведом 24-25)'!N463</f>
        <v>42.1</v>
      </c>
    </row>
    <row r="152" spans="1:9" s="347" customFormat="1" ht="36" x14ac:dyDescent="0.35">
      <c r="A152" s="337"/>
      <c r="B152" s="506" t="s">
        <v>216</v>
      </c>
      <c r="C152" s="212" t="s">
        <v>63</v>
      </c>
      <c r="D152" s="213" t="s">
        <v>30</v>
      </c>
      <c r="E152" s="213" t="s">
        <v>43</v>
      </c>
      <c r="F152" s="214" t="s">
        <v>44</v>
      </c>
      <c r="G152" s="242"/>
      <c r="H152" s="221">
        <f>H153+H162</f>
        <v>11496.1</v>
      </c>
      <c r="I152" s="221">
        <f>I153+I162</f>
        <v>11500.6</v>
      </c>
    </row>
    <row r="153" spans="1:9" s="347" customFormat="1" ht="36" x14ac:dyDescent="0.35">
      <c r="A153" s="337"/>
      <c r="B153" s="506" t="s">
        <v>282</v>
      </c>
      <c r="C153" s="212" t="s">
        <v>63</v>
      </c>
      <c r="D153" s="213" t="s">
        <v>30</v>
      </c>
      <c r="E153" s="213" t="s">
        <v>37</v>
      </c>
      <c r="F153" s="214" t="s">
        <v>44</v>
      </c>
      <c r="G153" s="28"/>
      <c r="H153" s="221">
        <f>H154+H158</f>
        <v>11442</v>
      </c>
      <c r="I153" s="221">
        <f>I154+I158</f>
        <v>11446.5</v>
      </c>
    </row>
    <row r="154" spans="1:9" ht="36" x14ac:dyDescent="0.35">
      <c r="A154" s="337"/>
      <c r="B154" s="506" t="s">
        <v>47</v>
      </c>
      <c r="C154" s="212" t="s">
        <v>63</v>
      </c>
      <c r="D154" s="213" t="s">
        <v>30</v>
      </c>
      <c r="E154" s="213" t="s">
        <v>37</v>
      </c>
      <c r="F154" s="214" t="s">
        <v>48</v>
      </c>
      <c r="G154" s="358"/>
      <c r="H154" s="221">
        <f>SUM(H155:H157)</f>
        <v>3511.3</v>
      </c>
      <c r="I154" s="221">
        <f>SUM(I155:I157)</f>
        <v>3512.3</v>
      </c>
    </row>
    <row r="155" spans="1:9" ht="90" x14ac:dyDescent="0.35">
      <c r="A155" s="337"/>
      <c r="B155" s="506" t="s">
        <v>49</v>
      </c>
      <c r="C155" s="212" t="s">
        <v>63</v>
      </c>
      <c r="D155" s="213" t="s">
        <v>30</v>
      </c>
      <c r="E155" s="213" t="s">
        <v>37</v>
      </c>
      <c r="F155" s="214" t="s">
        <v>48</v>
      </c>
      <c r="G155" s="358" t="s">
        <v>50</v>
      </c>
      <c r="H155" s="221">
        <f>'прил10 (ведом 24-25)'!M469</f>
        <v>3251.8</v>
      </c>
      <c r="I155" s="221">
        <f>'прил10 (ведом 24-25)'!N469</f>
        <v>3251.8</v>
      </c>
    </row>
    <row r="156" spans="1:9" ht="36" x14ac:dyDescent="0.35">
      <c r="A156" s="337"/>
      <c r="B156" s="506" t="s">
        <v>55</v>
      </c>
      <c r="C156" s="212" t="s">
        <v>63</v>
      </c>
      <c r="D156" s="213" t="s">
        <v>30</v>
      </c>
      <c r="E156" s="213" t="s">
        <v>37</v>
      </c>
      <c r="F156" s="214" t="s">
        <v>48</v>
      </c>
      <c r="G156" s="358" t="s">
        <v>56</v>
      </c>
      <c r="H156" s="221">
        <f>'прил10 (ведом 24-25)'!M470</f>
        <v>251</v>
      </c>
      <c r="I156" s="221">
        <f>'прил10 (ведом 24-25)'!N470</f>
        <v>252</v>
      </c>
    </row>
    <row r="157" spans="1:9" ht="18" x14ac:dyDescent="0.35">
      <c r="A157" s="337"/>
      <c r="B157" s="507" t="s">
        <v>57</v>
      </c>
      <c r="C157" s="212" t="s">
        <v>63</v>
      </c>
      <c r="D157" s="213" t="s">
        <v>30</v>
      </c>
      <c r="E157" s="213" t="s">
        <v>37</v>
      </c>
      <c r="F157" s="214" t="s">
        <v>48</v>
      </c>
      <c r="G157" s="28" t="s">
        <v>58</v>
      </c>
      <c r="H157" s="221">
        <f>'прил10 (ведом 24-25)'!M471</f>
        <v>8.5</v>
      </c>
      <c r="I157" s="221">
        <f>'прил10 (ведом 24-25)'!N471</f>
        <v>8.5</v>
      </c>
    </row>
    <row r="158" spans="1:9" ht="36" x14ac:dyDescent="0.35">
      <c r="A158" s="337"/>
      <c r="B158" s="506" t="s">
        <v>464</v>
      </c>
      <c r="C158" s="212" t="s">
        <v>63</v>
      </c>
      <c r="D158" s="213" t="s">
        <v>30</v>
      </c>
      <c r="E158" s="213" t="s">
        <v>37</v>
      </c>
      <c r="F158" s="214" t="s">
        <v>91</v>
      </c>
      <c r="G158" s="28"/>
      <c r="H158" s="221">
        <f>SUM(H159:H161)</f>
        <v>7930.7</v>
      </c>
      <c r="I158" s="221">
        <f>SUM(I159:I161)</f>
        <v>7934.2</v>
      </c>
    </row>
    <row r="159" spans="1:9" ht="90" x14ac:dyDescent="0.35">
      <c r="A159" s="337"/>
      <c r="B159" s="506" t="s">
        <v>49</v>
      </c>
      <c r="C159" s="212" t="s">
        <v>63</v>
      </c>
      <c r="D159" s="213" t="s">
        <v>30</v>
      </c>
      <c r="E159" s="213" t="s">
        <v>37</v>
      </c>
      <c r="F159" s="214" t="s">
        <v>91</v>
      </c>
      <c r="G159" s="358" t="s">
        <v>50</v>
      </c>
      <c r="H159" s="221">
        <f>'прил10 (ведом 24-25)'!M473</f>
        <v>7499.9</v>
      </c>
      <c r="I159" s="221">
        <f>'прил10 (ведом 24-25)'!N473</f>
        <v>7499.9</v>
      </c>
    </row>
    <row r="160" spans="1:9" ht="36" x14ac:dyDescent="0.35">
      <c r="A160" s="337"/>
      <c r="B160" s="507" t="s">
        <v>55</v>
      </c>
      <c r="C160" s="212" t="s">
        <v>63</v>
      </c>
      <c r="D160" s="213" t="s">
        <v>30</v>
      </c>
      <c r="E160" s="213" t="s">
        <v>37</v>
      </c>
      <c r="F160" s="214" t="s">
        <v>91</v>
      </c>
      <c r="G160" s="358" t="s">
        <v>56</v>
      </c>
      <c r="H160" s="221">
        <f>'прил10 (ведом 24-25)'!M474</f>
        <v>429.2</v>
      </c>
      <c r="I160" s="221">
        <f>'прил10 (ведом 24-25)'!N474</f>
        <v>432.8</v>
      </c>
    </row>
    <row r="161" spans="1:9" ht="18" x14ac:dyDescent="0.35">
      <c r="A161" s="337"/>
      <c r="B161" s="507" t="s">
        <v>57</v>
      </c>
      <c r="C161" s="212" t="s">
        <v>63</v>
      </c>
      <c r="D161" s="213" t="s">
        <v>30</v>
      </c>
      <c r="E161" s="213" t="s">
        <v>37</v>
      </c>
      <c r="F161" s="214" t="s">
        <v>91</v>
      </c>
      <c r="G161" s="28" t="s">
        <v>58</v>
      </c>
      <c r="H161" s="221">
        <f>'прил10 (ведом 24-25)'!M475</f>
        <v>1.6</v>
      </c>
      <c r="I161" s="221">
        <f>'прил10 (ведом 24-25)'!N475</f>
        <v>1.5</v>
      </c>
    </row>
    <row r="162" spans="1:9" ht="36" x14ac:dyDescent="0.35">
      <c r="A162" s="337"/>
      <c r="B162" s="507" t="s">
        <v>351</v>
      </c>
      <c r="C162" s="212" t="s">
        <v>63</v>
      </c>
      <c r="D162" s="213" t="s">
        <v>30</v>
      </c>
      <c r="E162" s="213" t="s">
        <v>39</v>
      </c>
      <c r="F162" s="214" t="s">
        <v>44</v>
      </c>
      <c r="G162" s="153"/>
      <c r="H162" s="221">
        <f>H163</f>
        <v>54.1</v>
      </c>
      <c r="I162" s="221">
        <f>I163</f>
        <v>54.1</v>
      </c>
    </row>
    <row r="163" spans="1:9" ht="54" x14ac:dyDescent="0.35">
      <c r="A163" s="337"/>
      <c r="B163" s="507" t="s">
        <v>352</v>
      </c>
      <c r="C163" s="212" t="s">
        <v>63</v>
      </c>
      <c r="D163" s="213" t="s">
        <v>30</v>
      </c>
      <c r="E163" s="213" t="s">
        <v>39</v>
      </c>
      <c r="F163" s="214" t="s">
        <v>105</v>
      </c>
      <c r="G163" s="153"/>
      <c r="H163" s="221">
        <f>H164</f>
        <v>54.1</v>
      </c>
      <c r="I163" s="221">
        <f>I164</f>
        <v>54.1</v>
      </c>
    </row>
    <row r="164" spans="1:9" ht="36" x14ac:dyDescent="0.35">
      <c r="A164" s="337"/>
      <c r="B164" s="507" t="s">
        <v>55</v>
      </c>
      <c r="C164" s="212" t="s">
        <v>63</v>
      </c>
      <c r="D164" s="213" t="s">
        <v>30</v>
      </c>
      <c r="E164" s="213" t="s">
        <v>39</v>
      </c>
      <c r="F164" s="214" t="s">
        <v>105</v>
      </c>
      <c r="G164" s="28" t="s">
        <v>56</v>
      </c>
      <c r="H164" s="221">
        <f>'прил10 (ведом 24-25)'!M427</f>
        <v>54.1</v>
      </c>
      <c r="I164" s="221">
        <f>'прил10 (ведом 24-25)'!N427</f>
        <v>54.1</v>
      </c>
    </row>
    <row r="165" spans="1:9" ht="18" x14ac:dyDescent="0.35">
      <c r="A165" s="337"/>
      <c r="B165" s="513"/>
      <c r="C165" s="703"/>
      <c r="D165" s="359"/>
      <c r="E165" s="303"/>
      <c r="F165" s="360"/>
      <c r="G165" s="242"/>
      <c r="H165" s="221"/>
      <c r="I165" s="221"/>
    </row>
    <row r="166" spans="1:9" s="347" customFormat="1" ht="52.2" x14ac:dyDescent="0.3">
      <c r="A166" s="352">
        <v>3</v>
      </c>
      <c r="B166" s="518" t="s">
        <v>217</v>
      </c>
      <c r="C166" s="353" t="s">
        <v>52</v>
      </c>
      <c r="D166" s="353" t="s">
        <v>42</v>
      </c>
      <c r="E166" s="353" t="s">
        <v>43</v>
      </c>
      <c r="F166" s="354" t="s">
        <v>44</v>
      </c>
      <c r="G166" s="346"/>
      <c r="H166" s="258">
        <f>H167+H174+H203</f>
        <v>80035.7</v>
      </c>
      <c r="I166" s="258">
        <f>I167+I174+I203</f>
        <v>38662.9</v>
      </c>
    </row>
    <row r="167" spans="1:9" s="347" customFormat="1" ht="18" x14ac:dyDescent="0.35">
      <c r="A167" s="352"/>
      <c r="B167" s="546" t="s">
        <v>218</v>
      </c>
      <c r="C167" s="212" t="s">
        <v>52</v>
      </c>
      <c r="D167" s="213" t="s">
        <v>45</v>
      </c>
      <c r="E167" s="213" t="s">
        <v>43</v>
      </c>
      <c r="F167" s="214" t="s">
        <v>44</v>
      </c>
      <c r="G167" s="346"/>
      <c r="H167" s="221">
        <f>H168+H171</f>
        <v>1079.7</v>
      </c>
      <c r="I167" s="221">
        <f>I168+I171</f>
        <v>1079.7</v>
      </c>
    </row>
    <row r="168" spans="1:9" s="347" customFormat="1" ht="18" x14ac:dyDescent="0.35">
      <c r="A168" s="352"/>
      <c r="B168" s="507" t="s">
        <v>277</v>
      </c>
      <c r="C168" s="212" t="s">
        <v>52</v>
      </c>
      <c r="D168" s="213" t="s">
        <v>45</v>
      </c>
      <c r="E168" s="213" t="s">
        <v>37</v>
      </c>
      <c r="F168" s="214" t="s">
        <v>44</v>
      </c>
      <c r="G168" s="28"/>
      <c r="H168" s="221">
        <f>H169</f>
        <v>450</v>
      </c>
      <c r="I168" s="221">
        <f>I169</f>
        <v>450</v>
      </c>
    </row>
    <row r="169" spans="1:9" s="347" customFormat="1" ht="36" x14ac:dyDescent="0.35">
      <c r="A169" s="352"/>
      <c r="B169" s="507" t="s">
        <v>278</v>
      </c>
      <c r="C169" s="212" t="s">
        <v>52</v>
      </c>
      <c r="D169" s="213" t="s">
        <v>45</v>
      </c>
      <c r="E169" s="213" t="s">
        <v>37</v>
      </c>
      <c r="F169" s="214" t="s">
        <v>279</v>
      </c>
      <c r="G169" s="28"/>
      <c r="H169" s="221">
        <f>H170</f>
        <v>450</v>
      </c>
      <c r="I169" s="221">
        <f>I170</f>
        <v>450</v>
      </c>
    </row>
    <row r="170" spans="1:9" s="347" customFormat="1" ht="18" x14ac:dyDescent="0.35">
      <c r="A170" s="352"/>
      <c r="B170" s="507" t="s">
        <v>120</v>
      </c>
      <c r="C170" s="212" t="s">
        <v>52</v>
      </c>
      <c r="D170" s="213" t="s">
        <v>45</v>
      </c>
      <c r="E170" s="213" t="s">
        <v>37</v>
      </c>
      <c r="F170" s="214" t="s">
        <v>279</v>
      </c>
      <c r="G170" s="28" t="s">
        <v>121</v>
      </c>
      <c r="H170" s="221">
        <f>'прил10 (ведом 24-25)'!M511</f>
        <v>450</v>
      </c>
      <c r="I170" s="221">
        <f>'прил10 (ведом 24-25)'!N511</f>
        <v>450</v>
      </c>
    </row>
    <row r="171" spans="1:9" ht="54" x14ac:dyDescent="0.35">
      <c r="A171" s="337"/>
      <c r="B171" s="507" t="s">
        <v>291</v>
      </c>
      <c r="C171" s="212" t="s">
        <v>52</v>
      </c>
      <c r="D171" s="213" t="s">
        <v>45</v>
      </c>
      <c r="E171" s="213" t="s">
        <v>39</v>
      </c>
      <c r="F171" s="214" t="s">
        <v>44</v>
      </c>
      <c r="G171" s="28"/>
      <c r="H171" s="221">
        <f>H172</f>
        <v>629.70000000000005</v>
      </c>
      <c r="I171" s="221">
        <f>I172</f>
        <v>629.70000000000005</v>
      </c>
    </row>
    <row r="172" spans="1:9" ht="36" x14ac:dyDescent="0.35">
      <c r="A172" s="337"/>
      <c r="B172" s="507" t="s">
        <v>219</v>
      </c>
      <c r="C172" s="212" t="s">
        <v>52</v>
      </c>
      <c r="D172" s="213" t="s">
        <v>45</v>
      </c>
      <c r="E172" s="213" t="s">
        <v>39</v>
      </c>
      <c r="F172" s="214" t="s">
        <v>292</v>
      </c>
      <c r="G172" s="28"/>
      <c r="H172" s="221">
        <f>H173</f>
        <v>629.70000000000005</v>
      </c>
      <c r="I172" s="221">
        <f>I173</f>
        <v>629.70000000000005</v>
      </c>
    </row>
    <row r="173" spans="1:9" ht="36" x14ac:dyDescent="0.35">
      <c r="A173" s="337"/>
      <c r="B173" s="507" t="s">
        <v>55</v>
      </c>
      <c r="C173" s="212" t="s">
        <v>52</v>
      </c>
      <c r="D173" s="213" t="s">
        <v>45</v>
      </c>
      <c r="E173" s="213" t="s">
        <v>39</v>
      </c>
      <c r="F173" s="214" t="s">
        <v>292</v>
      </c>
      <c r="G173" s="28" t="s">
        <v>56</v>
      </c>
      <c r="H173" s="221">
        <f>'прил10 (ведом 24-25)'!M501</f>
        <v>629.70000000000005</v>
      </c>
      <c r="I173" s="221">
        <f>'прил10 (ведом 24-25)'!N501</f>
        <v>629.70000000000005</v>
      </c>
    </row>
    <row r="174" spans="1:9" ht="18" x14ac:dyDescent="0.35">
      <c r="A174" s="337"/>
      <c r="B174" s="506" t="s">
        <v>220</v>
      </c>
      <c r="C174" s="212" t="s">
        <v>52</v>
      </c>
      <c r="D174" s="213" t="s">
        <v>89</v>
      </c>
      <c r="E174" s="213" t="s">
        <v>43</v>
      </c>
      <c r="F174" s="214" t="s">
        <v>44</v>
      </c>
      <c r="G174" s="242"/>
      <c r="H174" s="221">
        <f>H175+H180+H193+H196</f>
        <v>67050.3</v>
      </c>
      <c r="I174" s="221">
        <f>I175+I180+I193+I196</f>
        <v>37583.200000000004</v>
      </c>
    </row>
    <row r="175" spans="1:9" ht="36" x14ac:dyDescent="0.35">
      <c r="A175" s="337"/>
      <c r="B175" s="506" t="s">
        <v>282</v>
      </c>
      <c r="C175" s="212" t="s">
        <v>52</v>
      </c>
      <c r="D175" s="213" t="s">
        <v>89</v>
      </c>
      <c r="E175" s="213" t="s">
        <v>37</v>
      </c>
      <c r="F175" s="214" t="s">
        <v>44</v>
      </c>
      <c r="G175" s="28"/>
      <c r="H175" s="221">
        <f>H176</f>
        <v>3058.7000000000003</v>
      </c>
      <c r="I175" s="221">
        <f>I176</f>
        <v>3059.7999999999997</v>
      </c>
    </row>
    <row r="176" spans="1:9" ht="36" x14ac:dyDescent="0.35">
      <c r="A176" s="337"/>
      <c r="B176" s="506" t="s">
        <v>47</v>
      </c>
      <c r="C176" s="212" t="s">
        <v>52</v>
      </c>
      <c r="D176" s="213" t="s">
        <v>89</v>
      </c>
      <c r="E176" s="213" t="s">
        <v>37</v>
      </c>
      <c r="F176" s="214" t="s">
        <v>48</v>
      </c>
      <c r="G176" s="28"/>
      <c r="H176" s="221">
        <f>SUM(H177:H179)</f>
        <v>3058.7000000000003</v>
      </c>
      <c r="I176" s="221">
        <f>SUM(I177:I179)</f>
        <v>3059.7999999999997</v>
      </c>
    </row>
    <row r="177" spans="1:9" ht="90" x14ac:dyDescent="0.35">
      <c r="A177" s="337"/>
      <c r="B177" s="506" t="s">
        <v>49</v>
      </c>
      <c r="C177" s="212" t="s">
        <v>52</v>
      </c>
      <c r="D177" s="213" t="s">
        <v>89</v>
      </c>
      <c r="E177" s="213" t="s">
        <v>37</v>
      </c>
      <c r="F177" s="214" t="s">
        <v>48</v>
      </c>
      <c r="G177" s="28" t="s">
        <v>50</v>
      </c>
      <c r="H177" s="221">
        <f>'прил10 (ведом 24-25)'!M529</f>
        <v>2997.5</v>
      </c>
      <c r="I177" s="221">
        <f>'прил10 (ведом 24-25)'!N529</f>
        <v>2997.5</v>
      </c>
    </row>
    <row r="178" spans="1:9" ht="36" x14ac:dyDescent="0.35">
      <c r="A178" s="337"/>
      <c r="B178" s="507" t="s">
        <v>55</v>
      </c>
      <c r="C178" s="212" t="s">
        <v>52</v>
      </c>
      <c r="D178" s="213" t="s">
        <v>89</v>
      </c>
      <c r="E178" s="213" t="s">
        <v>37</v>
      </c>
      <c r="F178" s="214" t="s">
        <v>48</v>
      </c>
      <c r="G178" s="28" t="s">
        <v>56</v>
      </c>
      <c r="H178" s="221">
        <f>'прил10 (ведом 24-25)'!M530</f>
        <v>59.4</v>
      </c>
      <c r="I178" s="221">
        <f>'прил10 (ведом 24-25)'!N530</f>
        <v>60.6</v>
      </c>
    </row>
    <row r="179" spans="1:9" ht="18" x14ac:dyDescent="0.35">
      <c r="A179" s="337"/>
      <c r="B179" s="507" t="s">
        <v>57</v>
      </c>
      <c r="C179" s="212" t="s">
        <v>52</v>
      </c>
      <c r="D179" s="213" t="s">
        <v>89</v>
      </c>
      <c r="E179" s="213" t="s">
        <v>37</v>
      </c>
      <c r="F179" s="214" t="s">
        <v>48</v>
      </c>
      <c r="G179" s="28" t="s">
        <v>58</v>
      </c>
      <c r="H179" s="221">
        <f>'прил10 (ведом 24-25)'!M531</f>
        <v>1.8</v>
      </c>
      <c r="I179" s="221">
        <f>'прил10 (ведом 24-25)'!N531</f>
        <v>1.7</v>
      </c>
    </row>
    <row r="180" spans="1:9" ht="18" x14ac:dyDescent="0.35">
      <c r="A180" s="337"/>
      <c r="B180" s="506" t="s">
        <v>361</v>
      </c>
      <c r="C180" s="212" t="s">
        <v>52</v>
      </c>
      <c r="D180" s="213" t="s">
        <v>89</v>
      </c>
      <c r="E180" s="213" t="s">
        <v>39</v>
      </c>
      <c r="F180" s="214" t="s">
        <v>44</v>
      </c>
      <c r="G180" s="28"/>
      <c r="H180" s="221">
        <f>H181+H185+H187+H191+H189</f>
        <v>60346.3</v>
      </c>
      <c r="I180" s="221">
        <f>I181+I185+I187+I191+I189</f>
        <v>30862.2</v>
      </c>
    </row>
    <row r="181" spans="1:9" ht="36" x14ac:dyDescent="0.35">
      <c r="A181" s="337"/>
      <c r="B181" s="506" t="s">
        <v>464</v>
      </c>
      <c r="C181" s="212" t="s">
        <v>52</v>
      </c>
      <c r="D181" s="213" t="s">
        <v>89</v>
      </c>
      <c r="E181" s="213" t="s">
        <v>39</v>
      </c>
      <c r="F181" s="214" t="s">
        <v>91</v>
      </c>
      <c r="G181" s="28"/>
      <c r="H181" s="221">
        <f>SUM(H182:H184)</f>
        <v>23967.3</v>
      </c>
      <c r="I181" s="221">
        <f>SUM(I182:I184)</f>
        <v>24334.7</v>
      </c>
    </row>
    <row r="182" spans="1:9" ht="90" x14ac:dyDescent="0.35">
      <c r="A182" s="337"/>
      <c r="B182" s="506" t="s">
        <v>49</v>
      </c>
      <c r="C182" s="212" t="s">
        <v>52</v>
      </c>
      <c r="D182" s="213" t="s">
        <v>89</v>
      </c>
      <c r="E182" s="213" t="s">
        <v>39</v>
      </c>
      <c r="F182" s="214" t="s">
        <v>91</v>
      </c>
      <c r="G182" s="28" t="s">
        <v>50</v>
      </c>
      <c r="H182" s="221">
        <f>'прил10 (ведом 24-25)'!M515</f>
        <v>20027.900000000001</v>
      </c>
      <c r="I182" s="221">
        <f>'прил10 (ведом 24-25)'!N515</f>
        <v>20027.900000000001</v>
      </c>
    </row>
    <row r="183" spans="1:9" ht="36" x14ac:dyDescent="0.35">
      <c r="A183" s="337"/>
      <c r="B183" s="506" t="s">
        <v>55</v>
      </c>
      <c r="C183" s="212" t="s">
        <v>52</v>
      </c>
      <c r="D183" s="213" t="s">
        <v>89</v>
      </c>
      <c r="E183" s="213" t="s">
        <v>39</v>
      </c>
      <c r="F183" s="214" t="s">
        <v>91</v>
      </c>
      <c r="G183" s="28" t="s">
        <v>56</v>
      </c>
      <c r="H183" s="221">
        <f>'прил10 (ведом 24-25)'!M516</f>
        <v>3880.8</v>
      </c>
      <c r="I183" s="221">
        <f>'прил10 (ведом 24-25)'!N516</f>
        <v>4250.2</v>
      </c>
    </row>
    <row r="184" spans="1:9" ht="18" x14ac:dyDescent="0.35">
      <c r="A184" s="337"/>
      <c r="B184" s="506" t="s">
        <v>57</v>
      </c>
      <c r="C184" s="212" t="s">
        <v>52</v>
      </c>
      <c r="D184" s="213" t="s">
        <v>89</v>
      </c>
      <c r="E184" s="213" t="s">
        <v>39</v>
      </c>
      <c r="F184" s="214" t="s">
        <v>91</v>
      </c>
      <c r="G184" s="28" t="s">
        <v>58</v>
      </c>
      <c r="H184" s="221">
        <f>'прил10 (ведом 24-25)'!M517</f>
        <v>58.6</v>
      </c>
      <c r="I184" s="221">
        <f>'прил10 (ведом 24-25)'!N517</f>
        <v>56.6</v>
      </c>
    </row>
    <row r="185" spans="1:9" ht="36" x14ac:dyDescent="0.35">
      <c r="A185" s="337"/>
      <c r="B185" s="510" t="s">
        <v>219</v>
      </c>
      <c r="C185" s="709" t="s">
        <v>52</v>
      </c>
      <c r="D185" s="710" t="s">
        <v>89</v>
      </c>
      <c r="E185" s="710" t="s">
        <v>39</v>
      </c>
      <c r="F185" s="711" t="s">
        <v>292</v>
      </c>
      <c r="G185" s="10"/>
      <c r="H185" s="221">
        <f>H186</f>
        <v>4225.2</v>
      </c>
      <c r="I185" s="221">
        <f>I186</f>
        <v>4225.2</v>
      </c>
    </row>
    <row r="186" spans="1:9" ht="36" x14ac:dyDescent="0.35">
      <c r="A186" s="337"/>
      <c r="B186" s="510" t="s">
        <v>55</v>
      </c>
      <c r="C186" s="709" t="s">
        <v>52</v>
      </c>
      <c r="D186" s="710" t="s">
        <v>89</v>
      </c>
      <c r="E186" s="710" t="s">
        <v>39</v>
      </c>
      <c r="F186" s="711" t="s">
        <v>292</v>
      </c>
      <c r="G186" s="10" t="s">
        <v>56</v>
      </c>
      <c r="H186" s="221">
        <f>'прил10 (ведом 24-25)'!M519</f>
        <v>4225.2</v>
      </c>
      <c r="I186" s="221">
        <f>'прил10 (ведом 24-25)'!N519</f>
        <v>4225.2</v>
      </c>
    </row>
    <row r="187" spans="1:9" ht="180" x14ac:dyDescent="0.35">
      <c r="A187" s="337"/>
      <c r="B187" s="507" t="s">
        <v>435</v>
      </c>
      <c r="C187" s="212" t="s">
        <v>52</v>
      </c>
      <c r="D187" s="213" t="s">
        <v>89</v>
      </c>
      <c r="E187" s="213" t="s">
        <v>39</v>
      </c>
      <c r="F187" s="214" t="s">
        <v>388</v>
      </c>
      <c r="G187" s="28"/>
      <c r="H187" s="221">
        <f>H188</f>
        <v>187.5</v>
      </c>
      <c r="I187" s="221">
        <f>I188</f>
        <v>187.5</v>
      </c>
    </row>
    <row r="188" spans="1:9" ht="90" x14ac:dyDescent="0.35">
      <c r="A188" s="337"/>
      <c r="B188" s="507" t="s">
        <v>49</v>
      </c>
      <c r="C188" s="212" t="s">
        <v>52</v>
      </c>
      <c r="D188" s="213" t="s">
        <v>89</v>
      </c>
      <c r="E188" s="213" t="s">
        <v>39</v>
      </c>
      <c r="F188" s="214" t="s">
        <v>388</v>
      </c>
      <c r="G188" s="28" t="s">
        <v>50</v>
      </c>
      <c r="H188" s="221">
        <f>'прил10 (ведом 24-25)'!M521</f>
        <v>187.5</v>
      </c>
      <c r="I188" s="221">
        <f>'прил10 (ведом 24-25)'!N521</f>
        <v>187.5</v>
      </c>
    </row>
    <row r="189" spans="1:9" ht="72" x14ac:dyDescent="0.35">
      <c r="A189" s="337"/>
      <c r="B189" s="510" t="s">
        <v>738</v>
      </c>
      <c r="C189" s="709" t="s">
        <v>52</v>
      </c>
      <c r="D189" s="710" t="s">
        <v>89</v>
      </c>
      <c r="E189" s="710" t="s">
        <v>39</v>
      </c>
      <c r="F189" s="711" t="s">
        <v>737</v>
      </c>
      <c r="G189" s="10"/>
      <c r="H189" s="221">
        <f>H190</f>
        <v>29851.5</v>
      </c>
      <c r="I189" s="221">
        <f>I190</f>
        <v>0</v>
      </c>
    </row>
    <row r="190" spans="1:9" ht="36" x14ac:dyDescent="0.35">
      <c r="A190" s="337"/>
      <c r="B190" s="510" t="s">
        <v>55</v>
      </c>
      <c r="C190" s="709" t="s">
        <v>52</v>
      </c>
      <c r="D190" s="710" t="s">
        <v>89</v>
      </c>
      <c r="E190" s="710" t="s">
        <v>39</v>
      </c>
      <c r="F190" s="711" t="s">
        <v>737</v>
      </c>
      <c r="G190" s="10" t="s">
        <v>56</v>
      </c>
      <c r="H190" s="221">
        <f>'прил10 (ведом 24-25)'!M505</f>
        <v>29851.5</v>
      </c>
      <c r="I190" s="221">
        <f>'прил10 (ведом 24-25)'!N505</f>
        <v>0</v>
      </c>
    </row>
    <row r="191" spans="1:9" ht="54" x14ac:dyDescent="0.35">
      <c r="A191" s="337"/>
      <c r="B191" s="507" t="s">
        <v>437</v>
      </c>
      <c r="C191" s="212" t="s">
        <v>52</v>
      </c>
      <c r="D191" s="213" t="s">
        <v>89</v>
      </c>
      <c r="E191" s="213" t="s">
        <v>39</v>
      </c>
      <c r="F191" s="214" t="s">
        <v>408</v>
      </c>
      <c r="G191" s="28"/>
      <c r="H191" s="221">
        <f>H192</f>
        <v>2114.8000000000002</v>
      </c>
      <c r="I191" s="221">
        <f>I192</f>
        <v>2114.8000000000002</v>
      </c>
    </row>
    <row r="192" spans="1:9" ht="90" x14ac:dyDescent="0.35">
      <c r="A192" s="337"/>
      <c r="B192" s="507" t="s">
        <v>49</v>
      </c>
      <c r="C192" s="212" t="s">
        <v>52</v>
      </c>
      <c r="D192" s="213" t="s">
        <v>89</v>
      </c>
      <c r="E192" s="213" t="s">
        <v>39</v>
      </c>
      <c r="F192" s="214" t="s">
        <v>408</v>
      </c>
      <c r="G192" s="28" t="s">
        <v>50</v>
      </c>
      <c r="H192" s="221">
        <f>'прил10 (ведом 24-25)'!M523</f>
        <v>2114.8000000000002</v>
      </c>
      <c r="I192" s="221">
        <f>'прил10 (ведом 24-25)'!N523</f>
        <v>2114.8000000000002</v>
      </c>
    </row>
    <row r="193" spans="1:9" ht="36" x14ac:dyDescent="0.35">
      <c r="A193" s="337"/>
      <c r="B193" s="507" t="s">
        <v>351</v>
      </c>
      <c r="C193" s="212" t="s">
        <v>52</v>
      </c>
      <c r="D193" s="213" t="s">
        <v>89</v>
      </c>
      <c r="E193" s="213" t="s">
        <v>63</v>
      </c>
      <c r="F193" s="214" t="s">
        <v>44</v>
      </c>
      <c r="G193" s="28"/>
      <c r="H193" s="221">
        <f>H194</f>
        <v>38.4</v>
      </c>
      <c r="I193" s="221">
        <f>I194</f>
        <v>38.4</v>
      </c>
    </row>
    <row r="194" spans="1:9" ht="54" x14ac:dyDescent="0.35">
      <c r="A194" s="337"/>
      <c r="B194" s="507" t="s">
        <v>352</v>
      </c>
      <c r="C194" s="212" t="s">
        <v>52</v>
      </c>
      <c r="D194" s="213" t="s">
        <v>89</v>
      </c>
      <c r="E194" s="213" t="s">
        <v>63</v>
      </c>
      <c r="F194" s="214" t="s">
        <v>105</v>
      </c>
      <c r="G194" s="28"/>
      <c r="H194" s="221">
        <f>H195</f>
        <v>38.4</v>
      </c>
      <c r="I194" s="221">
        <f>I195</f>
        <v>38.4</v>
      </c>
    </row>
    <row r="195" spans="1:9" ht="36" x14ac:dyDescent="0.35">
      <c r="A195" s="337"/>
      <c r="B195" s="546" t="s">
        <v>55</v>
      </c>
      <c r="C195" s="212" t="s">
        <v>52</v>
      </c>
      <c r="D195" s="213" t="s">
        <v>89</v>
      </c>
      <c r="E195" s="213" t="s">
        <v>63</v>
      </c>
      <c r="F195" s="214" t="s">
        <v>105</v>
      </c>
      <c r="G195" s="28" t="s">
        <v>56</v>
      </c>
      <c r="H195" s="221">
        <f>'прил10 (ведом 24-25)'!M484</f>
        <v>38.4</v>
      </c>
      <c r="I195" s="221">
        <f>'прил10 (ведом 24-25)'!N484</f>
        <v>38.4</v>
      </c>
    </row>
    <row r="196" spans="1:9" ht="18" x14ac:dyDescent="0.35">
      <c r="A196" s="337"/>
      <c r="B196" s="510" t="s">
        <v>564</v>
      </c>
      <c r="C196" s="709" t="s">
        <v>52</v>
      </c>
      <c r="D196" s="710" t="s">
        <v>89</v>
      </c>
      <c r="E196" s="710" t="s">
        <v>52</v>
      </c>
      <c r="F196" s="711" t="s">
        <v>44</v>
      </c>
      <c r="G196" s="10"/>
      <c r="H196" s="221">
        <f>H197+H201</f>
        <v>3606.9000000000005</v>
      </c>
      <c r="I196" s="221">
        <f>I197+I201</f>
        <v>3622.8</v>
      </c>
    </row>
    <row r="197" spans="1:9" ht="36" x14ac:dyDescent="0.35">
      <c r="A197" s="337"/>
      <c r="B197" s="510" t="s">
        <v>464</v>
      </c>
      <c r="C197" s="709" t="s">
        <v>52</v>
      </c>
      <c r="D197" s="710" t="s">
        <v>89</v>
      </c>
      <c r="E197" s="710" t="s">
        <v>52</v>
      </c>
      <c r="F197" s="711" t="s">
        <v>91</v>
      </c>
      <c r="G197" s="10"/>
      <c r="H197" s="221">
        <f>H198+H199+H200</f>
        <v>2687.1000000000004</v>
      </c>
      <c r="I197" s="221">
        <f>I198+I199+I200</f>
        <v>2703</v>
      </c>
    </row>
    <row r="198" spans="1:9" ht="90" x14ac:dyDescent="0.35">
      <c r="A198" s="337"/>
      <c r="B198" s="510" t="s">
        <v>49</v>
      </c>
      <c r="C198" s="709" t="s">
        <v>52</v>
      </c>
      <c r="D198" s="710" t="s">
        <v>89</v>
      </c>
      <c r="E198" s="710" t="s">
        <v>52</v>
      </c>
      <c r="F198" s="711" t="s">
        <v>91</v>
      </c>
      <c r="G198" s="10" t="s">
        <v>50</v>
      </c>
      <c r="H198" s="221">
        <f>'прил10 (ведом 24-25)'!M491</f>
        <v>2045</v>
      </c>
      <c r="I198" s="221">
        <f>'прил10 (ведом 24-25)'!N491</f>
        <v>2045</v>
      </c>
    </row>
    <row r="199" spans="1:9" ht="36" x14ac:dyDescent="0.35">
      <c r="A199" s="337"/>
      <c r="B199" s="510" t="s">
        <v>55</v>
      </c>
      <c r="C199" s="709" t="s">
        <v>52</v>
      </c>
      <c r="D199" s="710" t="s">
        <v>89</v>
      </c>
      <c r="E199" s="710" t="s">
        <v>52</v>
      </c>
      <c r="F199" s="711" t="s">
        <v>91</v>
      </c>
      <c r="G199" s="10" t="s">
        <v>56</v>
      </c>
      <c r="H199" s="221">
        <f>'прил10 (ведом 24-25)'!M492</f>
        <v>634.29999999999995</v>
      </c>
      <c r="I199" s="221">
        <f>'прил10 (ведом 24-25)'!N492</f>
        <v>651</v>
      </c>
    </row>
    <row r="200" spans="1:9" ht="18" x14ac:dyDescent="0.35">
      <c r="A200" s="337"/>
      <c r="B200" s="510" t="s">
        <v>57</v>
      </c>
      <c r="C200" s="709" t="s">
        <v>52</v>
      </c>
      <c r="D200" s="710" t="s">
        <v>89</v>
      </c>
      <c r="E200" s="710" t="s">
        <v>52</v>
      </c>
      <c r="F200" s="711" t="s">
        <v>91</v>
      </c>
      <c r="G200" s="10" t="s">
        <v>58</v>
      </c>
      <c r="H200" s="221">
        <f>'прил10 (ведом 24-25)'!M493</f>
        <v>7.8</v>
      </c>
      <c r="I200" s="221">
        <f>'прил10 (ведом 24-25)'!N493</f>
        <v>7</v>
      </c>
    </row>
    <row r="201" spans="1:9" ht="36" x14ac:dyDescent="0.35">
      <c r="A201" s="337"/>
      <c r="B201" s="510" t="s">
        <v>219</v>
      </c>
      <c r="C201" s="709" t="s">
        <v>52</v>
      </c>
      <c r="D201" s="710" t="s">
        <v>89</v>
      </c>
      <c r="E201" s="710" t="s">
        <v>52</v>
      </c>
      <c r="F201" s="711" t="s">
        <v>292</v>
      </c>
      <c r="G201" s="10"/>
      <c r="H201" s="221">
        <f>H202</f>
        <v>919.8</v>
      </c>
      <c r="I201" s="221">
        <f>I202</f>
        <v>919.8</v>
      </c>
    </row>
    <row r="202" spans="1:9" ht="36" x14ac:dyDescent="0.35">
      <c r="A202" s="337"/>
      <c r="B202" s="510" t="s">
        <v>55</v>
      </c>
      <c r="C202" s="709" t="s">
        <v>52</v>
      </c>
      <c r="D202" s="710" t="s">
        <v>89</v>
      </c>
      <c r="E202" s="710" t="s">
        <v>52</v>
      </c>
      <c r="F202" s="711" t="s">
        <v>292</v>
      </c>
      <c r="G202" s="10" t="s">
        <v>56</v>
      </c>
      <c r="H202" s="221">
        <f>'прил10 (ведом 24-25)'!M495</f>
        <v>919.8</v>
      </c>
      <c r="I202" s="221">
        <f>'прил10 (ведом 24-25)'!N495</f>
        <v>919.8</v>
      </c>
    </row>
    <row r="203" spans="1:9" ht="18" x14ac:dyDescent="0.35">
      <c r="A203" s="337"/>
      <c r="B203" s="560" t="s">
        <v>339</v>
      </c>
      <c r="C203" s="702" t="s">
        <v>52</v>
      </c>
      <c r="D203" s="703" t="s">
        <v>31</v>
      </c>
      <c r="E203" s="703" t="s">
        <v>43</v>
      </c>
      <c r="F203" s="704" t="s">
        <v>44</v>
      </c>
      <c r="G203" s="10"/>
      <c r="H203" s="221">
        <f t="shared" ref="H203:I205" si="0">H204</f>
        <v>11905.7</v>
      </c>
      <c r="I203" s="221">
        <f t="shared" si="0"/>
        <v>0</v>
      </c>
    </row>
    <row r="204" spans="1:9" ht="54" x14ac:dyDescent="0.35">
      <c r="A204" s="337"/>
      <c r="B204" s="510" t="s">
        <v>409</v>
      </c>
      <c r="C204" s="702" t="s">
        <v>52</v>
      </c>
      <c r="D204" s="703" t="s">
        <v>31</v>
      </c>
      <c r="E204" s="703" t="s">
        <v>63</v>
      </c>
      <c r="F204" s="704" t="s">
        <v>44</v>
      </c>
      <c r="G204" s="781"/>
      <c r="H204" s="221">
        <f t="shared" si="0"/>
        <v>11905.7</v>
      </c>
      <c r="I204" s="221">
        <f t="shared" si="0"/>
        <v>0</v>
      </c>
    </row>
    <row r="205" spans="1:9" ht="108" x14ac:dyDescent="0.35">
      <c r="A205" s="337"/>
      <c r="B205" s="563" t="s">
        <v>503</v>
      </c>
      <c r="C205" s="702" t="s">
        <v>52</v>
      </c>
      <c r="D205" s="703" t="s">
        <v>31</v>
      </c>
      <c r="E205" s="703" t="s">
        <v>63</v>
      </c>
      <c r="F205" s="711" t="s">
        <v>502</v>
      </c>
      <c r="G205" s="781"/>
      <c r="H205" s="221">
        <f t="shared" si="0"/>
        <v>11905.7</v>
      </c>
      <c r="I205" s="221">
        <f t="shared" si="0"/>
        <v>0</v>
      </c>
    </row>
    <row r="206" spans="1:9" ht="36" x14ac:dyDescent="0.35">
      <c r="A206" s="337"/>
      <c r="B206" s="516" t="s">
        <v>203</v>
      </c>
      <c r="C206" s="702" t="s">
        <v>52</v>
      </c>
      <c r="D206" s="703" t="s">
        <v>31</v>
      </c>
      <c r="E206" s="703" t="s">
        <v>63</v>
      </c>
      <c r="F206" s="711" t="s">
        <v>502</v>
      </c>
      <c r="G206" s="781" t="s">
        <v>204</v>
      </c>
      <c r="H206" s="221">
        <f>'прил10 (ведом 24-25)'!M287</f>
        <v>11905.7</v>
      </c>
      <c r="I206" s="221">
        <f>'прил10 (ведом 24-25)'!N287</f>
        <v>0</v>
      </c>
    </row>
    <row r="207" spans="1:9" ht="18" x14ac:dyDescent="0.35">
      <c r="A207" s="337"/>
      <c r="B207" s="510"/>
      <c r="C207" s="709"/>
      <c r="D207" s="710"/>
      <c r="E207" s="710"/>
      <c r="F207" s="711"/>
      <c r="G207" s="10"/>
      <c r="H207" s="221"/>
      <c r="I207" s="221"/>
    </row>
    <row r="208" spans="1:9" ht="18" x14ac:dyDescent="0.35">
      <c r="A208" s="337"/>
      <c r="B208" s="513"/>
      <c r="C208" s="702"/>
      <c r="D208" s="703"/>
      <c r="E208" s="703"/>
      <c r="F208" s="704"/>
      <c r="G208" s="242"/>
      <c r="H208" s="221"/>
      <c r="I208" s="221"/>
    </row>
    <row r="209" spans="1:9" s="347" customFormat="1" ht="52.2" x14ac:dyDescent="0.3">
      <c r="A209" s="352">
        <v>4</v>
      </c>
      <c r="B209" s="505" t="s">
        <v>221</v>
      </c>
      <c r="C209" s="344" t="s">
        <v>65</v>
      </c>
      <c r="D209" s="344" t="s">
        <v>42</v>
      </c>
      <c r="E209" s="344" t="s">
        <v>43</v>
      </c>
      <c r="F209" s="345" t="s">
        <v>44</v>
      </c>
      <c r="G209" s="346"/>
      <c r="H209" s="258">
        <f>H210+H216</f>
        <v>7587.1</v>
      </c>
      <c r="I209" s="258">
        <f>I210+I216</f>
        <v>7592.7999999999993</v>
      </c>
    </row>
    <row r="210" spans="1:9" s="347" customFormat="1" ht="18" x14ac:dyDescent="0.35">
      <c r="A210" s="337"/>
      <c r="B210" s="506" t="s">
        <v>222</v>
      </c>
      <c r="C210" s="212" t="s">
        <v>65</v>
      </c>
      <c r="D210" s="213" t="s">
        <v>45</v>
      </c>
      <c r="E210" s="213" t="s">
        <v>43</v>
      </c>
      <c r="F210" s="214" t="s">
        <v>44</v>
      </c>
      <c r="G210" s="242"/>
      <c r="H210" s="221">
        <f>H211</f>
        <v>3836.5</v>
      </c>
      <c r="I210" s="221">
        <f>I211</f>
        <v>3836.5</v>
      </c>
    </row>
    <row r="211" spans="1:9" s="347" customFormat="1" ht="72" x14ac:dyDescent="0.35">
      <c r="A211" s="337"/>
      <c r="B211" s="506" t="s">
        <v>287</v>
      </c>
      <c r="C211" s="212" t="s">
        <v>65</v>
      </c>
      <c r="D211" s="213" t="s">
        <v>45</v>
      </c>
      <c r="E211" s="213" t="s">
        <v>37</v>
      </c>
      <c r="F211" s="214" t="s">
        <v>44</v>
      </c>
      <c r="G211" s="28"/>
      <c r="H211" s="221">
        <f>H212</f>
        <v>3836.5</v>
      </c>
      <c r="I211" s="221">
        <f>I212</f>
        <v>3836.5</v>
      </c>
    </row>
    <row r="212" spans="1:9" ht="36" x14ac:dyDescent="0.35">
      <c r="A212" s="337"/>
      <c r="B212" s="506" t="s">
        <v>464</v>
      </c>
      <c r="C212" s="212" t="s">
        <v>65</v>
      </c>
      <c r="D212" s="213" t="s">
        <v>45</v>
      </c>
      <c r="E212" s="213" t="s">
        <v>37</v>
      </c>
      <c r="F212" s="214" t="s">
        <v>91</v>
      </c>
      <c r="G212" s="28"/>
      <c r="H212" s="221">
        <f>SUM(H213:H215)</f>
        <v>3836.5</v>
      </c>
      <c r="I212" s="221">
        <f>SUM(I213:I215)</f>
        <v>3836.5</v>
      </c>
    </row>
    <row r="213" spans="1:9" ht="90" x14ac:dyDescent="0.35">
      <c r="A213" s="337"/>
      <c r="B213" s="506" t="s">
        <v>49</v>
      </c>
      <c r="C213" s="212" t="s">
        <v>65</v>
      </c>
      <c r="D213" s="213" t="s">
        <v>45</v>
      </c>
      <c r="E213" s="213" t="s">
        <v>37</v>
      </c>
      <c r="F213" s="214" t="s">
        <v>91</v>
      </c>
      <c r="G213" s="28" t="s">
        <v>50</v>
      </c>
      <c r="H213" s="221">
        <f>'прил10 (ведом 24-25)'!M553</f>
        <v>3509.5</v>
      </c>
      <c r="I213" s="221">
        <f>'прил10 (ведом 24-25)'!N553</f>
        <v>3509.5</v>
      </c>
    </row>
    <row r="214" spans="1:9" ht="36" x14ac:dyDescent="0.35">
      <c r="A214" s="337"/>
      <c r="B214" s="507" t="s">
        <v>55</v>
      </c>
      <c r="C214" s="212" t="s">
        <v>65</v>
      </c>
      <c r="D214" s="213" t="s">
        <v>45</v>
      </c>
      <c r="E214" s="213" t="s">
        <v>37</v>
      </c>
      <c r="F214" s="214" t="s">
        <v>91</v>
      </c>
      <c r="G214" s="28" t="s">
        <v>56</v>
      </c>
      <c r="H214" s="221">
        <f>'прил10 (ведом 24-25)'!M554</f>
        <v>324.3</v>
      </c>
      <c r="I214" s="221">
        <f>'прил10 (ведом 24-25)'!N554</f>
        <v>324.3</v>
      </c>
    </row>
    <row r="215" spans="1:9" ht="18" x14ac:dyDescent="0.35">
      <c r="A215" s="337"/>
      <c r="B215" s="507" t="s">
        <v>57</v>
      </c>
      <c r="C215" s="212" t="s">
        <v>65</v>
      </c>
      <c r="D215" s="213" t="s">
        <v>45</v>
      </c>
      <c r="E215" s="213" t="s">
        <v>37</v>
      </c>
      <c r="F215" s="214" t="s">
        <v>91</v>
      </c>
      <c r="G215" s="28" t="s">
        <v>58</v>
      </c>
      <c r="H215" s="221">
        <f>'прил10 (ведом 24-25)'!M555</f>
        <v>2.7</v>
      </c>
      <c r="I215" s="221">
        <f>'прил10 (ведом 24-25)'!N555</f>
        <v>2.7</v>
      </c>
    </row>
    <row r="216" spans="1:9" s="347" customFormat="1" ht="18" x14ac:dyDescent="0.35">
      <c r="A216" s="337"/>
      <c r="B216" s="506" t="s">
        <v>220</v>
      </c>
      <c r="C216" s="212" t="s">
        <v>65</v>
      </c>
      <c r="D216" s="213" t="s">
        <v>89</v>
      </c>
      <c r="E216" s="213" t="s">
        <v>43</v>
      </c>
      <c r="F216" s="214" t="s">
        <v>44</v>
      </c>
      <c r="G216" s="28"/>
      <c r="H216" s="221">
        <f>H217+H222+H225+H228</f>
        <v>3750.6</v>
      </c>
      <c r="I216" s="221">
        <f>I217+I222+I225+I228</f>
        <v>3756.2999999999997</v>
      </c>
    </row>
    <row r="217" spans="1:9" s="347" customFormat="1" ht="36" x14ac:dyDescent="0.35">
      <c r="A217" s="337"/>
      <c r="B217" s="506" t="s">
        <v>282</v>
      </c>
      <c r="C217" s="212" t="s">
        <v>65</v>
      </c>
      <c r="D217" s="213" t="s">
        <v>89</v>
      </c>
      <c r="E217" s="213" t="s">
        <v>37</v>
      </c>
      <c r="F217" s="214" t="s">
        <v>44</v>
      </c>
      <c r="G217" s="28"/>
      <c r="H217" s="221">
        <f>H218</f>
        <v>3623.7</v>
      </c>
      <c r="I217" s="221">
        <f>I218</f>
        <v>3629.3999999999996</v>
      </c>
    </row>
    <row r="218" spans="1:9" s="347" customFormat="1" ht="36" x14ac:dyDescent="0.35">
      <c r="A218" s="337"/>
      <c r="B218" s="506" t="s">
        <v>47</v>
      </c>
      <c r="C218" s="212" t="s">
        <v>65</v>
      </c>
      <c r="D218" s="213" t="s">
        <v>89</v>
      </c>
      <c r="E218" s="213" t="s">
        <v>37</v>
      </c>
      <c r="F218" s="214" t="s">
        <v>48</v>
      </c>
      <c r="G218" s="28"/>
      <c r="H218" s="221">
        <f>SUM(H219:H221)</f>
        <v>3623.7</v>
      </c>
      <c r="I218" s="221">
        <f>SUM(I219:I221)</f>
        <v>3629.3999999999996</v>
      </c>
    </row>
    <row r="219" spans="1:9" s="347" customFormat="1" ht="90" x14ac:dyDescent="0.35">
      <c r="A219" s="337"/>
      <c r="B219" s="506" t="s">
        <v>49</v>
      </c>
      <c r="C219" s="212" t="s">
        <v>65</v>
      </c>
      <c r="D219" s="213" t="s">
        <v>89</v>
      </c>
      <c r="E219" s="213" t="s">
        <v>37</v>
      </c>
      <c r="F219" s="214" t="s">
        <v>48</v>
      </c>
      <c r="G219" s="28" t="s">
        <v>50</v>
      </c>
      <c r="H219" s="221">
        <f>'прил10 (ведом 24-25)'!M561</f>
        <v>3261.7</v>
      </c>
      <c r="I219" s="221">
        <f>'прил10 (ведом 24-25)'!N561</f>
        <v>3261.7</v>
      </c>
    </row>
    <row r="220" spans="1:9" ht="36" x14ac:dyDescent="0.35">
      <c r="A220" s="337"/>
      <c r="B220" s="506" t="s">
        <v>55</v>
      </c>
      <c r="C220" s="212" t="s">
        <v>65</v>
      </c>
      <c r="D220" s="213" t="s">
        <v>89</v>
      </c>
      <c r="E220" s="213" t="s">
        <v>37</v>
      </c>
      <c r="F220" s="214" t="s">
        <v>48</v>
      </c>
      <c r="G220" s="28" t="s">
        <v>56</v>
      </c>
      <c r="H220" s="221">
        <f>'прил10 (ведом 24-25)'!M562</f>
        <v>360.8</v>
      </c>
      <c r="I220" s="221">
        <f>'прил10 (ведом 24-25)'!N562</f>
        <v>366.5</v>
      </c>
    </row>
    <row r="221" spans="1:9" ht="18" x14ac:dyDescent="0.35">
      <c r="A221" s="337"/>
      <c r="B221" s="506" t="s">
        <v>57</v>
      </c>
      <c r="C221" s="212" t="s">
        <v>65</v>
      </c>
      <c r="D221" s="213" t="s">
        <v>89</v>
      </c>
      <c r="E221" s="213" t="s">
        <v>37</v>
      </c>
      <c r="F221" s="214" t="s">
        <v>48</v>
      </c>
      <c r="G221" s="28" t="s">
        <v>58</v>
      </c>
      <c r="H221" s="221">
        <f>'прил10 (ведом 24-25)'!M563</f>
        <v>1.2</v>
      </c>
      <c r="I221" s="221">
        <f>'прил10 (ведом 24-25)'!N563</f>
        <v>1.2</v>
      </c>
    </row>
    <row r="222" spans="1:9" ht="36" x14ac:dyDescent="0.35">
      <c r="A222" s="337"/>
      <c r="B222" s="519" t="s">
        <v>351</v>
      </c>
      <c r="C222" s="213" t="s">
        <v>65</v>
      </c>
      <c r="D222" s="213" t="s">
        <v>89</v>
      </c>
      <c r="E222" s="213" t="s">
        <v>39</v>
      </c>
      <c r="F222" s="214" t="s">
        <v>44</v>
      </c>
      <c r="G222" s="28"/>
      <c r="H222" s="221">
        <f>H223</f>
        <v>67.900000000000006</v>
      </c>
      <c r="I222" s="221">
        <f>I223</f>
        <v>67.900000000000006</v>
      </c>
    </row>
    <row r="223" spans="1:9" ht="54" x14ac:dyDescent="0.35">
      <c r="A223" s="337"/>
      <c r="B223" s="519" t="s">
        <v>352</v>
      </c>
      <c r="C223" s="212" t="s">
        <v>65</v>
      </c>
      <c r="D223" s="213" t="s">
        <v>89</v>
      </c>
      <c r="E223" s="213" t="s">
        <v>39</v>
      </c>
      <c r="F223" s="214" t="s">
        <v>105</v>
      </c>
      <c r="G223" s="28"/>
      <c r="H223" s="221">
        <f>H224</f>
        <v>67.900000000000006</v>
      </c>
      <c r="I223" s="221">
        <f>I224</f>
        <v>67.900000000000006</v>
      </c>
    </row>
    <row r="224" spans="1:9" ht="36" x14ac:dyDescent="0.35">
      <c r="A224" s="337"/>
      <c r="B224" s="519" t="s">
        <v>55</v>
      </c>
      <c r="C224" s="212" t="s">
        <v>65</v>
      </c>
      <c r="D224" s="213" t="s">
        <v>89</v>
      </c>
      <c r="E224" s="213" t="s">
        <v>39</v>
      </c>
      <c r="F224" s="214" t="s">
        <v>105</v>
      </c>
      <c r="G224" s="28" t="s">
        <v>56</v>
      </c>
      <c r="H224" s="221">
        <f>'прил10 (ведом 24-25)'!M540</f>
        <v>67.900000000000006</v>
      </c>
      <c r="I224" s="221">
        <f>'прил10 (ведом 24-25)'!N540</f>
        <v>67.900000000000006</v>
      </c>
    </row>
    <row r="225" spans="1:9" ht="36" x14ac:dyDescent="0.35">
      <c r="A225" s="337"/>
      <c r="B225" s="507" t="s">
        <v>468</v>
      </c>
      <c r="C225" s="213" t="s">
        <v>65</v>
      </c>
      <c r="D225" s="213" t="s">
        <v>89</v>
      </c>
      <c r="E225" s="213" t="s">
        <v>63</v>
      </c>
      <c r="F225" s="214" t="s">
        <v>44</v>
      </c>
      <c r="G225" s="28"/>
      <c r="H225" s="221">
        <f>H226</f>
        <v>14.8</v>
      </c>
      <c r="I225" s="221">
        <f>I226</f>
        <v>14.8</v>
      </c>
    </row>
    <row r="226" spans="1:9" ht="18" x14ac:dyDescent="0.35">
      <c r="A226" s="337"/>
      <c r="B226" s="507" t="s">
        <v>466</v>
      </c>
      <c r="C226" s="213" t="s">
        <v>65</v>
      </c>
      <c r="D226" s="213" t="s">
        <v>89</v>
      </c>
      <c r="E226" s="213" t="s">
        <v>63</v>
      </c>
      <c r="F226" s="214" t="s">
        <v>467</v>
      </c>
      <c r="G226" s="28"/>
      <c r="H226" s="221">
        <f>H227</f>
        <v>14.8</v>
      </c>
      <c r="I226" s="221">
        <f>I227</f>
        <v>14.8</v>
      </c>
    </row>
    <row r="227" spans="1:9" ht="36" x14ac:dyDescent="0.35">
      <c r="A227" s="337"/>
      <c r="B227" s="519" t="s">
        <v>55</v>
      </c>
      <c r="C227" s="213" t="s">
        <v>65</v>
      </c>
      <c r="D227" s="213" t="s">
        <v>89</v>
      </c>
      <c r="E227" s="213" t="s">
        <v>63</v>
      </c>
      <c r="F227" s="214" t="s">
        <v>467</v>
      </c>
      <c r="G227" s="28" t="s">
        <v>56</v>
      </c>
      <c r="H227" s="221">
        <f>'прил10 (ведом 24-25)'!M543</f>
        <v>14.8</v>
      </c>
      <c r="I227" s="221">
        <f>'прил10 (ведом 24-25)'!N543</f>
        <v>14.8</v>
      </c>
    </row>
    <row r="228" spans="1:9" ht="36" x14ac:dyDescent="0.35">
      <c r="A228" s="337"/>
      <c r="B228" s="519" t="s">
        <v>471</v>
      </c>
      <c r="C228" s="213" t="s">
        <v>65</v>
      </c>
      <c r="D228" s="213" t="s">
        <v>89</v>
      </c>
      <c r="E228" s="213" t="s">
        <v>52</v>
      </c>
      <c r="F228" s="704" t="s">
        <v>44</v>
      </c>
      <c r="G228" s="242"/>
      <c r="H228" s="221">
        <f>H229</f>
        <v>44.2</v>
      </c>
      <c r="I228" s="221">
        <f>I229</f>
        <v>44.2</v>
      </c>
    </row>
    <row r="229" spans="1:9" ht="36" x14ac:dyDescent="0.35">
      <c r="A229" s="337"/>
      <c r="B229" s="520" t="s">
        <v>127</v>
      </c>
      <c r="C229" s="213" t="s">
        <v>65</v>
      </c>
      <c r="D229" s="213" t="s">
        <v>89</v>
      </c>
      <c r="E229" s="213" t="s">
        <v>52</v>
      </c>
      <c r="F229" s="361" t="s">
        <v>90</v>
      </c>
      <c r="G229" s="242"/>
      <c r="H229" s="221">
        <f>H230</f>
        <v>44.2</v>
      </c>
      <c r="I229" s="221">
        <f>I230</f>
        <v>44.2</v>
      </c>
    </row>
    <row r="230" spans="1:9" ht="36" x14ac:dyDescent="0.35">
      <c r="A230" s="337"/>
      <c r="B230" s="519" t="s">
        <v>55</v>
      </c>
      <c r="C230" s="213" t="s">
        <v>65</v>
      </c>
      <c r="D230" s="213" t="s">
        <v>89</v>
      </c>
      <c r="E230" s="213" t="s">
        <v>52</v>
      </c>
      <c r="F230" s="704" t="s">
        <v>90</v>
      </c>
      <c r="G230" s="242" t="s">
        <v>56</v>
      </c>
      <c r="H230" s="221">
        <f>'прил10 (ведом 24-25)'!M546</f>
        <v>44.2</v>
      </c>
      <c r="I230" s="221">
        <f>'прил10 (ведом 24-25)'!N546</f>
        <v>44.2</v>
      </c>
    </row>
    <row r="231" spans="1:9" ht="18" x14ac:dyDescent="0.35">
      <c r="A231" s="337"/>
      <c r="B231" s="506"/>
      <c r="C231" s="213"/>
      <c r="D231" s="213"/>
      <c r="E231" s="213"/>
      <c r="F231" s="214"/>
      <c r="G231" s="28"/>
      <c r="H231" s="221"/>
      <c r="I231" s="221"/>
    </row>
    <row r="232" spans="1:9" s="347" customFormat="1" ht="52.2" x14ac:dyDescent="0.3">
      <c r="A232" s="352">
        <v>5</v>
      </c>
      <c r="B232" s="505" t="s">
        <v>80</v>
      </c>
      <c r="C232" s="353" t="s">
        <v>81</v>
      </c>
      <c r="D232" s="353" t="s">
        <v>42</v>
      </c>
      <c r="E232" s="353" t="s">
        <v>43</v>
      </c>
      <c r="F232" s="354" t="s">
        <v>44</v>
      </c>
      <c r="G232" s="346"/>
      <c r="H232" s="258">
        <f>H246+H233+H239+H252</f>
        <v>12719.499999999996</v>
      </c>
      <c r="I232" s="258">
        <f>I246+I233+I239+I252</f>
        <v>12720.499999999996</v>
      </c>
    </row>
    <row r="233" spans="1:9" ht="54" x14ac:dyDescent="0.35">
      <c r="A233" s="337"/>
      <c r="B233" s="514" t="s">
        <v>82</v>
      </c>
      <c r="C233" s="212" t="s">
        <v>81</v>
      </c>
      <c r="D233" s="213" t="s">
        <v>45</v>
      </c>
      <c r="E233" s="213" t="s">
        <v>43</v>
      </c>
      <c r="F233" s="214" t="s">
        <v>44</v>
      </c>
      <c r="G233" s="242"/>
      <c r="H233" s="221">
        <f>H234</f>
        <v>362.29999999999995</v>
      </c>
      <c r="I233" s="221">
        <f>I234</f>
        <v>362.29999999999995</v>
      </c>
    </row>
    <row r="234" spans="1:9" ht="72" x14ac:dyDescent="0.35">
      <c r="A234" s="337"/>
      <c r="B234" s="506" t="s">
        <v>83</v>
      </c>
      <c r="C234" s="212" t="s">
        <v>81</v>
      </c>
      <c r="D234" s="213" t="s">
        <v>45</v>
      </c>
      <c r="E234" s="213" t="s">
        <v>37</v>
      </c>
      <c r="F234" s="214" t="s">
        <v>44</v>
      </c>
      <c r="G234" s="28"/>
      <c r="H234" s="221">
        <f>H235+H237</f>
        <v>362.29999999999995</v>
      </c>
      <c r="I234" s="221">
        <f>I235+I237</f>
        <v>362.29999999999995</v>
      </c>
    </row>
    <row r="235" spans="1:9" ht="36" x14ac:dyDescent="0.35">
      <c r="A235" s="337"/>
      <c r="B235" s="546" t="s">
        <v>450</v>
      </c>
      <c r="C235" s="212" t="s">
        <v>81</v>
      </c>
      <c r="D235" s="213" t="s">
        <v>45</v>
      </c>
      <c r="E235" s="213" t="s">
        <v>37</v>
      </c>
      <c r="F235" s="214" t="s">
        <v>84</v>
      </c>
      <c r="G235" s="28"/>
      <c r="H235" s="221">
        <f>H236</f>
        <v>298.39999999999998</v>
      </c>
      <c r="I235" s="221">
        <f>I236</f>
        <v>298.39999999999998</v>
      </c>
    </row>
    <row r="236" spans="1:9" ht="36" x14ac:dyDescent="0.35">
      <c r="A236" s="337"/>
      <c r="B236" s="507" t="s">
        <v>55</v>
      </c>
      <c r="C236" s="212" t="s">
        <v>81</v>
      </c>
      <c r="D236" s="213" t="s">
        <v>45</v>
      </c>
      <c r="E236" s="213" t="s">
        <v>37</v>
      </c>
      <c r="F236" s="214" t="s">
        <v>84</v>
      </c>
      <c r="G236" s="28" t="s">
        <v>56</v>
      </c>
      <c r="H236" s="221">
        <f>'прил10 (ведом 24-25)'!M84</f>
        <v>298.39999999999998</v>
      </c>
      <c r="I236" s="221">
        <f>'прил10 (ведом 24-25)'!N84</f>
        <v>298.39999999999998</v>
      </c>
    </row>
    <row r="237" spans="1:9" ht="36" x14ac:dyDescent="0.35">
      <c r="A237" s="337"/>
      <c r="B237" s="507" t="s">
        <v>85</v>
      </c>
      <c r="C237" s="212" t="s">
        <v>81</v>
      </c>
      <c r="D237" s="213" t="s">
        <v>45</v>
      </c>
      <c r="E237" s="213" t="s">
        <v>37</v>
      </c>
      <c r="F237" s="214" t="s">
        <v>86</v>
      </c>
      <c r="G237" s="28"/>
      <c r="H237" s="221">
        <f>H238</f>
        <v>63.9</v>
      </c>
      <c r="I237" s="221">
        <f>I238</f>
        <v>63.9</v>
      </c>
    </row>
    <row r="238" spans="1:9" ht="36" x14ac:dyDescent="0.35">
      <c r="A238" s="337"/>
      <c r="B238" s="507" t="s">
        <v>55</v>
      </c>
      <c r="C238" s="212" t="s">
        <v>81</v>
      </c>
      <c r="D238" s="213" t="s">
        <v>45</v>
      </c>
      <c r="E238" s="213" t="s">
        <v>37</v>
      </c>
      <c r="F238" s="214" t="s">
        <v>86</v>
      </c>
      <c r="G238" s="28" t="s">
        <v>56</v>
      </c>
      <c r="H238" s="221">
        <f>'прил10 (ведом 24-25)'!M86</f>
        <v>63.9</v>
      </c>
      <c r="I238" s="221">
        <f>'прил10 (ведом 24-25)'!N86</f>
        <v>63.9</v>
      </c>
    </row>
    <row r="239" spans="1:9" ht="36" x14ac:dyDescent="0.35">
      <c r="A239" s="337"/>
      <c r="B239" s="521" t="s">
        <v>125</v>
      </c>
      <c r="C239" s="212" t="s">
        <v>81</v>
      </c>
      <c r="D239" s="213" t="s">
        <v>89</v>
      </c>
      <c r="E239" s="213" t="s">
        <v>43</v>
      </c>
      <c r="F239" s="214" t="s">
        <v>44</v>
      </c>
      <c r="G239" s="242"/>
      <c r="H239" s="221">
        <f>H240+H243</f>
        <v>1480.3999999999999</v>
      </c>
      <c r="I239" s="221">
        <f>I240+I243</f>
        <v>1480.3999999999999</v>
      </c>
    </row>
    <row r="240" spans="1:9" ht="36" x14ac:dyDescent="0.35">
      <c r="A240" s="337"/>
      <c r="B240" s="507" t="s">
        <v>271</v>
      </c>
      <c r="C240" s="212" t="s">
        <v>81</v>
      </c>
      <c r="D240" s="213" t="s">
        <v>89</v>
      </c>
      <c r="E240" s="213" t="s">
        <v>37</v>
      </c>
      <c r="F240" s="214" t="s">
        <v>44</v>
      </c>
      <c r="G240" s="28"/>
      <c r="H240" s="221">
        <f>H241</f>
        <v>21.8</v>
      </c>
      <c r="I240" s="221">
        <f>I241</f>
        <v>21.8</v>
      </c>
    </row>
    <row r="241" spans="1:9" ht="36" x14ac:dyDescent="0.35">
      <c r="A241" s="337"/>
      <c r="B241" s="545" t="s">
        <v>127</v>
      </c>
      <c r="C241" s="212" t="s">
        <v>81</v>
      </c>
      <c r="D241" s="213" t="s">
        <v>89</v>
      </c>
      <c r="E241" s="213" t="s">
        <v>37</v>
      </c>
      <c r="F241" s="214" t="s">
        <v>90</v>
      </c>
      <c r="G241" s="28"/>
      <c r="H241" s="221">
        <f>H242</f>
        <v>21.8</v>
      </c>
      <c r="I241" s="221">
        <f>I242</f>
        <v>21.8</v>
      </c>
    </row>
    <row r="242" spans="1:9" ht="36" x14ac:dyDescent="0.35">
      <c r="A242" s="337"/>
      <c r="B242" s="507" t="s">
        <v>55</v>
      </c>
      <c r="C242" s="212" t="s">
        <v>81</v>
      </c>
      <c r="D242" s="213" t="s">
        <v>89</v>
      </c>
      <c r="E242" s="213" t="s">
        <v>37</v>
      </c>
      <c r="F242" s="214" t="s">
        <v>90</v>
      </c>
      <c r="G242" s="28" t="s">
        <v>56</v>
      </c>
      <c r="H242" s="221">
        <f>'прил10 (ведом 24-25)'!M92</f>
        <v>21.8</v>
      </c>
      <c r="I242" s="221">
        <f>'прил10 (ведом 24-25)'!N92</f>
        <v>21.8</v>
      </c>
    </row>
    <row r="243" spans="1:9" ht="54" x14ac:dyDescent="0.35">
      <c r="A243" s="337"/>
      <c r="B243" s="545" t="s">
        <v>126</v>
      </c>
      <c r="C243" s="212" t="s">
        <v>81</v>
      </c>
      <c r="D243" s="213" t="s">
        <v>89</v>
      </c>
      <c r="E243" s="213" t="s">
        <v>39</v>
      </c>
      <c r="F243" s="214" t="s">
        <v>44</v>
      </c>
      <c r="G243" s="28"/>
      <c r="H243" s="221">
        <f>H244</f>
        <v>1458.6</v>
      </c>
      <c r="I243" s="221">
        <f>I244</f>
        <v>1458.6</v>
      </c>
    </row>
    <row r="244" spans="1:9" ht="36" x14ac:dyDescent="0.35">
      <c r="A244" s="337"/>
      <c r="B244" s="545" t="s">
        <v>127</v>
      </c>
      <c r="C244" s="212" t="s">
        <v>81</v>
      </c>
      <c r="D244" s="213" t="s">
        <v>89</v>
      </c>
      <c r="E244" s="213" t="s">
        <v>39</v>
      </c>
      <c r="F244" s="214" t="s">
        <v>90</v>
      </c>
      <c r="G244" s="28"/>
      <c r="H244" s="221">
        <f>H245</f>
        <v>1458.6</v>
      </c>
      <c r="I244" s="221">
        <f>I245</f>
        <v>1458.6</v>
      </c>
    </row>
    <row r="245" spans="1:9" ht="36" x14ac:dyDescent="0.35">
      <c r="A245" s="337"/>
      <c r="B245" s="507" t="s">
        <v>55</v>
      </c>
      <c r="C245" s="212" t="s">
        <v>81</v>
      </c>
      <c r="D245" s="213" t="s">
        <v>89</v>
      </c>
      <c r="E245" s="213" t="s">
        <v>39</v>
      </c>
      <c r="F245" s="214" t="s">
        <v>90</v>
      </c>
      <c r="G245" s="28" t="s">
        <v>56</v>
      </c>
      <c r="H245" s="221">
        <f>'прил10 (ведом 24-25)'!M95</f>
        <v>1458.6</v>
      </c>
      <c r="I245" s="221">
        <f>'прил10 (ведом 24-25)'!N95</f>
        <v>1458.6</v>
      </c>
    </row>
    <row r="246" spans="1:9" ht="54" x14ac:dyDescent="0.35">
      <c r="A246" s="337"/>
      <c r="B246" s="523" t="s">
        <v>368</v>
      </c>
      <c r="C246" s="212" t="s">
        <v>81</v>
      </c>
      <c r="D246" s="213" t="s">
        <v>30</v>
      </c>
      <c r="E246" s="213" t="s">
        <v>43</v>
      </c>
      <c r="F246" s="214" t="s">
        <v>44</v>
      </c>
      <c r="G246" s="28"/>
      <c r="H246" s="221">
        <f>H247</f>
        <v>10854.999999999998</v>
      </c>
      <c r="I246" s="221">
        <f>I247</f>
        <v>10855.999999999998</v>
      </c>
    </row>
    <row r="247" spans="1:9" ht="54" x14ac:dyDescent="0.35">
      <c r="A247" s="337"/>
      <c r="B247" s="522" t="s">
        <v>323</v>
      </c>
      <c r="C247" s="212" t="s">
        <v>81</v>
      </c>
      <c r="D247" s="213" t="s">
        <v>30</v>
      </c>
      <c r="E247" s="213" t="s">
        <v>37</v>
      </c>
      <c r="F247" s="214" t="s">
        <v>44</v>
      </c>
      <c r="G247" s="28"/>
      <c r="H247" s="221">
        <f>H248</f>
        <v>10854.999999999998</v>
      </c>
      <c r="I247" s="221">
        <f>I248</f>
        <v>10855.999999999998</v>
      </c>
    </row>
    <row r="248" spans="1:9" ht="36" x14ac:dyDescent="0.35">
      <c r="A248" s="337"/>
      <c r="B248" s="506" t="s">
        <v>464</v>
      </c>
      <c r="C248" s="212" t="s">
        <v>81</v>
      </c>
      <c r="D248" s="213" t="s">
        <v>30</v>
      </c>
      <c r="E248" s="213" t="s">
        <v>37</v>
      </c>
      <c r="F248" s="214" t="s">
        <v>91</v>
      </c>
      <c r="G248" s="28"/>
      <c r="H248" s="221">
        <f>SUM(H249:H251)</f>
        <v>10854.999999999998</v>
      </c>
      <c r="I248" s="221">
        <f>SUM(I249:I251)</f>
        <v>10855.999999999998</v>
      </c>
    </row>
    <row r="249" spans="1:9" s="347" customFormat="1" ht="90" x14ac:dyDescent="0.35">
      <c r="A249" s="337"/>
      <c r="B249" s="506" t="s">
        <v>49</v>
      </c>
      <c r="C249" s="212" t="s">
        <v>81</v>
      </c>
      <c r="D249" s="213" t="s">
        <v>30</v>
      </c>
      <c r="E249" s="213" t="s">
        <v>37</v>
      </c>
      <c r="F249" s="214" t="s">
        <v>91</v>
      </c>
      <c r="G249" s="28" t="s">
        <v>50</v>
      </c>
      <c r="H249" s="221">
        <f>'прил10 (ведом 24-25)'!M99</f>
        <v>8959.9</v>
      </c>
      <c r="I249" s="221">
        <f>'прил10 (ведом 24-25)'!N99</f>
        <v>8959.9</v>
      </c>
    </row>
    <row r="250" spans="1:9" ht="36" x14ac:dyDescent="0.35">
      <c r="A250" s="337"/>
      <c r="B250" s="506" t="s">
        <v>55</v>
      </c>
      <c r="C250" s="212" t="s">
        <v>81</v>
      </c>
      <c r="D250" s="213" t="s">
        <v>30</v>
      </c>
      <c r="E250" s="213" t="s">
        <v>37</v>
      </c>
      <c r="F250" s="214" t="s">
        <v>91</v>
      </c>
      <c r="G250" s="28" t="s">
        <v>56</v>
      </c>
      <c r="H250" s="221">
        <f>'прил10 (ведом 24-25)'!M100</f>
        <v>1891.8</v>
      </c>
      <c r="I250" s="221">
        <f>'прил10 (ведом 24-25)'!N100</f>
        <v>1892.8</v>
      </c>
    </row>
    <row r="251" spans="1:9" ht="18" x14ac:dyDescent="0.35">
      <c r="A251" s="337"/>
      <c r="B251" s="507" t="s">
        <v>57</v>
      </c>
      <c r="C251" s="212" t="s">
        <v>81</v>
      </c>
      <c r="D251" s="213" t="s">
        <v>30</v>
      </c>
      <c r="E251" s="213" t="s">
        <v>37</v>
      </c>
      <c r="F251" s="214" t="s">
        <v>91</v>
      </c>
      <c r="G251" s="28" t="s">
        <v>58</v>
      </c>
      <c r="H251" s="221">
        <f>'прил10 (ведом 24-25)'!M101</f>
        <v>3.3</v>
      </c>
      <c r="I251" s="221">
        <f>'прил10 (ведом 24-25)'!N101</f>
        <v>3.3</v>
      </c>
    </row>
    <row r="252" spans="1:9" ht="54" x14ac:dyDescent="0.35">
      <c r="A252" s="337"/>
      <c r="B252" s="547" t="s">
        <v>490</v>
      </c>
      <c r="C252" s="212" t="s">
        <v>81</v>
      </c>
      <c r="D252" s="213" t="s">
        <v>31</v>
      </c>
      <c r="E252" s="213" t="s">
        <v>43</v>
      </c>
      <c r="F252" s="214" t="s">
        <v>44</v>
      </c>
      <c r="G252" s="28"/>
      <c r="H252" s="221">
        <f t="shared" ref="H252:I254" si="1">H253</f>
        <v>21.8</v>
      </c>
      <c r="I252" s="221">
        <f t="shared" si="1"/>
        <v>21.8</v>
      </c>
    </row>
    <row r="253" spans="1:9" ht="54" x14ac:dyDescent="0.35">
      <c r="A253" s="337"/>
      <c r="B253" s="548" t="s">
        <v>491</v>
      </c>
      <c r="C253" s="212" t="s">
        <v>81</v>
      </c>
      <c r="D253" s="213" t="s">
        <v>31</v>
      </c>
      <c r="E253" s="213" t="s">
        <v>37</v>
      </c>
      <c r="F253" s="214" t="s">
        <v>44</v>
      </c>
      <c r="G253" s="28"/>
      <c r="H253" s="221">
        <f t="shared" si="1"/>
        <v>21.8</v>
      </c>
      <c r="I253" s="221">
        <f t="shared" si="1"/>
        <v>21.8</v>
      </c>
    </row>
    <row r="254" spans="1:9" ht="36" x14ac:dyDescent="0.35">
      <c r="A254" s="337"/>
      <c r="B254" s="549" t="s">
        <v>85</v>
      </c>
      <c r="C254" s="212" t="s">
        <v>81</v>
      </c>
      <c r="D254" s="213" t="s">
        <v>31</v>
      </c>
      <c r="E254" s="213" t="s">
        <v>37</v>
      </c>
      <c r="F254" s="214" t="s">
        <v>86</v>
      </c>
      <c r="G254" s="28"/>
      <c r="H254" s="221">
        <f t="shared" si="1"/>
        <v>21.8</v>
      </c>
      <c r="I254" s="221">
        <f t="shared" si="1"/>
        <v>21.8</v>
      </c>
    </row>
    <row r="255" spans="1:9" ht="36" x14ac:dyDescent="0.35">
      <c r="A255" s="337"/>
      <c r="B255" s="550" t="s">
        <v>55</v>
      </c>
      <c r="C255" s="212" t="s">
        <v>81</v>
      </c>
      <c r="D255" s="213" t="s">
        <v>31</v>
      </c>
      <c r="E255" s="213" t="s">
        <v>37</v>
      </c>
      <c r="F255" s="214" t="s">
        <v>86</v>
      </c>
      <c r="G255" s="28" t="s">
        <v>56</v>
      </c>
      <c r="H255" s="221">
        <f>'прил10 (ведом 24-25)'!M105</f>
        <v>21.8</v>
      </c>
      <c r="I255" s="221">
        <f>'прил10 (ведом 24-25)'!N105</f>
        <v>21.8</v>
      </c>
    </row>
    <row r="256" spans="1:9" ht="18" x14ac:dyDescent="0.35">
      <c r="A256" s="362"/>
      <c r="B256" s="509"/>
      <c r="C256" s="363"/>
      <c r="D256" s="703"/>
      <c r="E256" s="703"/>
      <c r="F256" s="704"/>
      <c r="G256" s="242"/>
      <c r="H256" s="221"/>
      <c r="I256" s="221"/>
    </row>
    <row r="257" spans="1:9" s="347" customFormat="1" ht="52.2" x14ac:dyDescent="0.3">
      <c r="A257" s="352">
        <v>6</v>
      </c>
      <c r="B257" s="518" t="s">
        <v>223</v>
      </c>
      <c r="C257" s="344" t="s">
        <v>224</v>
      </c>
      <c r="D257" s="344" t="s">
        <v>42</v>
      </c>
      <c r="E257" s="344" t="s">
        <v>43</v>
      </c>
      <c r="F257" s="345" t="s">
        <v>44</v>
      </c>
      <c r="G257" s="346"/>
      <c r="H257" s="258">
        <f>H258</f>
        <v>41658.69999999999</v>
      </c>
      <c r="I257" s="258">
        <f>I258</f>
        <v>41669.199999999997</v>
      </c>
    </row>
    <row r="258" spans="1:9" ht="18" x14ac:dyDescent="0.35">
      <c r="A258" s="337"/>
      <c r="B258" s="506" t="s">
        <v>339</v>
      </c>
      <c r="C258" s="364" t="s">
        <v>224</v>
      </c>
      <c r="D258" s="365" t="s">
        <v>45</v>
      </c>
      <c r="E258" s="213" t="s">
        <v>43</v>
      </c>
      <c r="F258" s="214" t="s">
        <v>44</v>
      </c>
      <c r="G258" s="28"/>
      <c r="H258" s="221">
        <f>H259+H266+H269+H272</f>
        <v>41658.69999999999</v>
      </c>
      <c r="I258" s="221">
        <f>I259+I266+I269+I272</f>
        <v>41669.199999999997</v>
      </c>
    </row>
    <row r="259" spans="1:9" ht="36" x14ac:dyDescent="0.35">
      <c r="A259" s="337"/>
      <c r="B259" s="506" t="s">
        <v>303</v>
      </c>
      <c r="C259" s="364" t="s">
        <v>224</v>
      </c>
      <c r="D259" s="365" t="s">
        <v>45</v>
      </c>
      <c r="E259" s="213" t="s">
        <v>37</v>
      </c>
      <c r="F259" s="214" t="s">
        <v>44</v>
      </c>
      <c r="G259" s="28"/>
      <c r="H259" s="221">
        <f>H260+H264</f>
        <v>31334.299999999996</v>
      </c>
      <c r="I259" s="221">
        <f>I260+I264</f>
        <v>31334.999999999996</v>
      </c>
    </row>
    <row r="260" spans="1:9" ht="36" x14ac:dyDescent="0.35">
      <c r="A260" s="337"/>
      <c r="B260" s="506" t="s">
        <v>47</v>
      </c>
      <c r="C260" s="364" t="s">
        <v>224</v>
      </c>
      <c r="D260" s="365" t="s">
        <v>45</v>
      </c>
      <c r="E260" s="213" t="s">
        <v>37</v>
      </c>
      <c r="F260" s="214" t="s">
        <v>48</v>
      </c>
      <c r="G260" s="28"/>
      <c r="H260" s="221">
        <f>SUM(H261:H263)</f>
        <v>31235.499999999996</v>
      </c>
      <c r="I260" s="221">
        <f>SUM(I261:I263)</f>
        <v>31236.199999999997</v>
      </c>
    </row>
    <row r="261" spans="1:9" ht="90" x14ac:dyDescent="0.35">
      <c r="A261" s="337"/>
      <c r="B261" s="506" t="s">
        <v>49</v>
      </c>
      <c r="C261" s="364" t="s">
        <v>224</v>
      </c>
      <c r="D261" s="365" t="s">
        <v>45</v>
      </c>
      <c r="E261" s="213" t="s">
        <v>37</v>
      </c>
      <c r="F261" s="214" t="s">
        <v>48</v>
      </c>
      <c r="G261" s="28" t="s">
        <v>50</v>
      </c>
      <c r="H261" s="221">
        <f>'прил10 (ведом 24-25)'!M177</f>
        <v>30515.599999999999</v>
      </c>
      <c r="I261" s="221">
        <f>'прил10 (ведом 24-25)'!N177</f>
        <v>30515.599999999999</v>
      </c>
    </row>
    <row r="262" spans="1:9" ht="36" x14ac:dyDescent="0.35">
      <c r="A262" s="337"/>
      <c r="B262" s="507" t="s">
        <v>55</v>
      </c>
      <c r="C262" s="364" t="s">
        <v>224</v>
      </c>
      <c r="D262" s="365" t="s">
        <v>45</v>
      </c>
      <c r="E262" s="213" t="s">
        <v>37</v>
      </c>
      <c r="F262" s="214" t="s">
        <v>48</v>
      </c>
      <c r="G262" s="28" t="s">
        <v>56</v>
      </c>
      <c r="H262" s="221">
        <f>'прил10 (ведом 24-25)'!M178</f>
        <v>715.3</v>
      </c>
      <c r="I262" s="221">
        <f>'прил10 (ведом 24-25)'!N178</f>
        <v>716.1</v>
      </c>
    </row>
    <row r="263" spans="1:9" ht="18" x14ac:dyDescent="0.35">
      <c r="A263" s="337"/>
      <c r="B263" s="507" t="s">
        <v>57</v>
      </c>
      <c r="C263" s="364" t="s">
        <v>224</v>
      </c>
      <c r="D263" s="365" t="s">
        <v>45</v>
      </c>
      <c r="E263" s="213" t="s">
        <v>37</v>
      </c>
      <c r="F263" s="214" t="s">
        <v>48</v>
      </c>
      <c r="G263" s="28" t="s">
        <v>58</v>
      </c>
      <c r="H263" s="221">
        <f>'прил10 (ведом 24-25)'!M179</f>
        <v>4.5999999999999996</v>
      </c>
      <c r="I263" s="221">
        <f>'прил10 (ведом 24-25)'!N179</f>
        <v>4.5</v>
      </c>
    </row>
    <row r="264" spans="1:9" ht="36" x14ac:dyDescent="0.35">
      <c r="A264" s="337"/>
      <c r="B264" s="510" t="s">
        <v>532</v>
      </c>
      <c r="C264" s="364" t="s">
        <v>224</v>
      </c>
      <c r="D264" s="365" t="s">
        <v>45</v>
      </c>
      <c r="E264" s="213" t="s">
        <v>37</v>
      </c>
      <c r="F264" s="214" t="s">
        <v>531</v>
      </c>
      <c r="G264" s="28"/>
      <c r="H264" s="221">
        <f>H265</f>
        <v>98.8</v>
      </c>
      <c r="I264" s="221">
        <f>I265</f>
        <v>98.8</v>
      </c>
    </row>
    <row r="265" spans="1:9" ht="36" x14ac:dyDescent="0.35">
      <c r="A265" s="337"/>
      <c r="B265" s="510" t="s">
        <v>55</v>
      </c>
      <c r="C265" s="364" t="s">
        <v>224</v>
      </c>
      <c r="D265" s="365" t="s">
        <v>45</v>
      </c>
      <c r="E265" s="213" t="s">
        <v>37</v>
      </c>
      <c r="F265" s="214" t="s">
        <v>531</v>
      </c>
      <c r="G265" s="28" t="s">
        <v>56</v>
      </c>
      <c r="H265" s="221">
        <f>'прил10 (ведом 24-25)'!M195</f>
        <v>98.8</v>
      </c>
      <c r="I265" s="221">
        <f>'прил10 (ведом 24-25)'!N195</f>
        <v>98.8</v>
      </c>
    </row>
    <row r="266" spans="1:9" ht="18" x14ac:dyDescent="0.35">
      <c r="A266" s="337"/>
      <c r="B266" s="506" t="s">
        <v>304</v>
      </c>
      <c r="C266" s="364" t="s">
        <v>224</v>
      </c>
      <c r="D266" s="365" t="s">
        <v>45</v>
      </c>
      <c r="E266" s="213" t="s">
        <v>39</v>
      </c>
      <c r="F266" s="214" t="s">
        <v>44</v>
      </c>
      <c r="G266" s="28"/>
      <c r="H266" s="221">
        <f>H267</f>
        <v>7500</v>
      </c>
      <c r="I266" s="221">
        <f>I267</f>
        <v>7500</v>
      </c>
    </row>
    <row r="267" spans="1:9" ht="36" x14ac:dyDescent="0.35">
      <c r="A267" s="337"/>
      <c r="B267" s="507" t="s">
        <v>258</v>
      </c>
      <c r="C267" s="364" t="s">
        <v>224</v>
      </c>
      <c r="D267" s="365" t="s">
        <v>45</v>
      </c>
      <c r="E267" s="213" t="s">
        <v>39</v>
      </c>
      <c r="F267" s="214" t="s">
        <v>404</v>
      </c>
      <c r="G267" s="28"/>
      <c r="H267" s="221">
        <f>H268</f>
        <v>7500</v>
      </c>
      <c r="I267" s="221">
        <f>I268</f>
        <v>7500</v>
      </c>
    </row>
    <row r="268" spans="1:9" ht="18" x14ac:dyDescent="0.35">
      <c r="A268" s="337"/>
      <c r="B268" s="507" t="s">
        <v>123</v>
      </c>
      <c r="C268" s="364" t="s">
        <v>224</v>
      </c>
      <c r="D268" s="365" t="s">
        <v>45</v>
      </c>
      <c r="E268" s="213" t="s">
        <v>39</v>
      </c>
      <c r="F268" s="214" t="s">
        <v>404</v>
      </c>
      <c r="G268" s="28" t="s">
        <v>124</v>
      </c>
      <c r="H268" s="221">
        <f>'прил10 (ведом 24-25)'!M202</f>
        <v>7500</v>
      </c>
      <c r="I268" s="221">
        <f>'прил10 (ведом 24-25)'!N202</f>
        <v>7500</v>
      </c>
    </row>
    <row r="269" spans="1:9" ht="36" x14ac:dyDescent="0.35">
      <c r="A269" s="337"/>
      <c r="B269" s="506" t="s">
        <v>351</v>
      </c>
      <c r="C269" s="364" t="s">
        <v>224</v>
      </c>
      <c r="D269" s="365" t="s">
        <v>45</v>
      </c>
      <c r="E269" s="213" t="s">
        <v>63</v>
      </c>
      <c r="F269" s="214" t="s">
        <v>44</v>
      </c>
      <c r="G269" s="28"/>
      <c r="H269" s="221">
        <f>H270</f>
        <v>2807.2</v>
      </c>
      <c r="I269" s="221">
        <f>I270</f>
        <v>2817</v>
      </c>
    </row>
    <row r="270" spans="1:9" ht="54" x14ac:dyDescent="0.35">
      <c r="A270" s="337"/>
      <c r="B270" s="506" t="s">
        <v>352</v>
      </c>
      <c r="C270" s="364" t="s">
        <v>224</v>
      </c>
      <c r="D270" s="365" t="s">
        <v>45</v>
      </c>
      <c r="E270" s="213" t="s">
        <v>63</v>
      </c>
      <c r="F270" s="214" t="s">
        <v>105</v>
      </c>
      <c r="G270" s="28"/>
      <c r="H270" s="221">
        <f>H271</f>
        <v>2807.2</v>
      </c>
      <c r="I270" s="221">
        <f>I271</f>
        <v>2817</v>
      </c>
    </row>
    <row r="271" spans="1:9" ht="36" x14ac:dyDescent="0.35">
      <c r="A271" s="337"/>
      <c r="B271" s="506" t="s">
        <v>55</v>
      </c>
      <c r="C271" s="364" t="s">
        <v>224</v>
      </c>
      <c r="D271" s="365" t="s">
        <v>45</v>
      </c>
      <c r="E271" s="213" t="s">
        <v>63</v>
      </c>
      <c r="F271" s="214" t="s">
        <v>105</v>
      </c>
      <c r="G271" s="28" t="s">
        <v>56</v>
      </c>
      <c r="H271" s="221">
        <f>'прил10 (ведом 24-25)'!M185</f>
        <v>2807.2</v>
      </c>
      <c r="I271" s="221">
        <f>'прил10 (ведом 24-25)'!N185</f>
        <v>2817</v>
      </c>
    </row>
    <row r="272" spans="1:9" ht="36" x14ac:dyDescent="0.35">
      <c r="A272" s="337"/>
      <c r="B272" s="507" t="s">
        <v>468</v>
      </c>
      <c r="C272" s="364" t="s">
        <v>224</v>
      </c>
      <c r="D272" s="365" t="s">
        <v>45</v>
      </c>
      <c r="E272" s="213" t="s">
        <v>65</v>
      </c>
      <c r="F272" s="214" t="s">
        <v>44</v>
      </c>
      <c r="G272" s="28"/>
      <c r="H272" s="221">
        <f>H273</f>
        <v>17.2</v>
      </c>
      <c r="I272" s="221">
        <f>I273</f>
        <v>17.2</v>
      </c>
    </row>
    <row r="273" spans="1:9" ht="18" x14ac:dyDescent="0.35">
      <c r="A273" s="337"/>
      <c r="B273" s="507" t="s">
        <v>466</v>
      </c>
      <c r="C273" s="364" t="s">
        <v>224</v>
      </c>
      <c r="D273" s="365" t="s">
        <v>45</v>
      </c>
      <c r="E273" s="213" t="s">
        <v>65</v>
      </c>
      <c r="F273" s="214" t="s">
        <v>467</v>
      </c>
      <c r="G273" s="28"/>
      <c r="H273" s="221">
        <f>H274</f>
        <v>17.2</v>
      </c>
      <c r="I273" s="221">
        <f>I274</f>
        <v>17.2</v>
      </c>
    </row>
    <row r="274" spans="1:9" ht="36" x14ac:dyDescent="0.35">
      <c r="A274" s="337"/>
      <c r="B274" s="507" t="s">
        <v>55</v>
      </c>
      <c r="C274" s="364" t="s">
        <v>224</v>
      </c>
      <c r="D274" s="365" t="s">
        <v>45</v>
      </c>
      <c r="E274" s="213" t="s">
        <v>65</v>
      </c>
      <c r="F274" s="214" t="s">
        <v>467</v>
      </c>
      <c r="G274" s="28" t="s">
        <v>56</v>
      </c>
      <c r="H274" s="221">
        <f>'прил10 (ведом 24-25)'!M188</f>
        <v>17.2</v>
      </c>
      <c r="I274" s="221">
        <f>'прил10 (ведом 24-25)'!N188</f>
        <v>17.2</v>
      </c>
    </row>
    <row r="275" spans="1:9" ht="18" x14ac:dyDescent="0.35">
      <c r="A275" s="337"/>
      <c r="B275" s="507"/>
      <c r="C275" s="365"/>
      <c r="D275" s="365"/>
      <c r="E275" s="365"/>
      <c r="F275" s="366"/>
      <c r="G275" s="28"/>
      <c r="H275" s="221"/>
      <c r="I275" s="221"/>
    </row>
    <row r="276" spans="1:9" s="347" customFormat="1" ht="52.2" x14ac:dyDescent="0.3">
      <c r="A276" s="343">
        <v>7</v>
      </c>
      <c r="B276" s="528" t="s">
        <v>225</v>
      </c>
      <c r="C276" s="367" t="s">
        <v>226</v>
      </c>
      <c r="D276" s="353" t="s">
        <v>42</v>
      </c>
      <c r="E276" s="353" t="s">
        <v>43</v>
      </c>
      <c r="F276" s="354" t="s">
        <v>44</v>
      </c>
      <c r="G276" s="368"/>
      <c r="H276" s="258">
        <f>H277+H281</f>
        <v>25516.300000000003</v>
      </c>
      <c r="I276" s="258">
        <f>I277+I281</f>
        <v>28698.300000000003</v>
      </c>
    </row>
    <row r="277" spans="1:9" s="347" customFormat="1" ht="36" x14ac:dyDescent="0.35">
      <c r="A277" s="343"/>
      <c r="B277" s="536" t="s">
        <v>227</v>
      </c>
      <c r="C277" s="369" t="s">
        <v>226</v>
      </c>
      <c r="D277" s="370" t="s">
        <v>45</v>
      </c>
      <c r="E277" s="370" t="s">
        <v>43</v>
      </c>
      <c r="F277" s="371" t="s">
        <v>44</v>
      </c>
      <c r="G277" s="351"/>
      <c r="H277" s="221">
        <f>H278</f>
        <v>0</v>
      </c>
      <c r="I277" s="221">
        <f>I278</f>
        <v>825.3</v>
      </c>
    </row>
    <row r="278" spans="1:9" s="347" customFormat="1" ht="36" x14ac:dyDescent="0.35">
      <c r="A278" s="343"/>
      <c r="B278" s="539" t="s">
        <v>338</v>
      </c>
      <c r="C278" s="348" t="s">
        <v>226</v>
      </c>
      <c r="D278" s="349" t="s">
        <v>45</v>
      </c>
      <c r="E278" s="349" t="s">
        <v>39</v>
      </c>
      <c r="F278" s="372" t="s">
        <v>44</v>
      </c>
      <c r="G278" s="351"/>
      <c r="H278" s="221">
        <f>H279</f>
        <v>0</v>
      </c>
      <c r="I278" s="221">
        <f>I279</f>
        <v>825.3</v>
      </c>
    </row>
    <row r="279" spans="1:9" s="347" customFormat="1" ht="36" x14ac:dyDescent="0.35">
      <c r="A279" s="343"/>
      <c r="B279" s="539" t="s">
        <v>337</v>
      </c>
      <c r="C279" s="348" t="s">
        <v>226</v>
      </c>
      <c r="D279" s="349" t="s">
        <v>45</v>
      </c>
      <c r="E279" s="349" t="s">
        <v>39</v>
      </c>
      <c r="F279" s="372" t="s">
        <v>336</v>
      </c>
      <c r="G279" s="351"/>
      <c r="H279" s="221">
        <f t="shared" ref="H279:I279" si="2">H280</f>
        <v>0</v>
      </c>
      <c r="I279" s="221">
        <f t="shared" si="2"/>
        <v>825.3</v>
      </c>
    </row>
    <row r="280" spans="1:9" s="347" customFormat="1" ht="36" x14ac:dyDescent="0.35">
      <c r="A280" s="343"/>
      <c r="B280" s="539" t="s">
        <v>55</v>
      </c>
      <c r="C280" s="348" t="s">
        <v>226</v>
      </c>
      <c r="D280" s="349" t="s">
        <v>45</v>
      </c>
      <c r="E280" s="349" t="s">
        <v>39</v>
      </c>
      <c r="F280" s="372" t="s">
        <v>336</v>
      </c>
      <c r="G280" s="351" t="s">
        <v>56</v>
      </c>
      <c r="H280" s="221">
        <f>'прил10 (ведом 24-25)'!M221</f>
        <v>0</v>
      </c>
      <c r="I280" s="221">
        <f>'прил10 (ведом 24-25)'!N221</f>
        <v>825.3</v>
      </c>
    </row>
    <row r="281" spans="1:9" ht="36" x14ac:dyDescent="0.35">
      <c r="A281" s="362"/>
      <c r="B281" s="529" t="s">
        <v>229</v>
      </c>
      <c r="C281" s="355" t="s">
        <v>226</v>
      </c>
      <c r="D281" s="363" t="s">
        <v>89</v>
      </c>
      <c r="E281" s="363" t="s">
        <v>43</v>
      </c>
      <c r="F281" s="373" t="s">
        <v>44</v>
      </c>
      <c r="G281" s="374"/>
      <c r="H281" s="221">
        <f>H282+H293+H296</f>
        <v>25516.300000000003</v>
      </c>
      <c r="I281" s="221">
        <f>I282+I293+I296</f>
        <v>27873.000000000004</v>
      </c>
    </row>
    <row r="282" spans="1:9" ht="72" x14ac:dyDescent="0.35">
      <c r="A282" s="362"/>
      <c r="B282" s="529" t="s">
        <v>301</v>
      </c>
      <c r="C282" s="355" t="s">
        <v>226</v>
      </c>
      <c r="D282" s="363" t="s">
        <v>89</v>
      </c>
      <c r="E282" s="363" t="s">
        <v>37</v>
      </c>
      <c r="F282" s="373" t="s">
        <v>44</v>
      </c>
      <c r="G282" s="374"/>
      <c r="H282" s="221">
        <f>H283+H287+H291</f>
        <v>25503.800000000003</v>
      </c>
      <c r="I282" s="221">
        <f>I283+I287+I291</f>
        <v>27095.600000000002</v>
      </c>
    </row>
    <row r="283" spans="1:9" ht="36" x14ac:dyDescent="0.35">
      <c r="A283" s="362"/>
      <c r="B283" s="529" t="s">
        <v>47</v>
      </c>
      <c r="C283" s="375" t="s">
        <v>226</v>
      </c>
      <c r="D283" s="376" t="s">
        <v>89</v>
      </c>
      <c r="E283" s="376" t="s">
        <v>37</v>
      </c>
      <c r="F283" s="377" t="s">
        <v>48</v>
      </c>
      <c r="G283" s="374"/>
      <c r="H283" s="221">
        <f>SUM(H284:H286)</f>
        <v>15766.800000000001</v>
      </c>
      <c r="I283" s="221">
        <f>SUM(I284:I286)</f>
        <v>16119.400000000001</v>
      </c>
    </row>
    <row r="284" spans="1:9" ht="90" x14ac:dyDescent="0.35">
      <c r="A284" s="362"/>
      <c r="B284" s="529" t="s">
        <v>49</v>
      </c>
      <c r="C284" s="355" t="s">
        <v>226</v>
      </c>
      <c r="D284" s="363" t="s">
        <v>89</v>
      </c>
      <c r="E284" s="363" t="s">
        <v>37</v>
      </c>
      <c r="F284" s="373" t="s">
        <v>48</v>
      </c>
      <c r="G284" s="374" t="s">
        <v>50</v>
      </c>
      <c r="H284" s="221">
        <f>'прил10 (ведом 24-25)'!M225</f>
        <v>15765.6</v>
      </c>
      <c r="I284" s="221">
        <f>'прил10 (ведом 24-25)'!N225</f>
        <v>15765.6</v>
      </c>
    </row>
    <row r="285" spans="1:9" ht="36" x14ac:dyDescent="0.35">
      <c r="A285" s="362"/>
      <c r="B285" s="539" t="s">
        <v>55</v>
      </c>
      <c r="C285" s="378" t="s">
        <v>226</v>
      </c>
      <c r="D285" s="349" t="s">
        <v>89</v>
      </c>
      <c r="E285" s="349" t="s">
        <v>37</v>
      </c>
      <c r="F285" s="372" t="s">
        <v>48</v>
      </c>
      <c r="G285" s="351" t="s">
        <v>56</v>
      </c>
      <c r="H285" s="221">
        <f>'прил10 (ведом 24-25)'!M226</f>
        <v>0</v>
      </c>
      <c r="I285" s="221">
        <f>'прил10 (ведом 24-25)'!N226</f>
        <v>352.6</v>
      </c>
    </row>
    <row r="286" spans="1:9" ht="18" x14ac:dyDescent="0.35">
      <c r="A286" s="362"/>
      <c r="B286" s="536" t="s">
        <v>57</v>
      </c>
      <c r="C286" s="378" t="s">
        <v>226</v>
      </c>
      <c r="D286" s="349" t="s">
        <v>89</v>
      </c>
      <c r="E286" s="349" t="s">
        <v>37</v>
      </c>
      <c r="F286" s="372" t="s">
        <v>48</v>
      </c>
      <c r="G286" s="351" t="s">
        <v>58</v>
      </c>
      <c r="H286" s="221">
        <f>'прил10 (ведом 24-25)'!M227</f>
        <v>1.2</v>
      </c>
      <c r="I286" s="221">
        <f>'прил10 (ведом 24-25)'!N227</f>
        <v>1.2</v>
      </c>
    </row>
    <row r="287" spans="1:9" ht="36" x14ac:dyDescent="0.35">
      <c r="A287" s="362"/>
      <c r="B287" s="506" t="s">
        <v>464</v>
      </c>
      <c r="C287" s="355" t="s">
        <v>226</v>
      </c>
      <c r="D287" s="363" t="s">
        <v>89</v>
      </c>
      <c r="E287" s="363" t="s">
        <v>37</v>
      </c>
      <c r="F287" s="373" t="s">
        <v>91</v>
      </c>
      <c r="G287" s="374"/>
      <c r="H287" s="221">
        <f>SUM(H288:H290)</f>
        <v>9737</v>
      </c>
      <c r="I287" s="221">
        <f>SUM(I288:I290)</f>
        <v>10281.799999999999</v>
      </c>
    </row>
    <row r="288" spans="1:9" ht="90" x14ac:dyDescent="0.35">
      <c r="A288" s="362"/>
      <c r="B288" s="529" t="s">
        <v>49</v>
      </c>
      <c r="C288" s="355" t="s">
        <v>226</v>
      </c>
      <c r="D288" s="363" t="s">
        <v>89</v>
      </c>
      <c r="E288" s="363" t="s">
        <v>37</v>
      </c>
      <c r="F288" s="373" t="s">
        <v>91</v>
      </c>
      <c r="G288" s="374" t="s">
        <v>50</v>
      </c>
      <c r="H288" s="221">
        <f>'прил10 (ведом 24-25)'!M229</f>
        <v>9628.6</v>
      </c>
      <c r="I288" s="221">
        <f>'прил10 (ведом 24-25)'!N229</f>
        <v>9628.6</v>
      </c>
    </row>
    <row r="289" spans="1:9" ht="36" x14ac:dyDescent="0.35">
      <c r="A289" s="362"/>
      <c r="B289" s="507" t="s">
        <v>55</v>
      </c>
      <c r="C289" s="375" t="s">
        <v>226</v>
      </c>
      <c r="D289" s="376" t="s">
        <v>89</v>
      </c>
      <c r="E289" s="376" t="s">
        <v>37</v>
      </c>
      <c r="F289" s="377" t="s">
        <v>91</v>
      </c>
      <c r="G289" s="374" t="s">
        <v>56</v>
      </c>
      <c r="H289" s="221">
        <f>'прил10 (ведом 24-25)'!M230</f>
        <v>86.899999999999977</v>
      </c>
      <c r="I289" s="221">
        <f>'прил10 (ведом 24-25)'!N230</f>
        <v>632.9</v>
      </c>
    </row>
    <row r="290" spans="1:9" ht="18" x14ac:dyDescent="0.35">
      <c r="A290" s="362"/>
      <c r="B290" s="530" t="s">
        <v>57</v>
      </c>
      <c r="C290" s="355" t="s">
        <v>226</v>
      </c>
      <c r="D290" s="363" t="s">
        <v>89</v>
      </c>
      <c r="E290" s="363" t="s">
        <v>37</v>
      </c>
      <c r="F290" s="373" t="s">
        <v>91</v>
      </c>
      <c r="G290" s="374" t="s">
        <v>58</v>
      </c>
      <c r="H290" s="221">
        <f>'прил10 (ведом 24-25)'!M231</f>
        <v>21.5</v>
      </c>
      <c r="I290" s="221">
        <f>'прил10 (ведом 24-25)'!N231</f>
        <v>20.3</v>
      </c>
    </row>
    <row r="291" spans="1:9" ht="54" x14ac:dyDescent="0.35">
      <c r="A291" s="362"/>
      <c r="B291" s="539" t="s">
        <v>354</v>
      </c>
      <c r="C291" s="378" t="s">
        <v>226</v>
      </c>
      <c r="D291" s="349" t="s">
        <v>89</v>
      </c>
      <c r="E291" s="349" t="s">
        <v>37</v>
      </c>
      <c r="F291" s="372" t="s">
        <v>353</v>
      </c>
      <c r="G291" s="351"/>
      <c r="H291" s="221">
        <f>H292</f>
        <v>0</v>
      </c>
      <c r="I291" s="221">
        <f>I292</f>
        <v>694.4</v>
      </c>
    </row>
    <row r="292" spans="1:9" ht="36" x14ac:dyDescent="0.35">
      <c r="A292" s="362"/>
      <c r="B292" s="539" t="s">
        <v>55</v>
      </c>
      <c r="C292" s="378" t="s">
        <v>226</v>
      </c>
      <c r="D292" s="349" t="s">
        <v>89</v>
      </c>
      <c r="E292" s="349" t="s">
        <v>37</v>
      </c>
      <c r="F292" s="379" t="s">
        <v>353</v>
      </c>
      <c r="G292" s="351" t="s">
        <v>56</v>
      </c>
      <c r="H292" s="221">
        <f>'прил10 (ведом 24-25)'!M233</f>
        <v>0</v>
      </c>
      <c r="I292" s="221">
        <f>'прил10 (ведом 24-25)'!N233</f>
        <v>694.4</v>
      </c>
    </row>
    <row r="293" spans="1:9" ht="36" x14ac:dyDescent="0.35">
      <c r="A293" s="362"/>
      <c r="B293" s="551" t="s">
        <v>351</v>
      </c>
      <c r="C293" s="378" t="s">
        <v>226</v>
      </c>
      <c r="D293" s="380" t="s">
        <v>89</v>
      </c>
      <c r="E293" s="380" t="s">
        <v>39</v>
      </c>
      <c r="F293" s="381" t="s">
        <v>44</v>
      </c>
      <c r="G293" s="382"/>
      <c r="H293" s="221">
        <f>H294</f>
        <v>0</v>
      </c>
      <c r="I293" s="221">
        <f>I294</f>
        <v>764.9</v>
      </c>
    </row>
    <row r="294" spans="1:9" ht="54" x14ac:dyDescent="0.35">
      <c r="A294" s="362"/>
      <c r="B294" s="552" t="s">
        <v>352</v>
      </c>
      <c r="C294" s="383" t="s">
        <v>226</v>
      </c>
      <c r="D294" s="380" t="s">
        <v>89</v>
      </c>
      <c r="E294" s="380" t="s">
        <v>39</v>
      </c>
      <c r="F294" s="381" t="s">
        <v>105</v>
      </c>
      <c r="G294" s="384"/>
      <c r="H294" s="221">
        <f>H295</f>
        <v>0</v>
      </c>
      <c r="I294" s="221">
        <f>I295</f>
        <v>764.9</v>
      </c>
    </row>
    <row r="295" spans="1:9" ht="36" x14ac:dyDescent="0.35">
      <c r="A295" s="362"/>
      <c r="B295" s="553" t="s">
        <v>55</v>
      </c>
      <c r="C295" s="383" t="s">
        <v>226</v>
      </c>
      <c r="D295" s="385" t="s">
        <v>89</v>
      </c>
      <c r="E295" s="385" t="s">
        <v>39</v>
      </c>
      <c r="F295" s="386" t="s">
        <v>105</v>
      </c>
      <c r="G295" s="387" t="s">
        <v>56</v>
      </c>
      <c r="H295" s="221">
        <f>'прил10 (ведом 24-25)'!M236</f>
        <v>0</v>
      </c>
      <c r="I295" s="221">
        <f>'прил10 (ведом 24-25)'!N236</f>
        <v>764.9</v>
      </c>
    </row>
    <row r="296" spans="1:9" ht="18" x14ac:dyDescent="0.35">
      <c r="A296" s="362"/>
      <c r="B296" s="535" t="s">
        <v>374</v>
      </c>
      <c r="C296" s="383" t="s">
        <v>226</v>
      </c>
      <c r="D296" s="380" t="s">
        <v>89</v>
      </c>
      <c r="E296" s="380" t="s">
        <v>63</v>
      </c>
      <c r="F296" s="381" t="s">
        <v>44</v>
      </c>
      <c r="G296" s="384"/>
      <c r="H296" s="221">
        <f>H297</f>
        <v>12.5</v>
      </c>
      <c r="I296" s="221">
        <f>I297</f>
        <v>12.5</v>
      </c>
    </row>
    <row r="297" spans="1:9" ht="36" x14ac:dyDescent="0.35">
      <c r="A297" s="362"/>
      <c r="B297" s="535" t="s">
        <v>337</v>
      </c>
      <c r="C297" s="388" t="s">
        <v>226</v>
      </c>
      <c r="D297" s="385" t="s">
        <v>89</v>
      </c>
      <c r="E297" s="385" t="s">
        <v>63</v>
      </c>
      <c r="F297" s="386" t="s">
        <v>336</v>
      </c>
      <c r="G297" s="384"/>
      <c r="H297" s="221">
        <f>H298</f>
        <v>12.5</v>
      </c>
      <c r="I297" s="221">
        <f>I298</f>
        <v>12.5</v>
      </c>
    </row>
    <row r="298" spans="1:9" ht="18" x14ac:dyDescent="0.35">
      <c r="A298" s="362"/>
      <c r="B298" s="536" t="s">
        <v>57</v>
      </c>
      <c r="C298" s="378" t="s">
        <v>226</v>
      </c>
      <c r="D298" s="380" t="s">
        <v>89</v>
      </c>
      <c r="E298" s="380" t="s">
        <v>63</v>
      </c>
      <c r="F298" s="381" t="s">
        <v>336</v>
      </c>
      <c r="G298" s="384" t="s">
        <v>58</v>
      </c>
      <c r="H298" s="221">
        <f>'прил10 (ведом 24-25)'!M239</f>
        <v>12.5</v>
      </c>
      <c r="I298" s="221">
        <f>'прил10 (ведом 24-25)'!N239</f>
        <v>12.5</v>
      </c>
    </row>
    <row r="299" spans="1:9" ht="18" x14ac:dyDescent="0.35">
      <c r="A299" s="362"/>
      <c r="B299" s="530"/>
      <c r="C299" s="356"/>
      <c r="D299" s="363"/>
      <c r="E299" s="363"/>
      <c r="F299" s="373"/>
      <c r="G299" s="374"/>
      <c r="H299" s="221"/>
      <c r="I299" s="221"/>
    </row>
    <row r="300" spans="1:9" s="347" customFormat="1" ht="52.2" x14ac:dyDescent="0.3">
      <c r="A300" s="352">
        <v>8</v>
      </c>
      <c r="B300" s="528" t="s">
        <v>295</v>
      </c>
      <c r="C300" s="353" t="s">
        <v>79</v>
      </c>
      <c r="D300" s="353" t="s">
        <v>42</v>
      </c>
      <c r="E300" s="353" t="s">
        <v>43</v>
      </c>
      <c r="F300" s="354" t="s">
        <v>44</v>
      </c>
      <c r="G300" s="346"/>
      <c r="H300" s="258">
        <f>H301</f>
        <v>122282.7</v>
      </c>
      <c r="I300" s="258">
        <f>I301</f>
        <v>123784.5</v>
      </c>
    </row>
    <row r="301" spans="1:9" ht="18" x14ac:dyDescent="0.35">
      <c r="A301" s="337"/>
      <c r="B301" s="506" t="s">
        <v>339</v>
      </c>
      <c r="C301" s="389" t="s">
        <v>79</v>
      </c>
      <c r="D301" s="363" t="s">
        <v>45</v>
      </c>
      <c r="E301" s="363" t="s">
        <v>43</v>
      </c>
      <c r="F301" s="390" t="s">
        <v>44</v>
      </c>
      <c r="G301" s="242"/>
      <c r="H301" s="221">
        <f>H302+H317+H325+H335</f>
        <v>122282.7</v>
      </c>
      <c r="I301" s="221">
        <f>I302+I317+I325+I335</f>
        <v>123784.5</v>
      </c>
    </row>
    <row r="302" spans="1:9" ht="36" x14ac:dyDescent="0.35">
      <c r="A302" s="337"/>
      <c r="B302" s="506" t="s">
        <v>285</v>
      </c>
      <c r="C302" s="212" t="s">
        <v>79</v>
      </c>
      <c r="D302" s="213" t="s">
        <v>45</v>
      </c>
      <c r="E302" s="213" t="s">
        <v>37</v>
      </c>
      <c r="F302" s="214" t="s">
        <v>44</v>
      </c>
      <c r="G302" s="242"/>
      <c r="H302" s="221">
        <f>H303+H306+H311+H314+H309</f>
        <v>64789.799999999996</v>
      </c>
      <c r="I302" s="221">
        <f>I303+I306+I311+I314+I309</f>
        <v>66291.600000000006</v>
      </c>
    </row>
    <row r="303" spans="1:9" ht="126" x14ac:dyDescent="0.35">
      <c r="A303" s="337"/>
      <c r="B303" s="537" t="s">
        <v>357</v>
      </c>
      <c r="C303" s="212" t="s">
        <v>79</v>
      </c>
      <c r="D303" s="213" t="s">
        <v>45</v>
      </c>
      <c r="E303" s="213" t="s">
        <v>37</v>
      </c>
      <c r="F303" s="214" t="s">
        <v>542</v>
      </c>
      <c r="G303" s="28"/>
      <c r="H303" s="221">
        <f>SUM(H304:H305)</f>
        <v>37153.799999999996</v>
      </c>
      <c r="I303" s="221">
        <f>SUM(I304:I305)</f>
        <v>38640.6</v>
      </c>
    </row>
    <row r="304" spans="1:9" ht="36" x14ac:dyDescent="0.35">
      <c r="A304" s="337"/>
      <c r="B304" s="538" t="s">
        <v>55</v>
      </c>
      <c r="C304" s="212" t="s">
        <v>79</v>
      </c>
      <c r="D304" s="213" t="s">
        <v>45</v>
      </c>
      <c r="E304" s="213" t="s">
        <v>37</v>
      </c>
      <c r="F304" s="214" t="s">
        <v>542</v>
      </c>
      <c r="G304" s="28" t="s">
        <v>56</v>
      </c>
      <c r="H304" s="221">
        <f>'прил10 (ведом 24-25)'!M572</f>
        <v>185.7</v>
      </c>
      <c r="I304" s="221">
        <f>'прил10 (ведом 24-25)'!N572</f>
        <v>193.2</v>
      </c>
    </row>
    <row r="305" spans="1:9" ht="18" x14ac:dyDescent="0.35">
      <c r="A305" s="337"/>
      <c r="B305" s="506" t="s">
        <v>120</v>
      </c>
      <c r="C305" s="212" t="s">
        <v>79</v>
      </c>
      <c r="D305" s="213" t="s">
        <v>45</v>
      </c>
      <c r="E305" s="213" t="s">
        <v>37</v>
      </c>
      <c r="F305" s="214" t="s">
        <v>542</v>
      </c>
      <c r="G305" s="28" t="s">
        <v>121</v>
      </c>
      <c r="H305" s="221">
        <f>'прил10 (ведом 24-25)'!M573</f>
        <v>36968.1</v>
      </c>
      <c r="I305" s="221">
        <f>'прил10 (ведом 24-25)'!N573</f>
        <v>38447.4</v>
      </c>
    </row>
    <row r="306" spans="1:9" ht="90" x14ac:dyDescent="0.35">
      <c r="A306" s="337"/>
      <c r="B306" s="506" t="s">
        <v>359</v>
      </c>
      <c r="C306" s="212" t="s">
        <v>79</v>
      </c>
      <c r="D306" s="213" t="s">
        <v>45</v>
      </c>
      <c r="E306" s="213" t="s">
        <v>37</v>
      </c>
      <c r="F306" s="214" t="s">
        <v>544</v>
      </c>
      <c r="G306" s="28"/>
      <c r="H306" s="221">
        <f>SUM(H307:H308)</f>
        <v>375.7</v>
      </c>
      <c r="I306" s="221">
        <f>SUM(I307:I308)</f>
        <v>390.7</v>
      </c>
    </row>
    <row r="307" spans="1:9" ht="36" x14ac:dyDescent="0.35">
      <c r="A307" s="337"/>
      <c r="B307" s="506" t="s">
        <v>55</v>
      </c>
      <c r="C307" s="212" t="s">
        <v>79</v>
      </c>
      <c r="D307" s="213" t="s">
        <v>45</v>
      </c>
      <c r="E307" s="213" t="s">
        <v>37</v>
      </c>
      <c r="F307" s="214" t="s">
        <v>544</v>
      </c>
      <c r="G307" s="28" t="s">
        <v>56</v>
      </c>
      <c r="H307" s="221">
        <f>'прил10 (ведом 24-25)'!M575</f>
        <v>1.9</v>
      </c>
      <c r="I307" s="221">
        <f>'прил10 (ведом 24-25)'!N575</f>
        <v>1.9</v>
      </c>
    </row>
    <row r="308" spans="1:9" ht="18" x14ac:dyDescent="0.35">
      <c r="A308" s="337"/>
      <c r="B308" s="506" t="s">
        <v>120</v>
      </c>
      <c r="C308" s="212" t="s">
        <v>79</v>
      </c>
      <c r="D308" s="213" t="s">
        <v>45</v>
      </c>
      <c r="E308" s="213" t="s">
        <v>37</v>
      </c>
      <c r="F308" s="214" t="s">
        <v>544</v>
      </c>
      <c r="G308" s="28" t="s">
        <v>121</v>
      </c>
      <c r="H308" s="221">
        <f>'прил10 (ведом 24-25)'!M576</f>
        <v>373.8</v>
      </c>
      <c r="I308" s="221">
        <f>'прил10 (ведом 24-25)'!N576</f>
        <v>388.8</v>
      </c>
    </row>
    <row r="309" spans="1:9" ht="126" x14ac:dyDescent="0.35">
      <c r="A309" s="337"/>
      <c r="B309" s="510" t="s">
        <v>755</v>
      </c>
      <c r="C309" s="709" t="s">
        <v>79</v>
      </c>
      <c r="D309" s="710" t="s">
        <v>45</v>
      </c>
      <c r="E309" s="710" t="s">
        <v>37</v>
      </c>
      <c r="F309" s="711" t="s">
        <v>756</v>
      </c>
      <c r="G309" s="10"/>
      <c r="H309" s="221">
        <f>H310</f>
        <v>119.9</v>
      </c>
      <c r="I309" s="221">
        <f>I310</f>
        <v>119.9</v>
      </c>
    </row>
    <row r="310" spans="1:9" ht="18" x14ac:dyDescent="0.35">
      <c r="A310" s="337"/>
      <c r="B310" s="510" t="s">
        <v>120</v>
      </c>
      <c r="C310" s="709" t="s">
        <v>79</v>
      </c>
      <c r="D310" s="710" t="s">
        <v>45</v>
      </c>
      <c r="E310" s="710" t="s">
        <v>37</v>
      </c>
      <c r="F310" s="711" t="s">
        <v>756</v>
      </c>
      <c r="G310" s="10" t="s">
        <v>121</v>
      </c>
      <c r="H310" s="221">
        <f>'прил10 (ведом 24-25)'!M578</f>
        <v>119.9</v>
      </c>
      <c r="I310" s="221">
        <f>'прил10 (ведом 24-25)'!N578</f>
        <v>119.9</v>
      </c>
    </row>
    <row r="311" spans="1:9" ht="90" x14ac:dyDescent="0.35">
      <c r="A311" s="337"/>
      <c r="B311" s="506" t="s">
        <v>358</v>
      </c>
      <c r="C311" s="212" t="s">
        <v>79</v>
      </c>
      <c r="D311" s="213" t="s">
        <v>45</v>
      </c>
      <c r="E311" s="213" t="s">
        <v>37</v>
      </c>
      <c r="F311" s="214" t="s">
        <v>543</v>
      </c>
      <c r="G311" s="28"/>
      <c r="H311" s="221">
        <f>SUM(H312:H313)</f>
        <v>26783.300000000003</v>
      </c>
      <c r="I311" s="221">
        <f>SUM(I312:I313)</f>
        <v>26783.300000000003</v>
      </c>
    </row>
    <row r="312" spans="1:9" ht="36" x14ac:dyDescent="0.35">
      <c r="A312" s="337"/>
      <c r="B312" s="538" t="s">
        <v>55</v>
      </c>
      <c r="C312" s="212" t="s">
        <v>79</v>
      </c>
      <c r="D312" s="213" t="s">
        <v>45</v>
      </c>
      <c r="E312" s="213" t="s">
        <v>37</v>
      </c>
      <c r="F312" s="214" t="s">
        <v>543</v>
      </c>
      <c r="G312" s="28" t="s">
        <v>56</v>
      </c>
      <c r="H312" s="221">
        <f>'прил10 (ведом 24-25)'!M580</f>
        <v>133.9</v>
      </c>
      <c r="I312" s="221">
        <f>'прил10 (ведом 24-25)'!N580</f>
        <v>133.9</v>
      </c>
    </row>
    <row r="313" spans="1:9" ht="18" x14ac:dyDescent="0.35">
      <c r="A313" s="337"/>
      <c r="B313" s="506" t="s">
        <v>120</v>
      </c>
      <c r="C313" s="212" t="s">
        <v>79</v>
      </c>
      <c r="D313" s="213" t="s">
        <v>45</v>
      </c>
      <c r="E313" s="213" t="s">
        <v>37</v>
      </c>
      <c r="F313" s="214" t="s">
        <v>543</v>
      </c>
      <c r="G313" s="28" t="s">
        <v>121</v>
      </c>
      <c r="H313" s="221">
        <f>'прил10 (ведом 24-25)'!M581</f>
        <v>26649.4</v>
      </c>
      <c r="I313" s="221">
        <f>'прил10 (ведом 24-25)'!N581</f>
        <v>26649.4</v>
      </c>
    </row>
    <row r="314" spans="1:9" ht="108" x14ac:dyDescent="0.35">
      <c r="A314" s="337"/>
      <c r="B314" s="506" t="s">
        <v>365</v>
      </c>
      <c r="C314" s="212" t="s">
        <v>79</v>
      </c>
      <c r="D314" s="213" t="s">
        <v>45</v>
      </c>
      <c r="E314" s="213" t="s">
        <v>37</v>
      </c>
      <c r="F314" s="214" t="s">
        <v>545</v>
      </c>
      <c r="G314" s="28"/>
      <c r="H314" s="221">
        <f>SUM(H315:H316)</f>
        <v>357.1</v>
      </c>
      <c r="I314" s="221">
        <f>SUM(I315:I316)</f>
        <v>357.1</v>
      </c>
    </row>
    <row r="315" spans="1:9" ht="36" x14ac:dyDescent="0.35">
      <c r="A315" s="337"/>
      <c r="B315" s="506" t="s">
        <v>55</v>
      </c>
      <c r="C315" s="212" t="s">
        <v>79</v>
      </c>
      <c r="D315" s="213" t="s">
        <v>45</v>
      </c>
      <c r="E315" s="213" t="s">
        <v>37</v>
      </c>
      <c r="F315" s="214" t="s">
        <v>545</v>
      </c>
      <c r="G315" s="28" t="s">
        <v>56</v>
      </c>
      <c r="H315" s="221">
        <f>'прил10 (ведом 24-25)'!M583</f>
        <v>1.8</v>
      </c>
      <c r="I315" s="221">
        <f>'прил10 (ведом 24-25)'!N583</f>
        <v>1.8</v>
      </c>
    </row>
    <row r="316" spans="1:9" ht="18" x14ac:dyDescent="0.35">
      <c r="A316" s="337"/>
      <c r="B316" s="506" t="s">
        <v>120</v>
      </c>
      <c r="C316" s="212" t="s">
        <v>79</v>
      </c>
      <c r="D316" s="213" t="s">
        <v>45</v>
      </c>
      <c r="E316" s="213" t="s">
        <v>37</v>
      </c>
      <c r="F316" s="214" t="s">
        <v>545</v>
      </c>
      <c r="G316" s="28" t="s">
        <v>121</v>
      </c>
      <c r="H316" s="221">
        <f>'прил10 (ведом 24-25)'!M584</f>
        <v>355.3</v>
      </c>
      <c r="I316" s="221">
        <f>'прил10 (ведом 24-25)'!N584</f>
        <v>355.3</v>
      </c>
    </row>
    <row r="317" spans="1:9" ht="72" x14ac:dyDescent="0.35">
      <c r="A317" s="337"/>
      <c r="B317" s="539" t="s">
        <v>300</v>
      </c>
      <c r="C317" s="391" t="s">
        <v>79</v>
      </c>
      <c r="D317" s="392" t="s">
        <v>45</v>
      </c>
      <c r="E317" s="392" t="s">
        <v>39</v>
      </c>
      <c r="F317" s="393" t="s">
        <v>44</v>
      </c>
      <c r="G317" s="394"/>
      <c r="H317" s="221">
        <f>H318+H320+H323</f>
        <v>47239.7</v>
      </c>
      <c r="I317" s="221">
        <f>I318+I320+I323</f>
        <v>47239.7</v>
      </c>
    </row>
    <row r="318" spans="1:9" ht="162" x14ac:dyDescent="0.35">
      <c r="A318" s="337"/>
      <c r="B318" s="510" t="s">
        <v>729</v>
      </c>
      <c r="C318" s="709" t="s">
        <v>79</v>
      </c>
      <c r="D318" s="710" t="s">
        <v>45</v>
      </c>
      <c r="E318" s="710" t="s">
        <v>39</v>
      </c>
      <c r="F318" s="711" t="s">
        <v>600</v>
      </c>
      <c r="G318" s="10"/>
      <c r="H318" s="221">
        <f>H319</f>
        <v>5.2</v>
      </c>
      <c r="I318" s="221">
        <f>I319</f>
        <v>5.2</v>
      </c>
    </row>
    <row r="319" spans="1:9" ht="18" x14ac:dyDescent="0.35">
      <c r="A319" s="337"/>
      <c r="B319" s="510" t="s">
        <v>120</v>
      </c>
      <c r="C319" s="709" t="s">
        <v>79</v>
      </c>
      <c r="D319" s="710" t="s">
        <v>45</v>
      </c>
      <c r="E319" s="710" t="s">
        <v>39</v>
      </c>
      <c r="F319" s="711" t="s">
        <v>600</v>
      </c>
      <c r="G319" s="10" t="s">
        <v>121</v>
      </c>
      <c r="H319" s="221">
        <f>'прил10 (ведом 24-25)'!M587</f>
        <v>5.2</v>
      </c>
      <c r="I319" s="221">
        <f>'прил10 (ведом 24-25)'!N587</f>
        <v>5.2</v>
      </c>
    </row>
    <row r="320" spans="1:9" ht="90" x14ac:dyDescent="0.35">
      <c r="A320" s="337"/>
      <c r="B320" s="536" t="s">
        <v>414</v>
      </c>
      <c r="C320" s="348" t="s">
        <v>79</v>
      </c>
      <c r="D320" s="349" t="s">
        <v>45</v>
      </c>
      <c r="E320" s="349" t="s">
        <v>39</v>
      </c>
      <c r="F320" s="350" t="s">
        <v>415</v>
      </c>
      <c r="G320" s="351"/>
      <c r="H320" s="221">
        <f>H321+H322</f>
        <v>31504.799999999999</v>
      </c>
      <c r="I320" s="221">
        <f>I321+I322</f>
        <v>31504.799999999999</v>
      </c>
    </row>
    <row r="321" spans="1:9" ht="36" x14ac:dyDescent="0.35">
      <c r="A321" s="337"/>
      <c r="B321" s="539" t="s">
        <v>55</v>
      </c>
      <c r="C321" s="348" t="s">
        <v>79</v>
      </c>
      <c r="D321" s="349" t="s">
        <v>45</v>
      </c>
      <c r="E321" s="349" t="s">
        <v>39</v>
      </c>
      <c r="F321" s="350" t="s">
        <v>415</v>
      </c>
      <c r="G321" s="498" t="s">
        <v>56</v>
      </c>
      <c r="H321" s="221">
        <f>'прил10 (ведом 24-25)'!M243</f>
        <v>45.631599999999999</v>
      </c>
      <c r="I321" s="221">
        <f>'прил10 (ведом 24-25)'!N243</f>
        <v>45.631599999999999</v>
      </c>
    </row>
    <row r="322" spans="1:9" ht="36" x14ac:dyDescent="0.35">
      <c r="A322" s="337"/>
      <c r="B322" s="536" t="s">
        <v>203</v>
      </c>
      <c r="C322" s="348" t="s">
        <v>79</v>
      </c>
      <c r="D322" s="349" t="s">
        <v>45</v>
      </c>
      <c r="E322" s="349" t="s">
        <v>39</v>
      </c>
      <c r="F322" s="350" t="s">
        <v>415</v>
      </c>
      <c r="G322" s="351" t="s">
        <v>204</v>
      </c>
      <c r="H322" s="221">
        <f>'прил10 (ведом 24-25)'!M278</f>
        <v>31459.168399999999</v>
      </c>
      <c r="I322" s="221">
        <f>'прил10 (ведом 24-25)'!N278</f>
        <v>31459.168399999999</v>
      </c>
    </row>
    <row r="323" spans="1:9" ht="90" x14ac:dyDescent="0.35">
      <c r="A323" s="337"/>
      <c r="B323" s="554" t="s">
        <v>414</v>
      </c>
      <c r="C323" s="86" t="s">
        <v>79</v>
      </c>
      <c r="D323" s="87" t="s">
        <v>45</v>
      </c>
      <c r="E323" s="87" t="s">
        <v>39</v>
      </c>
      <c r="F323" s="108" t="s">
        <v>558</v>
      </c>
      <c r="G323" s="89"/>
      <c r="H323" s="221">
        <f>H324</f>
        <v>15729.7</v>
      </c>
      <c r="I323" s="221">
        <f>I324</f>
        <v>15729.7</v>
      </c>
    </row>
    <row r="324" spans="1:9" ht="36" x14ac:dyDescent="0.35">
      <c r="A324" s="337"/>
      <c r="B324" s="554" t="s">
        <v>203</v>
      </c>
      <c r="C324" s="86" t="s">
        <v>79</v>
      </c>
      <c r="D324" s="87" t="s">
        <v>45</v>
      </c>
      <c r="E324" s="87" t="s">
        <v>39</v>
      </c>
      <c r="F324" s="108" t="s">
        <v>558</v>
      </c>
      <c r="G324" s="89" t="s">
        <v>204</v>
      </c>
      <c r="H324" s="221">
        <f>'прил10 (ведом 24-25)'!M280</f>
        <v>15729.7</v>
      </c>
      <c r="I324" s="221">
        <f>'прил10 (ведом 24-25)'!N280</f>
        <v>15729.7</v>
      </c>
    </row>
    <row r="325" spans="1:9" ht="36" x14ac:dyDescent="0.35">
      <c r="A325" s="337"/>
      <c r="B325" s="506" t="s">
        <v>229</v>
      </c>
      <c r="C325" s="212" t="s">
        <v>79</v>
      </c>
      <c r="D325" s="213" t="s">
        <v>45</v>
      </c>
      <c r="E325" s="213" t="s">
        <v>63</v>
      </c>
      <c r="F325" s="214" t="s">
        <v>44</v>
      </c>
      <c r="G325" s="28"/>
      <c r="H325" s="221">
        <f>H326+H329+H332</f>
        <v>8933.2000000000007</v>
      </c>
      <c r="I325" s="221">
        <f>I326+I329+I332</f>
        <v>8933.2000000000007</v>
      </c>
    </row>
    <row r="326" spans="1:9" ht="234" x14ac:dyDescent="0.35">
      <c r="A326" s="337"/>
      <c r="B326" s="506" t="s">
        <v>232</v>
      </c>
      <c r="C326" s="212" t="s">
        <v>79</v>
      </c>
      <c r="D326" s="213" t="s">
        <v>45</v>
      </c>
      <c r="E326" s="213" t="s">
        <v>63</v>
      </c>
      <c r="F326" s="214" t="s">
        <v>546</v>
      </c>
      <c r="G326" s="28"/>
      <c r="H326" s="221">
        <f>SUM(H327:H328)</f>
        <v>1017.2</v>
      </c>
      <c r="I326" s="221">
        <f>SUM(I327:I328)</f>
        <v>1017.2</v>
      </c>
    </row>
    <row r="327" spans="1:9" ht="90" x14ac:dyDescent="0.35">
      <c r="A327" s="337"/>
      <c r="B327" s="506" t="s">
        <v>49</v>
      </c>
      <c r="C327" s="212" t="s">
        <v>79</v>
      </c>
      <c r="D327" s="213" t="s">
        <v>45</v>
      </c>
      <c r="E327" s="213" t="s">
        <v>63</v>
      </c>
      <c r="F327" s="214" t="s">
        <v>546</v>
      </c>
      <c r="G327" s="28" t="s">
        <v>50</v>
      </c>
      <c r="H327" s="221">
        <f>'прил10 (ведом 24-25)'!M593</f>
        <v>855.2</v>
      </c>
      <c r="I327" s="221">
        <f>'прил10 (ведом 24-25)'!N593</f>
        <v>855.2</v>
      </c>
    </row>
    <row r="328" spans="1:9" ht="36" x14ac:dyDescent="0.35">
      <c r="A328" s="337"/>
      <c r="B328" s="506" t="s">
        <v>55</v>
      </c>
      <c r="C328" s="212" t="s">
        <v>79</v>
      </c>
      <c r="D328" s="213" t="s">
        <v>45</v>
      </c>
      <c r="E328" s="213" t="s">
        <v>63</v>
      </c>
      <c r="F328" s="214" t="s">
        <v>546</v>
      </c>
      <c r="G328" s="28" t="s">
        <v>56</v>
      </c>
      <c r="H328" s="221">
        <f>'прил10 (ведом 24-25)'!M594</f>
        <v>162</v>
      </c>
      <c r="I328" s="221">
        <f>'прил10 (ведом 24-25)'!N594</f>
        <v>162</v>
      </c>
    </row>
    <row r="329" spans="1:9" ht="90" x14ac:dyDescent="0.35">
      <c r="A329" s="337"/>
      <c r="B329" s="504" t="s">
        <v>459</v>
      </c>
      <c r="C329" s="212" t="s">
        <v>79</v>
      </c>
      <c r="D329" s="213" t="s">
        <v>45</v>
      </c>
      <c r="E329" s="213" t="s">
        <v>63</v>
      </c>
      <c r="F329" s="214" t="s">
        <v>540</v>
      </c>
      <c r="G329" s="28"/>
      <c r="H329" s="221">
        <f>SUM(H330:H331)</f>
        <v>749.3</v>
      </c>
      <c r="I329" s="221">
        <f>SUM(I330:I331)</f>
        <v>749.3</v>
      </c>
    </row>
    <row r="330" spans="1:9" ht="90" x14ac:dyDescent="0.35">
      <c r="A330" s="337"/>
      <c r="B330" s="506" t="s">
        <v>49</v>
      </c>
      <c r="C330" s="212" t="s">
        <v>79</v>
      </c>
      <c r="D330" s="213" t="s">
        <v>45</v>
      </c>
      <c r="E330" s="213" t="s">
        <v>63</v>
      </c>
      <c r="F330" s="214" t="s">
        <v>540</v>
      </c>
      <c r="G330" s="28" t="s">
        <v>50</v>
      </c>
      <c r="H330" s="221">
        <f>'прил10 (ведом 24-25)'!M596</f>
        <v>668.3</v>
      </c>
      <c r="I330" s="221">
        <f>'прил10 (ведом 24-25)'!N596</f>
        <v>668.3</v>
      </c>
    </row>
    <row r="331" spans="1:9" ht="36" x14ac:dyDescent="0.35">
      <c r="A331" s="337"/>
      <c r="B331" s="506" t="s">
        <v>55</v>
      </c>
      <c r="C331" s="212" t="s">
        <v>79</v>
      </c>
      <c r="D331" s="213" t="s">
        <v>45</v>
      </c>
      <c r="E331" s="213" t="s">
        <v>63</v>
      </c>
      <c r="F331" s="214" t="s">
        <v>540</v>
      </c>
      <c r="G331" s="28" t="s">
        <v>56</v>
      </c>
      <c r="H331" s="221">
        <f>'прил10 (ведом 24-25)'!M597</f>
        <v>81</v>
      </c>
      <c r="I331" s="221">
        <f>'прил10 (ведом 24-25)'!N597</f>
        <v>81</v>
      </c>
    </row>
    <row r="332" spans="1:9" ht="72" x14ac:dyDescent="0.35">
      <c r="A332" s="337"/>
      <c r="B332" s="506" t="s">
        <v>231</v>
      </c>
      <c r="C332" s="212" t="s">
        <v>79</v>
      </c>
      <c r="D332" s="213" t="s">
        <v>45</v>
      </c>
      <c r="E332" s="213" t="s">
        <v>63</v>
      </c>
      <c r="F332" s="214" t="s">
        <v>541</v>
      </c>
      <c r="G332" s="28"/>
      <c r="H332" s="221">
        <f>H333+H334</f>
        <v>7166.7</v>
      </c>
      <c r="I332" s="221">
        <f>I333+I334</f>
        <v>7166.7</v>
      </c>
    </row>
    <row r="333" spans="1:9" ht="90" x14ac:dyDescent="0.35">
      <c r="A333" s="337"/>
      <c r="B333" s="506" t="s">
        <v>49</v>
      </c>
      <c r="C333" s="212" t="s">
        <v>79</v>
      </c>
      <c r="D333" s="213" t="s">
        <v>45</v>
      </c>
      <c r="E333" s="213" t="s">
        <v>63</v>
      </c>
      <c r="F333" s="214" t="s">
        <v>541</v>
      </c>
      <c r="G333" s="28" t="s">
        <v>50</v>
      </c>
      <c r="H333" s="221">
        <f>'прил10 (ведом 24-25)'!M599</f>
        <v>6437.7</v>
      </c>
      <c r="I333" s="221">
        <f>'прил10 (ведом 24-25)'!N599</f>
        <v>6437.7</v>
      </c>
    </row>
    <row r="334" spans="1:9" ht="36" x14ac:dyDescent="0.35">
      <c r="A334" s="337"/>
      <c r="B334" s="506" t="s">
        <v>55</v>
      </c>
      <c r="C334" s="435" t="s">
        <v>79</v>
      </c>
      <c r="D334" s="436" t="s">
        <v>45</v>
      </c>
      <c r="E334" s="436" t="s">
        <v>63</v>
      </c>
      <c r="F334" s="214" t="s">
        <v>541</v>
      </c>
      <c r="G334" s="28" t="s">
        <v>56</v>
      </c>
      <c r="H334" s="221">
        <f>'прил10 (ведом 24-25)'!M600</f>
        <v>729</v>
      </c>
      <c r="I334" s="221">
        <f>'прил10 (ведом 24-25)'!N600</f>
        <v>729</v>
      </c>
    </row>
    <row r="335" spans="1:9" ht="72" x14ac:dyDescent="0.35">
      <c r="A335" s="337"/>
      <c r="B335" s="545" t="s">
        <v>447</v>
      </c>
      <c r="C335" s="212" t="s">
        <v>79</v>
      </c>
      <c r="D335" s="213" t="s">
        <v>45</v>
      </c>
      <c r="E335" s="213" t="s">
        <v>52</v>
      </c>
      <c r="F335" s="214" t="s">
        <v>44</v>
      </c>
      <c r="G335" s="28"/>
      <c r="H335" s="221">
        <f>H336</f>
        <v>1320</v>
      </c>
      <c r="I335" s="221">
        <f>I336</f>
        <v>1320</v>
      </c>
    </row>
    <row r="336" spans="1:9" ht="72" x14ac:dyDescent="0.35">
      <c r="A336" s="337"/>
      <c r="B336" s="545" t="s">
        <v>442</v>
      </c>
      <c r="C336" s="212" t="s">
        <v>79</v>
      </c>
      <c r="D336" s="213" t="s">
        <v>45</v>
      </c>
      <c r="E336" s="213" t="s">
        <v>52</v>
      </c>
      <c r="F336" s="214" t="s">
        <v>356</v>
      </c>
      <c r="G336" s="28"/>
      <c r="H336" s="221">
        <f>H337</f>
        <v>1320</v>
      </c>
      <c r="I336" s="221">
        <f>I337</f>
        <v>1320</v>
      </c>
    </row>
    <row r="337" spans="1:9" ht="18" x14ac:dyDescent="0.35">
      <c r="A337" s="337"/>
      <c r="B337" s="515" t="s">
        <v>120</v>
      </c>
      <c r="C337" s="212" t="s">
        <v>79</v>
      </c>
      <c r="D337" s="213" t="s">
        <v>45</v>
      </c>
      <c r="E337" s="213" t="s">
        <v>52</v>
      </c>
      <c r="F337" s="214" t="s">
        <v>356</v>
      </c>
      <c r="G337" s="28" t="s">
        <v>121</v>
      </c>
      <c r="H337" s="221">
        <f>'прил10 (ведом 24-25)'!M162</f>
        <v>1320</v>
      </c>
      <c r="I337" s="221">
        <f>'прил10 (ведом 24-25)'!N162</f>
        <v>1320</v>
      </c>
    </row>
    <row r="338" spans="1:9" ht="18" x14ac:dyDescent="0.35">
      <c r="A338" s="337"/>
      <c r="B338" s="515"/>
      <c r="C338" s="213"/>
      <c r="D338" s="213"/>
      <c r="E338" s="213"/>
      <c r="F338" s="214"/>
      <c r="G338" s="28"/>
      <c r="H338" s="221"/>
      <c r="I338" s="221"/>
    </row>
    <row r="339" spans="1:9" ht="69.599999999999994" x14ac:dyDescent="0.3">
      <c r="A339" s="352">
        <v>9</v>
      </c>
      <c r="B339" s="518" t="s">
        <v>332</v>
      </c>
      <c r="C339" s="353" t="s">
        <v>104</v>
      </c>
      <c r="D339" s="353" t="s">
        <v>42</v>
      </c>
      <c r="E339" s="353" t="s">
        <v>43</v>
      </c>
      <c r="F339" s="354" t="s">
        <v>44</v>
      </c>
      <c r="G339" s="395"/>
      <c r="H339" s="258">
        <f>H340+H344</f>
        <v>69245.3</v>
      </c>
      <c r="I339" s="258">
        <f>I340+I344</f>
        <v>5773.4</v>
      </c>
    </row>
    <row r="340" spans="1:9" ht="36" x14ac:dyDescent="0.35">
      <c r="A340" s="352"/>
      <c r="B340" s="565" t="s">
        <v>334</v>
      </c>
      <c r="C340" s="86" t="s">
        <v>104</v>
      </c>
      <c r="D340" s="87" t="s">
        <v>45</v>
      </c>
      <c r="E340" s="87" t="s">
        <v>43</v>
      </c>
      <c r="F340" s="108" t="s">
        <v>44</v>
      </c>
      <c r="G340" s="89"/>
      <c r="H340" s="221">
        <f t="shared" ref="H340:I342" si="3">H341</f>
        <v>63486.700000000004</v>
      </c>
      <c r="I340" s="221">
        <f t="shared" si="3"/>
        <v>0</v>
      </c>
    </row>
    <row r="341" spans="1:9" ht="54" x14ac:dyDescent="0.35">
      <c r="A341" s="352"/>
      <c r="B341" s="565" t="s">
        <v>373</v>
      </c>
      <c r="C341" s="86" t="s">
        <v>104</v>
      </c>
      <c r="D341" s="87" t="s">
        <v>45</v>
      </c>
      <c r="E341" s="87" t="s">
        <v>37</v>
      </c>
      <c r="F341" s="108" t="s">
        <v>44</v>
      </c>
      <c r="G341" s="89"/>
      <c r="H341" s="221">
        <f t="shared" si="3"/>
        <v>63486.700000000004</v>
      </c>
      <c r="I341" s="221">
        <f t="shared" si="3"/>
        <v>0</v>
      </c>
    </row>
    <row r="342" spans="1:9" ht="54" x14ac:dyDescent="0.35">
      <c r="A342" s="352"/>
      <c r="B342" s="565" t="s">
        <v>500</v>
      </c>
      <c r="C342" s="86" t="s">
        <v>104</v>
      </c>
      <c r="D342" s="87" t="s">
        <v>45</v>
      </c>
      <c r="E342" s="87" t="s">
        <v>37</v>
      </c>
      <c r="F342" s="108" t="s">
        <v>413</v>
      </c>
      <c r="G342" s="89"/>
      <c r="H342" s="221">
        <f t="shared" si="3"/>
        <v>63486.700000000004</v>
      </c>
      <c r="I342" s="221">
        <f t="shared" si="3"/>
        <v>0</v>
      </c>
    </row>
    <row r="343" spans="1:9" ht="36" x14ac:dyDescent="0.35">
      <c r="A343" s="352"/>
      <c r="B343" s="565" t="s">
        <v>203</v>
      </c>
      <c r="C343" s="86" t="s">
        <v>104</v>
      </c>
      <c r="D343" s="87" t="s">
        <v>45</v>
      </c>
      <c r="E343" s="87" t="s">
        <v>37</v>
      </c>
      <c r="F343" s="108" t="s">
        <v>413</v>
      </c>
      <c r="G343" s="89" t="s">
        <v>204</v>
      </c>
      <c r="H343" s="221">
        <f>'прил10 (ведом 24-25)'!M256</f>
        <v>63486.700000000004</v>
      </c>
      <c r="I343" s="221">
        <f>'прил10 (ведом 24-25)'!N256</f>
        <v>0</v>
      </c>
    </row>
    <row r="344" spans="1:9" ht="36" x14ac:dyDescent="0.35">
      <c r="A344" s="337"/>
      <c r="B344" s="593" t="s">
        <v>631</v>
      </c>
      <c r="C344" s="709" t="s">
        <v>104</v>
      </c>
      <c r="D344" s="710" t="s">
        <v>34</v>
      </c>
      <c r="E344" s="710" t="s">
        <v>43</v>
      </c>
      <c r="F344" s="711" t="s">
        <v>44</v>
      </c>
      <c r="G344" s="10"/>
      <c r="H344" s="221">
        <f t="shared" ref="H344:I346" si="4">H345</f>
        <v>5758.6</v>
      </c>
      <c r="I344" s="221">
        <f t="shared" si="4"/>
        <v>5773.4</v>
      </c>
    </row>
    <row r="345" spans="1:9" ht="36" x14ac:dyDescent="0.35">
      <c r="A345" s="337"/>
      <c r="B345" s="593" t="s">
        <v>632</v>
      </c>
      <c r="C345" s="709" t="s">
        <v>104</v>
      </c>
      <c r="D345" s="710" t="s">
        <v>34</v>
      </c>
      <c r="E345" s="710" t="s">
        <v>37</v>
      </c>
      <c r="F345" s="711" t="s">
        <v>44</v>
      </c>
      <c r="G345" s="10"/>
      <c r="H345" s="221">
        <f t="shared" si="4"/>
        <v>5758.6</v>
      </c>
      <c r="I345" s="221">
        <f t="shared" si="4"/>
        <v>5773.4</v>
      </c>
    </row>
    <row r="346" spans="1:9" ht="36" x14ac:dyDescent="0.35">
      <c r="A346" s="337"/>
      <c r="B346" s="593" t="s">
        <v>633</v>
      </c>
      <c r="C346" s="709" t="s">
        <v>104</v>
      </c>
      <c r="D346" s="710" t="s">
        <v>34</v>
      </c>
      <c r="E346" s="710" t="s">
        <v>37</v>
      </c>
      <c r="F346" s="711" t="s">
        <v>634</v>
      </c>
      <c r="G346" s="10"/>
      <c r="H346" s="221">
        <f t="shared" si="4"/>
        <v>5758.6</v>
      </c>
      <c r="I346" s="221">
        <f t="shared" si="4"/>
        <v>5773.4</v>
      </c>
    </row>
    <row r="347" spans="1:9" ht="36" x14ac:dyDescent="0.35">
      <c r="A347" s="337"/>
      <c r="B347" s="593" t="s">
        <v>55</v>
      </c>
      <c r="C347" s="709" t="s">
        <v>104</v>
      </c>
      <c r="D347" s="710" t="s">
        <v>34</v>
      </c>
      <c r="E347" s="710" t="s">
        <v>37</v>
      </c>
      <c r="F347" s="711" t="s">
        <v>634</v>
      </c>
      <c r="G347" s="10" t="s">
        <v>56</v>
      </c>
      <c r="H347" s="221">
        <f>'прил10 (ведом 24-25)'!M148</f>
        <v>5758.6</v>
      </c>
      <c r="I347" s="221">
        <f>'прил10 (ведом 24-25)'!N148</f>
        <v>5773.4</v>
      </c>
    </row>
    <row r="348" spans="1:9" ht="18" x14ac:dyDescent="0.35">
      <c r="A348" s="337"/>
      <c r="B348" s="515"/>
      <c r="C348" s="213"/>
      <c r="D348" s="213"/>
      <c r="E348" s="213"/>
      <c r="F348" s="214"/>
      <c r="G348" s="28"/>
      <c r="H348" s="221"/>
      <c r="I348" s="221"/>
    </row>
    <row r="349" spans="1:9" s="347" customFormat="1" ht="52.2" x14ac:dyDescent="0.3">
      <c r="A349" s="352">
        <v>10</v>
      </c>
      <c r="B349" s="518" t="s">
        <v>94</v>
      </c>
      <c r="C349" s="353" t="s">
        <v>67</v>
      </c>
      <c r="D349" s="353" t="s">
        <v>42</v>
      </c>
      <c r="E349" s="353" t="s">
        <v>43</v>
      </c>
      <c r="F349" s="354" t="s">
        <v>44</v>
      </c>
      <c r="G349" s="395"/>
      <c r="H349" s="258">
        <f>H350</f>
        <v>19075.7</v>
      </c>
      <c r="I349" s="258">
        <f>I350</f>
        <v>19075.7</v>
      </c>
    </row>
    <row r="350" spans="1:9" ht="18" x14ac:dyDescent="0.35">
      <c r="A350" s="337"/>
      <c r="B350" s="506" t="s">
        <v>339</v>
      </c>
      <c r="C350" s="212" t="s">
        <v>67</v>
      </c>
      <c r="D350" s="213" t="s">
        <v>45</v>
      </c>
      <c r="E350" s="213" t="s">
        <v>43</v>
      </c>
      <c r="F350" s="214" t="s">
        <v>44</v>
      </c>
      <c r="G350" s="358"/>
      <c r="H350" s="221">
        <f>H351+H354</f>
        <v>19075.7</v>
      </c>
      <c r="I350" s="221">
        <f>I351+I354</f>
        <v>19075.7</v>
      </c>
    </row>
    <row r="351" spans="1:9" ht="36" x14ac:dyDescent="0.35">
      <c r="A351" s="337"/>
      <c r="B351" s="506" t="s">
        <v>95</v>
      </c>
      <c r="C351" s="212" t="s">
        <v>67</v>
      </c>
      <c r="D351" s="213" t="s">
        <v>45</v>
      </c>
      <c r="E351" s="213" t="s">
        <v>37</v>
      </c>
      <c r="F351" s="214" t="s">
        <v>44</v>
      </c>
      <c r="G351" s="358"/>
      <c r="H351" s="221">
        <f>H352</f>
        <v>15776.9</v>
      </c>
      <c r="I351" s="221">
        <f>I352</f>
        <v>15776.9</v>
      </c>
    </row>
    <row r="352" spans="1:9" ht="54" x14ac:dyDescent="0.35">
      <c r="A352" s="337"/>
      <c r="B352" s="542" t="s">
        <v>407</v>
      </c>
      <c r="C352" s="212" t="s">
        <v>67</v>
      </c>
      <c r="D352" s="213" t="s">
        <v>45</v>
      </c>
      <c r="E352" s="213" t="s">
        <v>37</v>
      </c>
      <c r="F352" s="214" t="s">
        <v>61</v>
      </c>
      <c r="G352" s="28"/>
      <c r="H352" s="221">
        <f>H353</f>
        <v>15776.9</v>
      </c>
      <c r="I352" s="221">
        <f>I353</f>
        <v>15776.9</v>
      </c>
    </row>
    <row r="353" spans="1:9" ht="18" x14ac:dyDescent="0.35">
      <c r="A353" s="337"/>
      <c r="B353" s="506" t="s">
        <v>57</v>
      </c>
      <c r="C353" s="212" t="s">
        <v>67</v>
      </c>
      <c r="D353" s="213" t="s">
        <v>45</v>
      </c>
      <c r="E353" s="213" t="s">
        <v>37</v>
      </c>
      <c r="F353" s="214" t="s">
        <v>61</v>
      </c>
      <c r="G353" s="28" t="s">
        <v>58</v>
      </c>
      <c r="H353" s="221">
        <f>'прил10 (ведом 24-25)'!M112</f>
        <v>15776.9</v>
      </c>
      <c r="I353" s="221">
        <f>'прил10 (ведом 24-25)'!N112</f>
        <v>15776.9</v>
      </c>
    </row>
    <row r="354" spans="1:9" ht="54" x14ac:dyDescent="0.35">
      <c r="A354" s="337"/>
      <c r="B354" s="506" t="s">
        <v>96</v>
      </c>
      <c r="C354" s="212" t="s">
        <v>67</v>
      </c>
      <c r="D354" s="213" t="s">
        <v>45</v>
      </c>
      <c r="E354" s="213" t="s">
        <v>39</v>
      </c>
      <c r="F354" s="214" t="s">
        <v>44</v>
      </c>
      <c r="G354" s="28"/>
      <c r="H354" s="221">
        <f>H355</f>
        <v>3298.8</v>
      </c>
      <c r="I354" s="221">
        <f>I355</f>
        <v>3298.8</v>
      </c>
    </row>
    <row r="355" spans="1:9" ht="162" x14ac:dyDescent="0.35">
      <c r="A355" s="337"/>
      <c r="B355" s="507" t="s">
        <v>525</v>
      </c>
      <c r="C355" s="212" t="s">
        <v>67</v>
      </c>
      <c r="D355" s="213" t="s">
        <v>45</v>
      </c>
      <c r="E355" s="213" t="s">
        <v>39</v>
      </c>
      <c r="F355" s="214" t="s">
        <v>97</v>
      </c>
      <c r="G355" s="28"/>
      <c r="H355" s="221">
        <f>H356</f>
        <v>3298.8</v>
      </c>
      <c r="I355" s="221">
        <f>I356</f>
        <v>3298.8</v>
      </c>
    </row>
    <row r="356" spans="1:9" ht="36" x14ac:dyDescent="0.35">
      <c r="A356" s="337"/>
      <c r="B356" s="506" t="s">
        <v>55</v>
      </c>
      <c r="C356" s="212" t="s">
        <v>67</v>
      </c>
      <c r="D356" s="213" t="s">
        <v>45</v>
      </c>
      <c r="E356" s="213" t="s">
        <v>39</v>
      </c>
      <c r="F356" s="214" t="s">
        <v>97</v>
      </c>
      <c r="G356" s="28" t="s">
        <v>56</v>
      </c>
      <c r="H356" s="221">
        <f>'прил10 (ведом 24-25)'!M115</f>
        <v>3298.8</v>
      </c>
      <c r="I356" s="221">
        <f>'прил10 (ведом 24-25)'!N115</f>
        <v>3298.8</v>
      </c>
    </row>
    <row r="357" spans="1:9" ht="18" x14ac:dyDescent="0.35">
      <c r="A357" s="337"/>
      <c r="B357" s="513"/>
      <c r="C357" s="703"/>
      <c r="D357" s="703"/>
      <c r="E357" s="703"/>
      <c r="F357" s="704"/>
      <c r="G357" s="242"/>
      <c r="H357" s="221"/>
      <c r="I357" s="221"/>
    </row>
    <row r="358" spans="1:9" s="347" customFormat="1" ht="52.2" x14ac:dyDescent="0.3">
      <c r="A358" s="352">
        <v>11</v>
      </c>
      <c r="B358" s="518" t="s">
        <v>99</v>
      </c>
      <c r="C358" s="353" t="s">
        <v>100</v>
      </c>
      <c r="D358" s="353" t="s">
        <v>42</v>
      </c>
      <c r="E358" s="353" t="s">
        <v>43</v>
      </c>
      <c r="F358" s="354" t="s">
        <v>44</v>
      </c>
      <c r="G358" s="346"/>
      <c r="H358" s="258">
        <f t="shared" ref="H358:I361" si="5">H359</f>
        <v>6181.8</v>
      </c>
      <c r="I358" s="258">
        <f t="shared" si="5"/>
        <v>6648.8</v>
      </c>
    </row>
    <row r="359" spans="1:9" s="347" customFormat="1" ht="18" x14ac:dyDescent="0.35">
      <c r="A359" s="337"/>
      <c r="B359" s="506" t="s">
        <v>339</v>
      </c>
      <c r="C359" s="212" t="s">
        <v>100</v>
      </c>
      <c r="D359" s="213" t="s">
        <v>45</v>
      </c>
      <c r="E359" s="213" t="s">
        <v>43</v>
      </c>
      <c r="F359" s="214" t="s">
        <v>44</v>
      </c>
      <c r="G359" s="28"/>
      <c r="H359" s="221">
        <f t="shared" si="5"/>
        <v>6181.8</v>
      </c>
      <c r="I359" s="221">
        <f t="shared" si="5"/>
        <v>6648.8</v>
      </c>
    </row>
    <row r="360" spans="1:9" s="347" customFormat="1" ht="72" x14ac:dyDescent="0.35">
      <c r="A360" s="337"/>
      <c r="B360" s="506" t="s">
        <v>101</v>
      </c>
      <c r="C360" s="212" t="s">
        <v>100</v>
      </c>
      <c r="D360" s="213" t="s">
        <v>45</v>
      </c>
      <c r="E360" s="213" t="s">
        <v>37</v>
      </c>
      <c r="F360" s="214" t="s">
        <v>44</v>
      </c>
      <c r="G360" s="28"/>
      <c r="H360" s="221">
        <f t="shared" si="5"/>
        <v>6181.8</v>
      </c>
      <c r="I360" s="221">
        <f t="shared" si="5"/>
        <v>6648.8</v>
      </c>
    </row>
    <row r="361" spans="1:9" s="347" customFormat="1" ht="72" x14ac:dyDescent="0.35">
      <c r="A361" s="337"/>
      <c r="B361" s="514" t="s">
        <v>102</v>
      </c>
      <c r="C361" s="212" t="s">
        <v>100</v>
      </c>
      <c r="D361" s="213" t="s">
        <v>45</v>
      </c>
      <c r="E361" s="213" t="s">
        <v>37</v>
      </c>
      <c r="F361" s="214" t="s">
        <v>103</v>
      </c>
      <c r="G361" s="28"/>
      <c r="H361" s="221">
        <f t="shared" si="5"/>
        <v>6181.8</v>
      </c>
      <c r="I361" s="221">
        <f t="shared" si="5"/>
        <v>6648.8</v>
      </c>
    </row>
    <row r="362" spans="1:9" ht="36" x14ac:dyDescent="0.35">
      <c r="A362" s="337"/>
      <c r="B362" s="506" t="s">
        <v>55</v>
      </c>
      <c r="C362" s="212" t="s">
        <v>100</v>
      </c>
      <c r="D362" s="213" t="s">
        <v>45</v>
      </c>
      <c r="E362" s="213" t="s">
        <v>37</v>
      </c>
      <c r="F362" s="214" t="s">
        <v>103</v>
      </c>
      <c r="G362" s="28" t="s">
        <v>56</v>
      </c>
      <c r="H362" s="221">
        <f>'прил10 (ведом 24-25)'!M121</f>
        <v>6181.8</v>
      </c>
      <c r="I362" s="221">
        <f>'прил10 (ведом 24-25)'!N121</f>
        <v>6648.8</v>
      </c>
    </row>
    <row r="363" spans="1:9" ht="18" x14ac:dyDescent="0.35">
      <c r="A363" s="337"/>
      <c r="B363" s="506"/>
      <c r="C363" s="213"/>
      <c r="D363" s="213"/>
      <c r="E363" s="213"/>
      <c r="F363" s="214"/>
      <c r="G363" s="28"/>
      <c r="H363" s="221"/>
      <c r="I363" s="221"/>
    </row>
    <row r="364" spans="1:9" ht="52.2" x14ac:dyDescent="0.3">
      <c r="A364" s="352">
        <v>12</v>
      </c>
      <c r="B364" s="555" t="s">
        <v>107</v>
      </c>
      <c r="C364" s="396" t="s">
        <v>71</v>
      </c>
      <c r="D364" s="397" t="s">
        <v>42</v>
      </c>
      <c r="E364" s="397" t="s">
        <v>43</v>
      </c>
      <c r="F364" s="398" t="s">
        <v>44</v>
      </c>
      <c r="G364" s="153"/>
      <c r="H364" s="258">
        <f>H369+H365</f>
        <v>1066.0999999999999</v>
      </c>
      <c r="I364" s="258">
        <f>I369+I365</f>
        <v>1066.0999999999999</v>
      </c>
    </row>
    <row r="365" spans="1:9" ht="36" x14ac:dyDescent="0.35">
      <c r="A365" s="352"/>
      <c r="B365" s="523" t="s">
        <v>108</v>
      </c>
      <c r="C365" s="212" t="s">
        <v>71</v>
      </c>
      <c r="D365" s="213" t="s">
        <v>45</v>
      </c>
      <c r="E365" s="213" t="s">
        <v>43</v>
      </c>
      <c r="F365" s="214" t="s">
        <v>44</v>
      </c>
      <c r="G365" s="28"/>
      <c r="H365" s="221">
        <f t="shared" ref="H365:I367" si="6">H366</f>
        <v>340</v>
      </c>
      <c r="I365" s="221">
        <f t="shared" si="6"/>
        <v>340</v>
      </c>
    </row>
    <row r="366" spans="1:9" ht="36" x14ac:dyDescent="0.35">
      <c r="A366" s="352"/>
      <c r="B366" s="507" t="s">
        <v>109</v>
      </c>
      <c r="C366" s="212" t="s">
        <v>71</v>
      </c>
      <c r="D366" s="213" t="s">
        <v>45</v>
      </c>
      <c r="E366" s="213" t="s">
        <v>37</v>
      </c>
      <c r="F366" s="214" t="s">
        <v>44</v>
      </c>
      <c r="G366" s="28"/>
      <c r="H366" s="221">
        <f t="shared" si="6"/>
        <v>340</v>
      </c>
      <c r="I366" s="221">
        <f t="shared" si="6"/>
        <v>340</v>
      </c>
    </row>
    <row r="367" spans="1:9" ht="36" x14ac:dyDescent="0.35">
      <c r="A367" s="352"/>
      <c r="B367" s="523" t="s">
        <v>110</v>
      </c>
      <c r="C367" s="212" t="s">
        <v>71</v>
      </c>
      <c r="D367" s="213" t="s">
        <v>45</v>
      </c>
      <c r="E367" s="213" t="s">
        <v>37</v>
      </c>
      <c r="F367" s="214" t="s">
        <v>111</v>
      </c>
      <c r="G367" s="28"/>
      <c r="H367" s="221">
        <f t="shared" si="6"/>
        <v>340</v>
      </c>
      <c r="I367" s="221">
        <f t="shared" si="6"/>
        <v>340</v>
      </c>
    </row>
    <row r="368" spans="1:9" ht="36" x14ac:dyDescent="0.35">
      <c r="A368" s="352"/>
      <c r="B368" s="507" t="s">
        <v>55</v>
      </c>
      <c r="C368" s="212" t="s">
        <v>71</v>
      </c>
      <c r="D368" s="213" t="s">
        <v>45</v>
      </c>
      <c r="E368" s="213" t="s">
        <v>37</v>
      </c>
      <c r="F368" s="214" t="s">
        <v>111</v>
      </c>
      <c r="G368" s="28" t="s">
        <v>56</v>
      </c>
      <c r="H368" s="221">
        <f>'прил10 (ведом 24-25)'!M127</f>
        <v>340</v>
      </c>
      <c r="I368" s="221">
        <f>'прил10 (ведом 24-25)'!N127</f>
        <v>340</v>
      </c>
    </row>
    <row r="369" spans="1:9" ht="36" x14ac:dyDescent="0.35">
      <c r="A369" s="337"/>
      <c r="B369" s="523" t="s">
        <v>112</v>
      </c>
      <c r="C369" s="212" t="s">
        <v>71</v>
      </c>
      <c r="D369" s="213" t="s">
        <v>89</v>
      </c>
      <c r="E369" s="213" t="s">
        <v>43</v>
      </c>
      <c r="F369" s="214" t="s">
        <v>44</v>
      </c>
      <c r="G369" s="28"/>
      <c r="H369" s="221">
        <f t="shared" ref="H369:I371" si="7">H370</f>
        <v>726.1</v>
      </c>
      <c r="I369" s="221">
        <f t="shared" si="7"/>
        <v>726.1</v>
      </c>
    </row>
    <row r="370" spans="1:9" ht="36" x14ac:dyDescent="0.35">
      <c r="A370" s="337"/>
      <c r="B370" s="523" t="s">
        <v>113</v>
      </c>
      <c r="C370" s="212" t="s">
        <v>71</v>
      </c>
      <c r="D370" s="213" t="s">
        <v>89</v>
      </c>
      <c r="E370" s="213" t="s">
        <v>37</v>
      </c>
      <c r="F370" s="214" t="s">
        <v>44</v>
      </c>
      <c r="G370" s="28"/>
      <c r="H370" s="221">
        <f t="shared" si="7"/>
        <v>726.1</v>
      </c>
      <c r="I370" s="221">
        <f t="shared" si="7"/>
        <v>726.1</v>
      </c>
    </row>
    <row r="371" spans="1:9" ht="72" x14ac:dyDescent="0.35">
      <c r="A371" s="337"/>
      <c r="B371" s="523" t="s">
        <v>114</v>
      </c>
      <c r="C371" s="212" t="s">
        <v>71</v>
      </c>
      <c r="D371" s="213" t="s">
        <v>89</v>
      </c>
      <c r="E371" s="213" t="s">
        <v>37</v>
      </c>
      <c r="F371" s="214" t="s">
        <v>115</v>
      </c>
      <c r="G371" s="28"/>
      <c r="H371" s="221">
        <f t="shared" si="7"/>
        <v>726.1</v>
      </c>
      <c r="I371" s="221">
        <f t="shared" si="7"/>
        <v>726.1</v>
      </c>
    </row>
    <row r="372" spans="1:9" ht="36" x14ac:dyDescent="0.35">
      <c r="A372" s="337"/>
      <c r="B372" s="507" t="s">
        <v>55</v>
      </c>
      <c r="C372" s="212" t="s">
        <v>71</v>
      </c>
      <c r="D372" s="213" t="s">
        <v>89</v>
      </c>
      <c r="E372" s="213" t="s">
        <v>37</v>
      </c>
      <c r="F372" s="214" t="s">
        <v>115</v>
      </c>
      <c r="G372" s="28" t="s">
        <v>56</v>
      </c>
      <c r="H372" s="221">
        <f>'прил10 (ведом 24-25)'!M131</f>
        <v>726.1</v>
      </c>
      <c r="I372" s="221">
        <f>'прил10 (ведом 24-25)'!N131</f>
        <v>726.1</v>
      </c>
    </row>
    <row r="373" spans="1:9" ht="18" x14ac:dyDescent="0.35">
      <c r="A373" s="337"/>
      <c r="B373" s="507"/>
      <c r="C373" s="213"/>
      <c r="D373" s="213"/>
      <c r="E373" s="213"/>
      <c r="F373" s="214"/>
      <c r="G373" s="28"/>
      <c r="H373" s="221"/>
      <c r="I373" s="221"/>
    </row>
    <row r="374" spans="1:9" ht="52.2" x14ac:dyDescent="0.3">
      <c r="A374" s="352">
        <v>13</v>
      </c>
      <c r="B374" s="555" t="s">
        <v>116</v>
      </c>
      <c r="C374" s="396" t="s">
        <v>88</v>
      </c>
      <c r="D374" s="397" t="s">
        <v>42</v>
      </c>
      <c r="E374" s="397" t="s">
        <v>43</v>
      </c>
      <c r="F374" s="398" t="s">
        <v>44</v>
      </c>
      <c r="G374" s="153"/>
      <c r="H374" s="258">
        <f t="shared" ref="H374:I375" si="8">H375</f>
        <v>50</v>
      </c>
      <c r="I374" s="258">
        <f t="shared" si="8"/>
        <v>50</v>
      </c>
    </row>
    <row r="375" spans="1:9" ht="18" x14ac:dyDescent="0.35">
      <c r="A375" s="337"/>
      <c r="B375" s="507" t="s">
        <v>339</v>
      </c>
      <c r="C375" s="212" t="s">
        <v>88</v>
      </c>
      <c r="D375" s="213" t="s">
        <v>45</v>
      </c>
      <c r="E375" s="213" t="s">
        <v>43</v>
      </c>
      <c r="F375" s="214" t="s">
        <v>44</v>
      </c>
      <c r="G375" s="28"/>
      <c r="H375" s="221">
        <f t="shared" si="8"/>
        <v>50</v>
      </c>
      <c r="I375" s="221">
        <f t="shared" si="8"/>
        <v>50</v>
      </c>
    </row>
    <row r="376" spans="1:9" ht="54" x14ac:dyDescent="0.35">
      <c r="A376" s="337"/>
      <c r="B376" s="523" t="s">
        <v>307</v>
      </c>
      <c r="C376" s="212" t="s">
        <v>88</v>
      </c>
      <c r="D376" s="213" t="s">
        <v>45</v>
      </c>
      <c r="E376" s="213" t="s">
        <v>37</v>
      </c>
      <c r="F376" s="214" t="s">
        <v>44</v>
      </c>
      <c r="G376" s="28"/>
      <c r="H376" s="221">
        <f>H377</f>
        <v>50</v>
      </c>
      <c r="I376" s="221">
        <f>I377</f>
        <v>50</v>
      </c>
    </row>
    <row r="377" spans="1:9" ht="54" x14ac:dyDescent="0.35">
      <c r="A377" s="337"/>
      <c r="B377" s="523" t="s">
        <v>117</v>
      </c>
      <c r="C377" s="212" t="s">
        <v>88</v>
      </c>
      <c r="D377" s="213" t="s">
        <v>45</v>
      </c>
      <c r="E377" s="213" t="s">
        <v>37</v>
      </c>
      <c r="F377" s="214" t="s">
        <v>118</v>
      </c>
      <c r="G377" s="28"/>
      <c r="H377" s="221">
        <f>H378</f>
        <v>50</v>
      </c>
      <c r="I377" s="221">
        <f>I378</f>
        <v>50</v>
      </c>
    </row>
    <row r="378" spans="1:9" ht="36" x14ac:dyDescent="0.35">
      <c r="A378" s="337"/>
      <c r="B378" s="507" t="s">
        <v>55</v>
      </c>
      <c r="C378" s="212" t="s">
        <v>88</v>
      </c>
      <c r="D378" s="213" t="s">
        <v>45</v>
      </c>
      <c r="E378" s="213" t="s">
        <v>37</v>
      </c>
      <c r="F378" s="214" t="s">
        <v>118</v>
      </c>
      <c r="G378" s="28" t="s">
        <v>56</v>
      </c>
      <c r="H378" s="221">
        <f>'прил10 (ведом 24-25)'!M136</f>
        <v>50</v>
      </c>
      <c r="I378" s="221">
        <f>'прил10 (ведом 24-25)'!N136</f>
        <v>50</v>
      </c>
    </row>
    <row r="379" spans="1:9" ht="18" x14ac:dyDescent="0.35">
      <c r="A379" s="337"/>
      <c r="B379" s="507"/>
      <c r="C379" s="213"/>
      <c r="D379" s="213"/>
      <c r="E379" s="213"/>
      <c r="F379" s="214"/>
      <c r="G379" s="28"/>
      <c r="H379" s="221"/>
      <c r="I379" s="221"/>
    </row>
    <row r="380" spans="1:9" ht="69.599999999999994" x14ac:dyDescent="0.3">
      <c r="A380" s="352">
        <v>14</v>
      </c>
      <c r="B380" s="518" t="s">
        <v>72</v>
      </c>
      <c r="C380" s="353" t="s">
        <v>73</v>
      </c>
      <c r="D380" s="353" t="s">
        <v>42</v>
      </c>
      <c r="E380" s="353" t="s">
        <v>43</v>
      </c>
      <c r="F380" s="354" t="s">
        <v>44</v>
      </c>
      <c r="G380" s="346"/>
      <c r="H380" s="258">
        <f t="shared" ref="H380:I383" si="9">H381</f>
        <v>1517.4</v>
      </c>
      <c r="I380" s="258">
        <f t="shared" si="9"/>
        <v>1517.4</v>
      </c>
    </row>
    <row r="381" spans="1:9" ht="18" x14ac:dyDescent="0.35">
      <c r="A381" s="337"/>
      <c r="B381" s="506" t="s">
        <v>339</v>
      </c>
      <c r="C381" s="212" t="s">
        <v>73</v>
      </c>
      <c r="D381" s="213" t="s">
        <v>45</v>
      </c>
      <c r="E381" s="213" t="s">
        <v>43</v>
      </c>
      <c r="F381" s="214" t="s">
        <v>44</v>
      </c>
      <c r="G381" s="28"/>
      <c r="H381" s="221">
        <f t="shared" si="9"/>
        <v>1517.4</v>
      </c>
      <c r="I381" s="221">
        <f t="shared" si="9"/>
        <v>1517.4</v>
      </c>
    </row>
    <row r="382" spans="1:9" ht="36" x14ac:dyDescent="0.35">
      <c r="A382" s="337"/>
      <c r="B382" s="522" t="s">
        <v>266</v>
      </c>
      <c r="C382" s="212" t="s">
        <v>73</v>
      </c>
      <c r="D382" s="213" t="s">
        <v>45</v>
      </c>
      <c r="E382" s="213" t="s">
        <v>37</v>
      </c>
      <c r="F382" s="214" t="s">
        <v>44</v>
      </c>
      <c r="G382" s="28"/>
      <c r="H382" s="221">
        <f t="shared" si="9"/>
        <v>1517.4</v>
      </c>
      <c r="I382" s="221">
        <f t="shared" si="9"/>
        <v>1517.4</v>
      </c>
    </row>
    <row r="383" spans="1:9" ht="36" x14ac:dyDescent="0.35">
      <c r="A383" s="337"/>
      <c r="B383" s="522" t="s">
        <v>74</v>
      </c>
      <c r="C383" s="212" t="s">
        <v>73</v>
      </c>
      <c r="D383" s="213" t="s">
        <v>45</v>
      </c>
      <c r="E383" s="213" t="s">
        <v>37</v>
      </c>
      <c r="F383" s="214" t="s">
        <v>75</v>
      </c>
      <c r="G383" s="28"/>
      <c r="H383" s="221">
        <f t="shared" si="9"/>
        <v>1517.4</v>
      </c>
      <c r="I383" s="221">
        <f t="shared" si="9"/>
        <v>1517.4</v>
      </c>
    </row>
    <row r="384" spans="1:9" ht="36" x14ac:dyDescent="0.35">
      <c r="A384" s="337"/>
      <c r="B384" s="509" t="s">
        <v>76</v>
      </c>
      <c r="C384" s="212" t="s">
        <v>73</v>
      </c>
      <c r="D384" s="213" t="s">
        <v>45</v>
      </c>
      <c r="E384" s="213" t="s">
        <v>37</v>
      </c>
      <c r="F384" s="214" t="s">
        <v>75</v>
      </c>
      <c r="G384" s="28" t="s">
        <v>77</v>
      </c>
      <c r="H384" s="221">
        <f>'прил10 (ведом 24-25)'!M62+'прил10 (ведом 24-25)'!M168</f>
        <v>1517.4</v>
      </c>
      <c r="I384" s="221">
        <f>'прил10 (ведом 24-25)'!N62+'прил10 (ведом 24-25)'!N168</f>
        <v>1517.4</v>
      </c>
    </row>
    <row r="385" spans="1:9" ht="18" x14ac:dyDescent="0.35">
      <c r="A385" s="337"/>
      <c r="B385" s="513"/>
      <c r="C385" s="703"/>
      <c r="D385" s="703"/>
      <c r="E385" s="703"/>
      <c r="F385" s="704"/>
      <c r="G385" s="242"/>
      <c r="H385" s="221"/>
      <c r="I385" s="221"/>
    </row>
    <row r="386" spans="1:9" s="347" customFormat="1" ht="52.2" x14ac:dyDescent="0.3">
      <c r="A386" s="352">
        <v>15</v>
      </c>
      <c r="B386" s="518" t="s">
        <v>40</v>
      </c>
      <c r="C386" s="353" t="s">
        <v>41</v>
      </c>
      <c r="D386" s="353" t="s">
        <v>42</v>
      </c>
      <c r="E386" s="353" t="s">
        <v>43</v>
      </c>
      <c r="F386" s="354" t="s">
        <v>44</v>
      </c>
      <c r="G386" s="346"/>
      <c r="H386" s="258">
        <f>H387</f>
        <v>129777.50000000001</v>
      </c>
      <c r="I386" s="258">
        <f>I387</f>
        <v>128614.80000000002</v>
      </c>
    </row>
    <row r="387" spans="1:9" s="347" customFormat="1" ht="18" x14ac:dyDescent="0.35">
      <c r="A387" s="337"/>
      <c r="B387" s="506" t="s">
        <v>339</v>
      </c>
      <c r="C387" s="212" t="s">
        <v>41</v>
      </c>
      <c r="D387" s="213" t="s">
        <v>45</v>
      </c>
      <c r="E387" s="213" t="s">
        <v>43</v>
      </c>
      <c r="F387" s="214" t="s">
        <v>44</v>
      </c>
      <c r="G387" s="28"/>
      <c r="H387" s="221">
        <f>H388+H391+H421+H408+H416+H428+H425</f>
        <v>129777.50000000001</v>
      </c>
      <c r="I387" s="221">
        <f>I388+I391+I421+I408+I416+I428+I425</f>
        <v>128614.80000000002</v>
      </c>
    </row>
    <row r="388" spans="1:9" s="347" customFormat="1" ht="36" x14ac:dyDescent="0.35">
      <c r="A388" s="337"/>
      <c r="B388" s="506" t="s">
        <v>46</v>
      </c>
      <c r="C388" s="212" t="s">
        <v>41</v>
      </c>
      <c r="D388" s="213" t="s">
        <v>45</v>
      </c>
      <c r="E388" s="213" t="s">
        <v>37</v>
      </c>
      <c r="F388" s="214" t="s">
        <v>44</v>
      </c>
      <c r="G388" s="28"/>
      <c r="H388" s="221">
        <f>H389</f>
        <v>2612.1999999999998</v>
      </c>
      <c r="I388" s="221">
        <f>I389</f>
        <v>2612.1999999999998</v>
      </c>
    </row>
    <row r="389" spans="1:9" s="347" customFormat="1" ht="36" x14ac:dyDescent="0.35">
      <c r="A389" s="337"/>
      <c r="B389" s="506" t="s">
        <v>47</v>
      </c>
      <c r="C389" s="212" t="s">
        <v>41</v>
      </c>
      <c r="D389" s="213" t="s">
        <v>45</v>
      </c>
      <c r="E389" s="213" t="s">
        <v>37</v>
      </c>
      <c r="F389" s="214" t="s">
        <v>48</v>
      </c>
      <c r="G389" s="28"/>
      <c r="H389" s="221">
        <f>H390</f>
        <v>2612.1999999999998</v>
      </c>
      <c r="I389" s="221">
        <f>I390</f>
        <v>2612.1999999999998</v>
      </c>
    </row>
    <row r="390" spans="1:9" s="347" customFormat="1" ht="90" x14ac:dyDescent="0.35">
      <c r="A390" s="337"/>
      <c r="B390" s="506" t="s">
        <v>49</v>
      </c>
      <c r="C390" s="212" t="s">
        <v>41</v>
      </c>
      <c r="D390" s="213" t="s">
        <v>45</v>
      </c>
      <c r="E390" s="213" t="s">
        <v>37</v>
      </c>
      <c r="F390" s="214" t="s">
        <v>48</v>
      </c>
      <c r="G390" s="28" t="s">
        <v>50</v>
      </c>
      <c r="H390" s="221">
        <f>'прил10 (ведом 24-25)'!M24</f>
        <v>2612.1999999999998</v>
      </c>
      <c r="I390" s="221">
        <f>'прил10 (ведом 24-25)'!N24</f>
        <v>2612.1999999999998</v>
      </c>
    </row>
    <row r="391" spans="1:9" s="347" customFormat="1" ht="36" x14ac:dyDescent="0.35">
      <c r="A391" s="337"/>
      <c r="B391" s="506" t="s">
        <v>54</v>
      </c>
      <c r="C391" s="212" t="s">
        <v>41</v>
      </c>
      <c r="D391" s="213" t="s">
        <v>45</v>
      </c>
      <c r="E391" s="213" t="s">
        <v>39</v>
      </c>
      <c r="F391" s="214" t="s">
        <v>44</v>
      </c>
      <c r="G391" s="28"/>
      <c r="H391" s="221">
        <f>H392+H398+H400+H402+H396+H405</f>
        <v>83377.800000000017</v>
      </c>
      <c r="I391" s="221">
        <f>I392+I398+I400+I402+I396+I405</f>
        <v>83411.200000000012</v>
      </c>
    </row>
    <row r="392" spans="1:9" s="347" customFormat="1" ht="36" x14ac:dyDescent="0.35">
      <c r="A392" s="337"/>
      <c r="B392" s="506" t="s">
        <v>47</v>
      </c>
      <c r="C392" s="212" t="s">
        <v>41</v>
      </c>
      <c r="D392" s="213" t="s">
        <v>45</v>
      </c>
      <c r="E392" s="213" t="s">
        <v>39</v>
      </c>
      <c r="F392" s="214" t="s">
        <v>48</v>
      </c>
      <c r="G392" s="28"/>
      <c r="H392" s="221">
        <f>SUM(H393:H395)</f>
        <v>77728.5</v>
      </c>
      <c r="I392" s="221">
        <f>SUM(I393:I395)</f>
        <v>77764.5</v>
      </c>
    </row>
    <row r="393" spans="1:9" s="347" customFormat="1" ht="90" x14ac:dyDescent="0.35">
      <c r="A393" s="337"/>
      <c r="B393" s="506" t="s">
        <v>49</v>
      </c>
      <c r="C393" s="212" t="s">
        <v>41</v>
      </c>
      <c r="D393" s="213" t="s">
        <v>45</v>
      </c>
      <c r="E393" s="213" t="s">
        <v>39</v>
      </c>
      <c r="F393" s="214" t="s">
        <v>48</v>
      </c>
      <c r="G393" s="28" t="s">
        <v>50</v>
      </c>
      <c r="H393" s="221">
        <f>'прил10 (ведом 24-25)'!M30</f>
        <v>76888.3</v>
      </c>
      <c r="I393" s="221">
        <f>'прил10 (ведом 24-25)'!N30</f>
        <v>76888.3</v>
      </c>
    </row>
    <row r="394" spans="1:9" ht="36" x14ac:dyDescent="0.35">
      <c r="A394" s="337"/>
      <c r="B394" s="506" t="s">
        <v>55</v>
      </c>
      <c r="C394" s="212" t="s">
        <v>41</v>
      </c>
      <c r="D394" s="213" t="s">
        <v>45</v>
      </c>
      <c r="E394" s="213" t="s">
        <v>39</v>
      </c>
      <c r="F394" s="214" t="s">
        <v>48</v>
      </c>
      <c r="G394" s="28" t="s">
        <v>56</v>
      </c>
      <c r="H394" s="221">
        <f>'прил10 (ведом 24-25)'!M31</f>
        <v>817.3</v>
      </c>
      <c r="I394" s="221">
        <f>'прил10 (ведом 24-25)'!N31</f>
        <v>853.3</v>
      </c>
    </row>
    <row r="395" spans="1:9" ht="18" x14ac:dyDescent="0.35">
      <c r="A395" s="337"/>
      <c r="B395" s="507" t="s">
        <v>57</v>
      </c>
      <c r="C395" s="212" t="s">
        <v>41</v>
      </c>
      <c r="D395" s="213" t="s">
        <v>45</v>
      </c>
      <c r="E395" s="213" t="s">
        <v>39</v>
      </c>
      <c r="F395" s="214" t="s">
        <v>48</v>
      </c>
      <c r="G395" s="28" t="s">
        <v>58</v>
      </c>
      <c r="H395" s="221">
        <f>'прил10 (ведом 24-25)'!M32</f>
        <v>22.9</v>
      </c>
      <c r="I395" s="221">
        <f>'прил10 (ведом 24-25)'!N32</f>
        <v>22.9</v>
      </c>
    </row>
    <row r="396" spans="1:9" s="347" customFormat="1" ht="72" x14ac:dyDescent="0.35">
      <c r="A396" s="337"/>
      <c r="B396" s="507" t="s">
        <v>385</v>
      </c>
      <c r="C396" s="212" t="s">
        <v>41</v>
      </c>
      <c r="D396" s="213" t="s">
        <v>45</v>
      </c>
      <c r="E396" s="213" t="s">
        <v>39</v>
      </c>
      <c r="F396" s="214" t="s">
        <v>384</v>
      </c>
      <c r="G396" s="28"/>
      <c r="H396" s="221">
        <f>H397</f>
        <v>20.3</v>
      </c>
      <c r="I396" s="221">
        <f>I397</f>
        <v>17.7</v>
      </c>
    </row>
    <row r="397" spans="1:9" s="347" customFormat="1" ht="36" x14ac:dyDescent="0.35">
      <c r="A397" s="337"/>
      <c r="B397" s="507" t="s">
        <v>55</v>
      </c>
      <c r="C397" s="212" t="s">
        <v>41</v>
      </c>
      <c r="D397" s="213" t="s">
        <v>45</v>
      </c>
      <c r="E397" s="213" t="s">
        <v>39</v>
      </c>
      <c r="F397" s="214" t="s">
        <v>384</v>
      </c>
      <c r="G397" s="28" t="s">
        <v>56</v>
      </c>
      <c r="H397" s="221">
        <f>'прил10 (ведом 24-25)'!M51</f>
        <v>20.3</v>
      </c>
      <c r="I397" s="221">
        <f>'прил10 (ведом 24-25)'!N51</f>
        <v>17.7</v>
      </c>
    </row>
    <row r="398" spans="1:9" ht="72" x14ac:dyDescent="0.35">
      <c r="A398" s="337"/>
      <c r="B398" s="506" t="s">
        <v>443</v>
      </c>
      <c r="C398" s="212" t="s">
        <v>41</v>
      </c>
      <c r="D398" s="213" t="s">
        <v>45</v>
      </c>
      <c r="E398" s="213" t="s">
        <v>39</v>
      </c>
      <c r="F398" s="214" t="s">
        <v>265</v>
      </c>
      <c r="G398" s="28"/>
      <c r="H398" s="221">
        <f>H399</f>
        <v>63</v>
      </c>
      <c r="I398" s="221">
        <f>I399</f>
        <v>63</v>
      </c>
    </row>
    <row r="399" spans="1:9" ht="36" x14ac:dyDescent="0.35">
      <c r="A399" s="337"/>
      <c r="B399" s="506" t="s">
        <v>55</v>
      </c>
      <c r="C399" s="212" t="s">
        <v>41</v>
      </c>
      <c r="D399" s="213" t="s">
        <v>45</v>
      </c>
      <c r="E399" s="213" t="s">
        <v>39</v>
      </c>
      <c r="F399" s="214" t="s">
        <v>265</v>
      </c>
      <c r="G399" s="28" t="s">
        <v>56</v>
      </c>
      <c r="H399" s="221">
        <f>'прил10 (ведом 24-25)'!M34</f>
        <v>63</v>
      </c>
      <c r="I399" s="221">
        <f>'прил10 (ведом 24-25)'!N34</f>
        <v>63</v>
      </c>
    </row>
    <row r="400" spans="1:9" ht="162" x14ac:dyDescent="0.35">
      <c r="A400" s="337"/>
      <c r="B400" s="542" t="s">
        <v>451</v>
      </c>
      <c r="C400" s="212" t="s">
        <v>41</v>
      </c>
      <c r="D400" s="213" t="s">
        <v>45</v>
      </c>
      <c r="E400" s="213" t="s">
        <v>39</v>
      </c>
      <c r="F400" s="214" t="s">
        <v>59</v>
      </c>
      <c r="G400" s="28"/>
      <c r="H400" s="221">
        <f>H401</f>
        <v>749.1</v>
      </c>
      <c r="I400" s="221">
        <f>I401</f>
        <v>749.1</v>
      </c>
    </row>
    <row r="401" spans="1:9" ht="90" x14ac:dyDescent="0.35">
      <c r="A401" s="337"/>
      <c r="B401" s="507" t="s">
        <v>49</v>
      </c>
      <c r="C401" s="212" t="s">
        <v>41</v>
      </c>
      <c r="D401" s="213" t="s">
        <v>45</v>
      </c>
      <c r="E401" s="213" t="s">
        <v>39</v>
      </c>
      <c r="F401" s="214" t="s">
        <v>59</v>
      </c>
      <c r="G401" s="28" t="s">
        <v>50</v>
      </c>
      <c r="H401" s="221">
        <f>'прил10 (ведом 24-25)'!M36</f>
        <v>749.1</v>
      </c>
      <c r="I401" s="221">
        <f>'прил10 (ведом 24-25)'!N36</f>
        <v>749.1</v>
      </c>
    </row>
    <row r="402" spans="1:9" ht="54" x14ac:dyDescent="0.35">
      <c r="A402" s="337"/>
      <c r="B402" s="507" t="s">
        <v>407</v>
      </c>
      <c r="C402" s="212" t="s">
        <v>41</v>
      </c>
      <c r="D402" s="213" t="s">
        <v>45</v>
      </c>
      <c r="E402" s="213" t="s">
        <v>39</v>
      </c>
      <c r="F402" s="214" t="s">
        <v>61</v>
      </c>
      <c r="G402" s="28"/>
      <c r="H402" s="221">
        <f>H403+H404</f>
        <v>749.30000000000007</v>
      </c>
      <c r="I402" s="221">
        <f>I403+I404</f>
        <v>749.30000000000007</v>
      </c>
    </row>
    <row r="403" spans="1:9" ht="90" x14ac:dyDescent="0.35">
      <c r="A403" s="337"/>
      <c r="B403" s="507" t="s">
        <v>49</v>
      </c>
      <c r="C403" s="212" t="s">
        <v>41</v>
      </c>
      <c r="D403" s="213" t="s">
        <v>45</v>
      </c>
      <c r="E403" s="213" t="s">
        <v>39</v>
      </c>
      <c r="F403" s="214" t="s">
        <v>61</v>
      </c>
      <c r="G403" s="28" t="s">
        <v>50</v>
      </c>
      <c r="H403" s="221">
        <f>'прил10 (ведом 24-25)'!M38</f>
        <v>745.1</v>
      </c>
      <c r="I403" s="221">
        <f>'прил10 (ведом 24-25)'!N38</f>
        <v>745.1</v>
      </c>
    </row>
    <row r="404" spans="1:9" ht="36" x14ac:dyDescent="0.35">
      <c r="A404" s="337"/>
      <c r="B404" s="506" t="s">
        <v>55</v>
      </c>
      <c r="C404" s="212" t="s">
        <v>41</v>
      </c>
      <c r="D404" s="213" t="s">
        <v>45</v>
      </c>
      <c r="E404" s="213" t="s">
        <v>39</v>
      </c>
      <c r="F404" s="214" t="s">
        <v>61</v>
      </c>
      <c r="G404" s="28" t="s">
        <v>56</v>
      </c>
      <c r="H404" s="221">
        <f>'прил10 (ведом 24-25)'!M39</f>
        <v>4.2</v>
      </c>
      <c r="I404" s="221">
        <f>'прил10 (ведом 24-25)'!N39</f>
        <v>4.2</v>
      </c>
    </row>
    <row r="405" spans="1:9" ht="72" x14ac:dyDescent="0.35">
      <c r="A405" s="337"/>
      <c r="B405" s="506" t="s">
        <v>60</v>
      </c>
      <c r="C405" s="212" t="s">
        <v>41</v>
      </c>
      <c r="D405" s="213" t="s">
        <v>45</v>
      </c>
      <c r="E405" s="213" t="s">
        <v>39</v>
      </c>
      <c r="F405" s="214" t="s">
        <v>539</v>
      </c>
      <c r="G405" s="28"/>
      <c r="H405" s="221">
        <f>H406+H407</f>
        <v>4067.6</v>
      </c>
      <c r="I405" s="221">
        <f>I406+I407</f>
        <v>4067.6</v>
      </c>
    </row>
    <row r="406" spans="1:9" ht="90" x14ac:dyDescent="0.35">
      <c r="A406" s="337"/>
      <c r="B406" s="506" t="s">
        <v>49</v>
      </c>
      <c r="C406" s="212" t="s">
        <v>41</v>
      </c>
      <c r="D406" s="213" t="s">
        <v>45</v>
      </c>
      <c r="E406" s="213" t="s">
        <v>39</v>
      </c>
      <c r="F406" s="214" t="s">
        <v>539</v>
      </c>
      <c r="G406" s="28" t="s">
        <v>50</v>
      </c>
      <c r="H406" s="221">
        <f>'прил10 (ведом 24-25)'!M41</f>
        <v>4000.1</v>
      </c>
      <c r="I406" s="221">
        <f>'прил10 (ведом 24-25)'!N41</f>
        <v>4000.1</v>
      </c>
    </row>
    <row r="407" spans="1:9" ht="36" x14ac:dyDescent="0.35">
      <c r="A407" s="337"/>
      <c r="B407" s="506" t="s">
        <v>55</v>
      </c>
      <c r="C407" s="213" t="s">
        <v>41</v>
      </c>
      <c r="D407" s="213" t="s">
        <v>45</v>
      </c>
      <c r="E407" s="213" t="s">
        <v>39</v>
      </c>
      <c r="F407" s="214" t="s">
        <v>539</v>
      </c>
      <c r="G407" s="28" t="s">
        <v>56</v>
      </c>
      <c r="H407" s="221">
        <f>'прил10 (ведом 24-25)'!M42</f>
        <v>67.5</v>
      </c>
      <c r="I407" s="221">
        <f>'прил10 (ведом 24-25)'!N42</f>
        <v>67.5</v>
      </c>
    </row>
    <row r="408" spans="1:9" ht="18" x14ac:dyDescent="0.35">
      <c r="A408" s="337"/>
      <c r="B408" s="507" t="s">
        <v>62</v>
      </c>
      <c r="C408" s="212" t="s">
        <v>41</v>
      </c>
      <c r="D408" s="213" t="s">
        <v>45</v>
      </c>
      <c r="E408" s="213" t="s">
        <v>63</v>
      </c>
      <c r="F408" s="214" t="s">
        <v>44</v>
      </c>
      <c r="G408" s="28"/>
      <c r="H408" s="221">
        <f>H409+H413+H411</f>
        <v>2510.3000000000002</v>
      </c>
      <c r="I408" s="221">
        <f>I409+I413+I411</f>
        <v>2510.3000000000002</v>
      </c>
    </row>
    <row r="409" spans="1:9" ht="36" x14ac:dyDescent="0.35">
      <c r="A409" s="337"/>
      <c r="B409" s="507" t="s">
        <v>47</v>
      </c>
      <c r="C409" s="212" t="s">
        <v>41</v>
      </c>
      <c r="D409" s="213" t="s">
        <v>45</v>
      </c>
      <c r="E409" s="213" t="s">
        <v>63</v>
      </c>
      <c r="F409" s="214" t="s">
        <v>48</v>
      </c>
      <c r="G409" s="28"/>
      <c r="H409" s="221">
        <f>H410</f>
        <v>4.5</v>
      </c>
      <c r="I409" s="221">
        <f>I410</f>
        <v>4.5</v>
      </c>
    </row>
    <row r="410" spans="1:9" ht="36" x14ac:dyDescent="0.35">
      <c r="A410" s="337"/>
      <c r="B410" s="507" t="s">
        <v>55</v>
      </c>
      <c r="C410" s="212" t="s">
        <v>41</v>
      </c>
      <c r="D410" s="213" t="s">
        <v>45</v>
      </c>
      <c r="E410" s="213" t="s">
        <v>63</v>
      </c>
      <c r="F410" s="214" t="s">
        <v>48</v>
      </c>
      <c r="G410" s="28" t="s">
        <v>56</v>
      </c>
      <c r="H410" s="221">
        <f>'прил10 (ведом 24-25)'!M45</f>
        <v>4.5</v>
      </c>
      <c r="I410" s="221">
        <f>'прил10 (ведом 24-25)'!N45</f>
        <v>4.5</v>
      </c>
    </row>
    <row r="411" spans="1:9" ht="36" x14ac:dyDescent="0.35">
      <c r="A411" s="337"/>
      <c r="B411" s="510" t="s">
        <v>532</v>
      </c>
      <c r="C411" s="709" t="s">
        <v>41</v>
      </c>
      <c r="D411" s="710" t="s">
        <v>45</v>
      </c>
      <c r="E411" s="710" t="s">
        <v>63</v>
      </c>
      <c r="F411" s="711" t="s">
        <v>531</v>
      </c>
      <c r="G411" s="10"/>
      <c r="H411" s="221">
        <f>H412</f>
        <v>91.9</v>
      </c>
      <c r="I411" s="221">
        <f>I412</f>
        <v>91.9</v>
      </c>
    </row>
    <row r="412" spans="1:9" ht="36" x14ac:dyDescent="0.35">
      <c r="A412" s="337"/>
      <c r="B412" s="510" t="s">
        <v>55</v>
      </c>
      <c r="C412" s="709" t="s">
        <v>41</v>
      </c>
      <c r="D412" s="710" t="s">
        <v>45</v>
      </c>
      <c r="E412" s="710" t="s">
        <v>63</v>
      </c>
      <c r="F412" s="711" t="s">
        <v>531</v>
      </c>
      <c r="G412" s="10" t="s">
        <v>56</v>
      </c>
      <c r="H412" s="221">
        <f>'прил10 (ведом 24-25)'!M155</f>
        <v>91.9</v>
      </c>
      <c r="I412" s="221">
        <f>'прил10 (ведом 24-25)'!N155</f>
        <v>91.9</v>
      </c>
    </row>
    <row r="413" spans="1:9" ht="54" x14ac:dyDescent="0.35">
      <c r="A413" s="337"/>
      <c r="B413" s="515" t="s">
        <v>379</v>
      </c>
      <c r="C413" s="212" t="s">
        <v>41</v>
      </c>
      <c r="D413" s="213" t="s">
        <v>45</v>
      </c>
      <c r="E413" s="213" t="s">
        <v>63</v>
      </c>
      <c r="F413" s="214" t="s">
        <v>378</v>
      </c>
      <c r="G413" s="28"/>
      <c r="H413" s="221">
        <f>H414+H415</f>
        <v>2413.9</v>
      </c>
      <c r="I413" s="221">
        <f>I414+I415</f>
        <v>2413.9</v>
      </c>
    </row>
    <row r="414" spans="1:9" ht="36" x14ac:dyDescent="0.35">
      <c r="A414" s="337"/>
      <c r="B414" s="507" t="s">
        <v>55</v>
      </c>
      <c r="C414" s="212" t="s">
        <v>41</v>
      </c>
      <c r="D414" s="213" t="s">
        <v>45</v>
      </c>
      <c r="E414" s="213" t="s">
        <v>63</v>
      </c>
      <c r="F414" s="214" t="s">
        <v>378</v>
      </c>
      <c r="G414" s="28" t="s">
        <v>56</v>
      </c>
      <c r="H414" s="221">
        <f>'прил10 (ведом 24-25)'!M67</f>
        <v>2187.6</v>
      </c>
      <c r="I414" s="221">
        <f>'прил10 (ведом 24-25)'!N67</f>
        <v>2187.6</v>
      </c>
    </row>
    <row r="415" spans="1:9" ht="18" x14ac:dyDescent="0.35">
      <c r="A415" s="337"/>
      <c r="B415" s="507" t="s">
        <v>57</v>
      </c>
      <c r="C415" s="212" t="s">
        <v>41</v>
      </c>
      <c r="D415" s="213" t="s">
        <v>45</v>
      </c>
      <c r="E415" s="213" t="s">
        <v>63</v>
      </c>
      <c r="F415" s="214" t="s">
        <v>378</v>
      </c>
      <c r="G415" s="28" t="s">
        <v>58</v>
      </c>
      <c r="H415" s="221">
        <f>'прил10 (ведом 24-25)'!M68</f>
        <v>226.3</v>
      </c>
      <c r="I415" s="221">
        <f>'прил10 (ведом 24-25)'!N68</f>
        <v>226.3</v>
      </c>
    </row>
    <row r="416" spans="1:9" ht="18" x14ac:dyDescent="0.35">
      <c r="A416" s="337"/>
      <c r="B416" s="507" t="s">
        <v>64</v>
      </c>
      <c r="C416" s="212" t="s">
        <v>41</v>
      </c>
      <c r="D416" s="213" t="s">
        <v>45</v>
      </c>
      <c r="E416" s="213" t="s">
        <v>52</v>
      </c>
      <c r="F416" s="214" t="s">
        <v>44</v>
      </c>
      <c r="G416" s="28"/>
      <c r="H416" s="221">
        <f>H417+H419</f>
        <v>3227.8</v>
      </c>
      <c r="I416" s="221">
        <f>I417+I419</f>
        <v>3227.8</v>
      </c>
    </row>
    <row r="417" spans="1:9" ht="54" x14ac:dyDescent="0.35">
      <c r="A417" s="337"/>
      <c r="B417" s="523" t="s">
        <v>352</v>
      </c>
      <c r="C417" s="212" t="s">
        <v>41</v>
      </c>
      <c r="D417" s="213" t="s">
        <v>45</v>
      </c>
      <c r="E417" s="213" t="s">
        <v>52</v>
      </c>
      <c r="F417" s="214" t="s">
        <v>105</v>
      </c>
      <c r="G417" s="28"/>
      <c r="H417" s="221">
        <f>H418</f>
        <v>1138.8</v>
      </c>
      <c r="I417" s="221">
        <f>I418</f>
        <v>1138.8</v>
      </c>
    </row>
    <row r="418" spans="1:9" ht="36" x14ac:dyDescent="0.35">
      <c r="A418" s="337"/>
      <c r="B418" s="507" t="s">
        <v>55</v>
      </c>
      <c r="C418" s="212" t="s">
        <v>41</v>
      </c>
      <c r="D418" s="213" t="s">
        <v>45</v>
      </c>
      <c r="E418" s="213" t="s">
        <v>52</v>
      </c>
      <c r="F418" s="214" t="s">
        <v>105</v>
      </c>
      <c r="G418" s="28" t="s">
        <v>56</v>
      </c>
      <c r="H418" s="221">
        <f>'прил10 (ведом 24-25)'!M71</f>
        <v>1138.8</v>
      </c>
      <c r="I418" s="221">
        <f>'прил10 (ведом 24-25)'!N71</f>
        <v>1138.8</v>
      </c>
    </row>
    <row r="419" spans="1:9" ht="54" x14ac:dyDescent="0.35">
      <c r="A419" s="337"/>
      <c r="B419" s="507" t="s">
        <v>354</v>
      </c>
      <c r="C419" s="212" t="s">
        <v>41</v>
      </c>
      <c r="D419" s="213" t="s">
        <v>45</v>
      </c>
      <c r="E419" s="213" t="s">
        <v>52</v>
      </c>
      <c r="F419" s="214" t="s">
        <v>353</v>
      </c>
      <c r="G419" s="28"/>
      <c r="H419" s="221">
        <f>'прил10 (ведом 24-25)'!M72</f>
        <v>2089</v>
      </c>
      <c r="I419" s="221">
        <f>'прил10 (ведом 24-25)'!N72</f>
        <v>2089</v>
      </c>
    </row>
    <row r="420" spans="1:9" ht="36" x14ac:dyDescent="0.35">
      <c r="A420" s="337"/>
      <c r="B420" s="507" t="s">
        <v>55</v>
      </c>
      <c r="C420" s="212" t="s">
        <v>41</v>
      </c>
      <c r="D420" s="213" t="s">
        <v>45</v>
      </c>
      <c r="E420" s="213" t="s">
        <v>52</v>
      </c>
      <c r="F420" s="214" t="s">
        <v>353</v>
      </c>
      <c r="G420" s="28" t="s">
        <v>56</v>
      </c>
      <c r="H420" s="221">
        <f>'прил10 (ведом 24-25)'!M73</f>
        <v>2089</v>
      </c>
      <c r="I420" s="221">
        <f>'прил10 (ведом 24-25)'!N73</f>
        <v>2089</v>
      </c>
    </row>
    <row r="421" spans="1:9" ht="72" x14ac:dyDescent="0.35">
      <c r="A421" s="362"/>
      <c r="B421" s="529" t="s">
        <v>299</v>
      </c>
      <c r="C421" s="355" t="s">
        <v>41</v>
      </c>
      <c r="D421" s="363" t="s">
        <v>45</v>
      </c>
      <c r="E421" s="363" t="s">
        <v>81</v>
      </c>
      <c r="F421" s="373" t="s">
        <v>44</v>
      </c>
      <c r="G421" s="374"/>
      <c r="H421" s="221">
        <f>H422</f>
        <v>6361.2</v>
      </c>
      <c r="I421" s="221">
        <f>I422</f>
        <v>6365.0999999999995</v>
      </c>
    </row>
    <row r="422" spans="1:9" ht="36" x14ac:dyDescent="0.35">
      <c r="A422" s="362"/>
      <c r="B422" s="506" t="s">
        <v>464</v>
      </c>
      <c r="C422" s="355" t="s">
        <v>41</v>
      </c>
      <c r="D422" s="363" t="s">
        <v>45</v>
      </c>
      <c r="E422" s="363" t="s">
        <v>81</v>
      </c>
      <c r="F422" s="373" t="s">
        <v>91</v>
      </c>
      <c r="G422" s="374"/>
      <c r="H422" s="221">
        <f>SUM(H423:H424)</f>
        <v>6361.2</v>
      </c>
      <c r="I422" s="221">
        <f>SUM(I423:I424)</f>
        <v>6365.0999999999995</v>
      </c>
    </row>
    <row r="423" spans="1:9" ht="90" x14ac:dyDescent="0.35">
      <c r="A423" s="362"/>
      <c r="B423" s="529" t="s">
        <v>49</v>
      </c>
      <c r="C423" s="355" t="s">
        <v>41</v>
      </c>
      <c r="D423" s="363" t="s">
        <v>45</v>
      </c>
      <c r="E423" s="363" t="s">
        <v>81</v>
      </c>
      <c r="F423" s="373" t="s">
        <v>91</v>
      </c>
      <c r="G423" s="374" t="s">
        <v>50</v>
      </c>
      <c r="H423" s="221">
        <f>'прил10 (ведом 24-25)'!M248</f>
        <v>5898.7</v>
      </c>
      <c r="I423" s="221">
        <f>'прил10 (ведом 24-25)'!N248</f>
        <v>5898.7</v>
      </c>
    </row>
    <row r="424" spans="1:9" ht="36" x14ac:dyDescent="0.35">
      <c r="A424" s="362"/>
      <c r="B424" s="507" t="s">
        <v>55</v>
      </c>
      <c r="C424" s="355" t="s">
        <v>41</v>
      </c>
      <c r="D424" s="363" t="s">
        <v>45</v>
      </c>
      <c r="E424" s="363" t="s">
        <v>81</v>
      </c>
      <c r="F424" s="373" t="s">
        <v>91</v>
      </c>
      <c r="G424" s="374" t="s">
        <v>56</v>
      </c>
      <c r="H424" s="221">
        <f>'прил10 (ведом 24-25)'!M249</f>
        <v>462.5</v>
      </c>
      <c r="I424" s="221">
        <f>'прил10 (ведом 24-25)'!N249</f>
        <v>466.4</v>
      </c>
    </row>
    <row r="425" spans="1:9" ht="36" x14ac:dyDescent="0.35">
      <c r="A425" s="362"/>
      <c r="B425" s="510" t="s">
        <v>331</v>
      </c>
      <c r="C425" s="709" t="s">
        <v>41</v>
      </c>
      <c r="D425" s="710" t="s">
        <v>45</v>
      </c>
      <c r="E425" s="710" t="s">
        <v>88</v>
      </c>
      <c r="F425" s="711" t="s">
        <v>44</v>
      </c>
      <c r="G425" s="10"/>
      <c r="H425" s="221">
        <f>H426</f>
        <v>1200</v>
      </c>
      <c r="I425" s="221">
        <f>I426</f>
        <v>0</v>
      </c>
    </row>
    <row r="426" spans="1:9" ht="54" x14ac:dyDescent="0.35">
      <c r="A426" s="362"/>
      <c r="B426" s="510" t="s">
        <v>725</v>
      </c>
      <c r="C426" s="709" t="s">
        <v>41</v>
      </c>
      <c r="D426" s="710" t="s">
        <v>45</v>
      </c>
      <c r="E426" s="710" t="s">
        <v>88</v>
      </c>
      <c r="F426" s="711" t="s">
        <v>724</v>
      </c>
      <c r="G426" s="10"/>
      <c r="H426" s="221">
        <f>H427</f>
        <v>1200</v>
      </c>
      <c r="I426" s="221">
        <f>I427</f>
        <v>0</v>
      </c>
    </row>
    <row r="427" spans="1:9" ht="36" x14ac:dyDescent="0.35">
      <c r="A427" s="362"/>
      <c r="B427" s="510" t="s">
        <v>55</v>
      </c>
      <c r="C427" s="709" t="s">
        <v>41</v>
      </c>
      <c r="D427" s="710" t="s">
        <v>45</v>
      </c>
      <c r="E427" s="710" t="s">
        <v>88</v>
      </c>
      <c r="F427" s="711" t="s">
        <v>724</v>
      </c>
      <c r="G427" s="10" t="s">
        <v>56</v>
      </c>
      <c r="H427" s="221">
        <f>'прил10 (ведом 24-25)'!M141</f>
        <v>1200</v>
      </c>
      <c r="I427" s="221">
        <f>'прил10 (ведом 24-25)'!N141</f>
        <v>0</v>
      </c>
    </row>
    <row r="428" spans="1:9" ht="90" x14ac:dyDescent="0.35">
      <c r="A428" s="362"/>
      <c r="B428" s="510" t="s">
        <v>601</v>
      </c>
      <c r="C428" s="709" t="s">
        <v>41</v>
      </c>
      <c r="D428" s="710" t="s">
        <v>45</v>
      </c>
      <c r="E428" s="710" t="s">
        <v>590</v>
      </c>
      <c r="F428" s="711" t="s">
        <v>44</v>
      </c>
      <c r="G428" s="10"/>
      <c r="H428" s="221">
        <f>H429</f>
        <v>30488.2</v>
      </c>
      <c r="I428" s="221">
        <f>I429</f>
        <v>30488.2</v>
      </c>
    </row>
    <row r="429" spans="1:9" ht="36" x14ac:dyDescent="0.35">
      <c r="A429" s="362"/>
      <c r="B429" s="543" t="s">
        <v>464</v>
      </c>
      <c r="C429" s="709" t="s">
        <v>41</v>
      </c>
      <c r="D429" s="710" t="s">
        <v>45</v>
      </c>
      <c r="E429" s="710" t="s">
        <v>590</v>
      </c>
      <c r="F429" s="711" t="s">
        <v>91</v>
      </c>
      <c r="G429" s="10"/>
      <c r="H429" s="221">
        <f>H430+H431</f>
        <v>30488.2</v>
      </c>
      <c r="I429" s="221">
        <f>I430+I431</f>
        <v>30488.2</v>
      </c>
    </row>
    <row r="430" spans="1:9" ht="90" x14ac:dyDescent="0.35">
      <c r="A430" s="362"/>
      <c r="B430" s="510" t="s">
        <v>49</v>
      </c>
      <c r="C430" s="709" t="s">
        <v>41</v>
      </c>
      <c r="D430" s="710" t="s">
        <v>45</v>
      </c>
      <c r="E430" s="710" t="s">
        <v>590</v>
      </c>
      <c r="F430" s="711" t="s">
        <v>91</v>
      </c>
      <c r="G430" s="10" t="s">
        <v>50</v>
      </c>
      <c r="H430" s="221">
        <f>'прил10 (ведом 24-25)'!M76</f>
        <v>23999.5</v>
      </c>
      <c r="I430" s="221">
        <f>'прил10 (ведом 24-25)'!N76</f>
        <v>23999.5</v>
      </c>
    </row>
    <row r="431" spans="1:9" ht="36" x14ac:dyDescent="0.35">
      <c r="A431" s="362"/>
      <c r="B431" s="510" t="s">
        <v>55</v>
      </c>
      <c r="C431" s="709" t="s">
        <v>41</v>
      </c>
      <c r="D431" s="710" t="s">
        <v>45</v>
      </c>
      <c r="E431" s="710" t="s">
        <v>590</v>
      </c>
      <c r="F431" s="711" t="s">
        <v>91</v>
      </c>
      <c r="G431" s="10" t="s">
        <v>56</v>
      </c>
      <c r="H431" s="221">
        <f>'прил10 (ведом 24-25)'!M77</f>
        <v>6488.7</v>
      </c>
      <c r="I431" s="221">
        <f>'прил10 (ведом 24-25)'!N77</f>
        <v>6488.7</v>
      </c>
    </row>
    <row r="432" spans="1:9" ht="18" x14ac:dyDescent="0.35">
      <c r="A432" s="362"/>
      <c r="B432" s="507"/>
      <c r="C432" s="213"/>
      <c r="D432" s="213"/>
      <c r="E432" s="213"/>
      <c r="F432" s="214"/>
      <c r="G432" s="28"/>
      <c r="H432" s="221"/>
      <c r="I432" s="221"/>
    </row>
    <row r="433" spans="1:9" ht="52.2" x14ac:dyDescent="0.35">
      <c r="A433" s="352">
        <v>16</v>
      </c>
      <c r="B433" s="528" t="s">
        <v>233</v>
      </c>
      <c r="C433" s="353" t="s">
        <v>234</v>
      </c>
      <c r="D433" s="353" t="s">
        <v>42</v>
      </c>
      <c r="E433" s="353" t="s">
        <v>43</v>
      </c>
      <c r="F433" s="354" t="s">
        <v>44</v>
      </c>
      <c r="G433" s="28"/>
      <c r="H433" s="258">
        <f t="shared" ref="H433:I436" si="10">H434</f>
        <v>53.4</v>
      </c>
      <c r="I433" s="258">
        <f t="shared" si="10"/>
        <v>53.4</v>
      </c>
    </row>
    <row r="434" spans="1:9" ht="18" x14ac:dyDescent="0.35">
      <c r="A434" s="362"/>
      <c r="B434" s="507" t="s">
        <v>339</v>
      </c>
      <c r="C434" s="212" t="s">
        <v>234</v>
      </c>
      <c r="D434" s="213" t="s">
        <v>45</v>
      </c>
      <c r="E434" s="213" t="s">
        <v>43</v>
      </c>
      <c r="F434" s="214" t="s">
        <v>44</v>
      </c>
      <c r="G434" s="28"/>
      <c r="H434" s="221">
        <f t="shared" si="10"/>
        <v>53.4</v>
      </c>
      <c r="I434" s="221">
        <f t="shared" si="10"/>
        <v>53.4</v>
      </c>
    </row>
    <row r="435" spans="1:9" ht="126" x14ac:dyDescent="0.35">
      <c r="A435" s="362"/>
      <c r="B435" s="507" t="s">
        <v>741</v>
      </c>
      <c r="C435" s="212" t="s">
        <v>234</v>
      </c>
      <c r="D435" s="213" t="s">
        <v>45</v>
      </c>
      <c r="E435" s="213" t="s">
        <v>37</v>
      </c>
      <c r="F435" s="214" t="s">
        <v>44</v>
      </c>
      <c r="G435" s="28"/>
      <c r="H435" s="221">
        <f t="shared" si="10"/>
        <v>53.4</v>
      </c>
      <c r="I435" s="221">
        <f t="shared" si="10"/>
        <v>53.4</v>
      </c>
    </row>
    <row r="436" spans="1:9" ht="36" x14ac:dyDescent="0.35">
      <c r="A436" s="362"/>
      <c r="B436" s="507" t="s">
        <v>235</v>
      </c>
      <c r="C436" s="212" t="s">
        <v>234</v>
      </c>
      <c r="D436" s="213" t="s">
        <v>45</v>
      </c>
      <c r="E436" s="213" t="s">
        <v>37</v>
      </c>
      <c r="F436" s="214" t="s">
        <v>280</v>
      </c>
      <c r="G436" s="28"/>
      <c r="H436" s="221">
        <f t="shared" si="10"/>
        <v>53.4</v>
      </c>
      <c r="I436" s="221">
        <f t="shared" si="10"/>
        <v>53.4</v>
      </c>
    </row>
    <row r="437" spans="1:9" ht="36" x14ac:dyDescent="0.35">
      <c r="A437" s="362"/>
      <c r="B437" s="507" t="s">
        <v>76</v>
      </c>
      <c r="C437" s="212" t="s">
        <v>234</v>
      </c>
      <c r="D437" s="213" t="s">
        <v>45</v>
      </c>
      <c r="E437" s="213" t="s">
        <v>37</v>
      </c>
      <c r="F437" s="214" t="s">
        <v>280</v>
      </c>
      <c r="G437" s="28" t="s">
        <v>77</v>
      </c>
      <c r="H437" s="221">
        <f>'прил10 (ведом 24-25)'!M320</f>
        <v>53.4</v>
      </c>
      <c r="I437" s="221">
        <f>'прил10 (ведом 24-25)'!N320</f>
        <v>53.4</v>
      </c>
    </row>
    <row r="438" spans="1:9" ht="18" x14ac:dyDescent="0.35">
      <c r="A438" s="362"/>
      <c r="B438" s="529"/>
      <c r="C438" s="356"/>
      <c r="D438" s="363"/>
      <c r="E438" s="363"/>
      <c r="F438" s="373"/>
      <c r="G438" s="374"/>
      <c r="H438" s="221"/>
      <c r="I438" s="221"/>
    </row>
    <row r="439" spans="1:9" ht="34.799999999999997" x14ac:dyDescent="0.3">
      <c r="A439" s="352">
        <v>17</v>
      </c>
      <c r="B439" s="544" t="s">
        <v>130</v>
      </c>
      <c r="C439" s="353" t="s">
        <v>131</v>
      </c>
      <c r="D439" s="353" t="s">
        <v>42</v>
      </c>
      <c r="E439" s="353" t="s">
        <v>43</v>
      </c>
      <c r="F439" s="353" t="s">
        <v>44</v>
      </c>
      <c r="G439" s="346"/>
      <c r="H439" s="258">
        <f>H440</f>
        <v>6414.2</v>
      </c>
      <c r="I439" s="258">
        <f>I440</f>
        <v>6414.3</v>
      </c>
    </row>
    <row r="440" spans="1:9" ht="36" x14ac:dyDescent="0.35">
      <c r="A440" s="337"/>
      <c r="B440" s="545" t="s">
        <v>132</v>
      </c>
      <c r="C440" s="212" t="s">
        <v>131</v>
      </c>
      <c r="D440" s="213" t="s">
        <v>45</v>
      </c>
      <c r="E440" s="213" t="s">
        <v>43</v>
      </c>
      <c r="F440" s="214" t="s">
        <v>44</v>
      </c>
      <c r="G440" s="28"/>
      <c r="H440" s="221">
        <f>H441</f>
        <v>6414.2</v>
      </c>
      <c r="I440" s="221">
        <f>I441</f>
        <v>6414.3</v>
      </c>
    </row>
    <row r="441" spans="1:9" ht="36" x14ac:dyDescent="0.35">
      <c r="A441" s="337"/>
      <c r="B441" s="506" t="s">
        <v>47</v>
      </c>
      <c r="C441" s="212" t="s">
        <v>131</v>
      </c>
      <c r="D441" s="213" t="s">
        <v>45</v>
      </c>
      <c r="E441" s="213" t="s">
        <v>43</v>
      </c>
      <c r="F441" s="214" t="s">
        <v>48</v>
      </c>
      <c r="G441" s="28"/>
      <c r="H441" s="221">
        <f>H442+H443+H444</f>
        <v>6414.2</v>
      </c>
      <c r="I441" s="221">
        <f>I442+I443+I444</f>
        <v>6414.3</v>
      </c>
    </row>
    <row r="442" spans="1:9" ht="90" x14ac:dyDescent="0.35">
      <c r="A442" s="337"/>
      <c r="B442" s="522" t="s">
        <v>49</v>
      </c>
      <c r="C442" s="212" t="s">
        <v>131</v>
      </c>
      <c r="D442" s="213" t="s">
        <v>45</v>
      </c>
      <c r="E442" s="213" t="s">
        <v>43</v>
      </c>
      <c r="F442" s="214" t="s">
        <v>48</v>
      </c>
      <c r="G442" s="28" t="s">
        <v>50</v>
      </c>
      <c r="H442" s="221">
        <f>'прил10 (ведом 24-25)'!M210</f>
        <v>6119.5</v>
      </c>
      <c r="I442" s="221">
        <f>'прил10 (ведом 24-25)'!N210</f>
        <v>6119.5</v>
      </c>
    </row>
    <row r="443" spans="1:9" ht="36" x14ac:dyDescent="0.35">
      <c r="A443" s="337"/>
      <c r="B443" s="507" t="s">
        <v>55</v>
      </c>
      <c r="C443" s="212" t="s">
        <v>131</v>
      </c>
      <c r="D443" s="213" t="s">
        <v>45</v>
      </c>
      <c r="E443" s="213" t="s">
        <v>43</v>
      </c>
      <c r="F443" s="214" t="s">
        <v>48</v>
      </c>
      <c r="G443" s="28" t="s">
        <v>56</v>
      </c>
      <c r="H443" s="221">
        <f>'прил10 (ведом 24-25)'!M211</f>
        <v>284.7</v>
      </c>
      <c r="I443" s="221">
        <f>'прил10 (ведом 24-25)'!N211</f>
        <v>284.8</v>
      </c>
    </row>
    <row r="444" spans="1:9" ht="18" x14ac:dyDescent="0.35">
      <c r="A444" s="337"/>
      <c r="B444" s="507" t="s">
        <v>57</v>
      </c>
      <c r="C444" s="212" t="s">
        <v>131</v>
      </c>
      <c r="D444" s="213" t="s">
        <v>45</v>
      </c>
      <c r="E444" s="213" t="s">
        <v>43</v>
      </c>
      <c r="F444" s="214" t="s">
        <v>48</v>
      </c>
      <c r="G444" s="28" t="s">
        <v>58</v>
      </c>
      <c r="H444" s="221">
        <f>'прил10 (ведом 24-25)'!M212</f>
        <v>10</v>
      </c>
      <c r="I444" s="221">
        <f>'прил10 (ведом 24-25)'!N212</f>
        <v>10</v>
      </c>
    </row>
    <row r="445" spans="1:9" ht="18" x14ac:dyDescent="0.35">
      <c r="A445" s="337"/>
      <c r="B445" s="513"/>
      <c r="C445" s="703"/>
      <c r="D445" s="703"/>
      <c r="E445" s="703"/>
      <c r="F445" s="703"/>
      <c r="G445" s="242"/>
      <c r="H445" s="221"/>
      <c r="I445" s="221"/>
    </row>
    <row r="446" spans="1:9" s="347" customFormat="1" ht="52.2" x14ac:dyDescent="0.3">
      <c r="A446" s="352">
        <v>18</v>
      </c>
      <c r="B446" s="544" t="s">
        <v>449</v>
      </c>
      <c r="C446" s="353" t="s">
        <v>68</v>
      </c>
      <c r="D446" s="353" t="s">
        <v>42</v>
      </c>
      <c r="E446" s="353" t="s">
        <v>43</v>
      </c>
      <c r="F446" s="353" t="s">
        <v>44</v>
      </c>
      <c r="G446" s="346"/>
      <c r="H446" s="258">
        <f t="shared" ref="H446:I448" si="11">H447</f>
        <v>29961.8</v>
      </c>
      <c r="I446" s="258">
        <f t="shared" si="11"/>
        <v>35000</v>
      </c>
    </row>
    <row r="447" spans="1:9" ht="18" x14ac:dyDescent="0.35">
      <c r="A447" s="337"/>
      <c r="B447" s="522" t="s">
        <v>446</v>
      </c>
      <c r="C447" s="212" t="s">
        <v>68</v>
      </c>
      <c r="D447" s="213" t="s">
        <v>45</v>
      </c>
      <c r="E447" s="213" t="s">
        <v>43</v>
      </c>
      <c r="F447" s="214" t="s">
        <v>44</v>
      </c>
      <c r="G447" s="28"/>
      <c r="H447" s="221">
        <f>H448</f>
        <v>29961.8</v>
      </c>
      <c r="I447" s="221">
        <f>I448</f>
        <v>35000</v>
      </c>
    </row>
    <row r="448" spans="1:9" ht="36" x14ac:dyDescent="0.35">
      <c r="A448" s="337"/>
      <c r="B448" s="506" t="s">
        <v>444</v>
      </c>
      <c r="C448" s="212" t="s">
        <v>68</v>
      </c>
      <c r="D448" s="213" t="s">
        <v>45</v>
      </c>
      <c r="E448" s="213" t="s">
        <v>43</v>
      </c>
      <c r="F448" s="214" t="s">
        <v>69</v>
      </c>
      <c r="G448" s="28"/>
      <c r="H448" s="221">
        <f t="shared" si="11"/>
        <v>29961.8</v>
      </c>
      <c r="I448" s="221">
        <f t="shared" si="11"/>
        <v>35000</v>
      </c>
    </row>
    <row r="449" spans="1:9" ht="18" x14ac:dyDescent="0.35">
      <c r="A449" s="337"/>
      <c r="B449" s="506" t="s">
        <v>57</v>
      </c>
      <c r="C449" s="212" t="s">
        <v>68</v>
      </c>
      <c r="D449" s="213" t="s">
        <v>45</v>
      </c>
      <c r="E449" s="213" t="s">
        <v>43</v>
      </c>
      <c r="F449" s="214" t="s">
        <v>69</v>
      </c>
      <c r="G449" s="28" t="s">
        <v>58</v>
      </c>
      <c r="H449" s="221">
        <f>'прил10 (ведом 24-25)'!M56</f>
        <v>29961.8</v>
      </c>
      <c r="I449" s="221">
        <f>'прил10 (ведом 24-25)'!N56</f>
        <v>35000</v>
      </c>
    </row>
    <row r="450" spans="1:9" ht="18" x14ac:dyDescent="0.35">
      <c r="A450" s="337"/>
      <c r="B450" s="506"/>
      <c r="C450" s="212"/>
      <c r="D450" s="213"/>
      <c r="E450" s="213"/>
      <c r="F450" s="214"/>
      <c r="G450" s="28"/>
      <c r="H450" s="221"/>
      <c r="I450" s="221"/>
    </row>
    <row r="451" spans="1:9" s="347" customFormat="1" ht="17.399999999999999" x14ac:dyDescent="0.3">
      <c r="A451" s="40">
        <v>19</v>
      </c>
      <c r="B451" s="556" t="s">
        <v>362</v>
      </c>
      <c r="C451" s="396"/>
      <c r="D451" s="397"/>
      <c r="E451" s="397"/>
      <c r="F451" s="398"/>
      <c r="G451" s="153"/>
      <c r="H451" s="258">
        <f>H452</f>
        <v>34788</v>
      </c>
      <c r="I451" s="258">
        <f>I452</f>
        <v>45416</v>
      </c>
    </row>
    <row r="452" spans="1:9" ht="18" x14ac:dyDescent="0.35">
      <c r="A452" s="38"/>
      <c r="B452" s="514" t="s">
        <v>362</v>
      </c>
      <c r="C452" s="212"/>
      <c r="D452" s="213"/>
      <c r="E452" s="213"/>
      <c r="F452" s="214"/>
      <c r="G452" s="28"/>
      <c r="H452" s="399">
        <f>'прил10 (ведом 24-25)'!M602</f>
        <v>34788</v>
      </c>
      <c r="I452" s="399">
        <f>'прил10 (ведом 24-25)'!N602</f>
        <v>45416</v>
      </c>
    </row>
    <row r="453" spans="1:9" ht="18" x14ac:dyDescent="0.35">
      <c r="A453" s="72"/>
      <c r="B453" s="400"/>
      <c r="C453" s="78"/>
      <c r="D453" s="78"/>
      <c r="E453" s="78"/>
      <c r="F453" s="78"/>
      <c r="G453" s="78"/>
      <c r="H453" s="401"/>
      <c r="I453" s="401"/>
    </row>
    <row r="454" spans="1:9" ht="18" x14ac:dyDescent="0.35">
      <c r="A454" s="72"/>
      <c r="B454" s="400"/>
      <c r="C454" s="78"/>
      <c r="D454" s="78"/>
      <c r="E454" s="78"/>
      <c r="F454" s="78"/>
      <c r="G454" s="78"/>
      <c r="H454" s="401"/>
      <c r="I454" s="401"/>
    </row>
    <row r="455" spans="1:9" ht="17.399999999999999" x14ac:dyDescent="0.3">
      <c r="A455" s="333"/>
      <c r="B455" s="41"/>
      <c r="C455" s="42"/>
      <c r="D455" s="42"/>
      <c r="E455" s="42"/>
      <c r="F455" s="42"/>
      <c r="G455" s="43"/>
    </row>
    <row r="456" spans="1:9" ht="18" x14ac:dyDescent="0.35">
      <c r="A456" s="700" t="s">
        <v>762</v>
      </c>
      <c r="B456" s="41"/>
      <c r="C456" s="42"/>
      <c r="D456" s="42"/>
      <c r="E456" s="42"/>
      <c r="F456" s="42"/>
      <c r="G456" s="43"/>
    </row>
    <row r="457" spans="1:9" ht="18" x14ac:dyDescent="0.35">
      <c r="A457" s="700" t="s">
        <v>763</v>
      </c>
      <c r="B457" s="41"/>
      <c r="C457" s="42"/>
      <c r="D457" s="42"/>
      <c r="E457" s="42"/>
      <c r="F457" s="42"/>
      <c r="G457" s="43"/>
    </row>
    <row r="458" spans="1:9" ht="18" x14ac:dyDescent="0.35">
      <c r="A458" s="700" t="s">
        <v>375</v>
      </c>
      <c r="B458" s="41"/>
      <c r="C458" s="45"/>
      <c r="D458" s="42"/>
      <c r="E458" s="42"/>
      <c r="F458" s="42"/>
      <c r="G458" s="45"/>
      <c r="H458" s="45"/>
      <c r="I458" s="111" t="s">
        <v>764</v>
      </c>
    </row>
    <row r="459" spans="1:9" ht="18" x14ac:dyDescent="0.35">
      <c r="A459" s="701" t="s">
        <v>376</v>
      </c>
      <c r="B459" s="41"/>
      <c r="C459" s="42"/>
      <c r="D459" s="42"/>
      <c r="E459" s="42"/>
      <c r="F459" s="42"/>
    </row>
    <row r="460" spans="1:9" x14ac:dyDescent="0.3">
      <c r="A460" s="333"/>
      <c r="B460" s="41"/>
      <c r="C460" s="42"/>
      <c r="D460" s="42"/>
      <c r="E460" s="42"/>
      <c r="F460" s="42"/>
    </row>
    <row r="461" spans="1:9" x14ac:dyDescent="0.3">
      <c r="A461" s="333"/>
      <c r="B461" s="41"/>
      <c r="C461" s="42"/>
      <c r="D461" s="42"/>
      <c r="E461" s="42"/>
      <c r="F461" s="42"/>
    </row>
    <row r="462" spans="1:9" ht="17.399999999999999" x14ac:dyDescent="0.3">
      <c r="A462" s="333"/>
      <c r="B462" s="41"/>
      <c r="C462" s="42"/>
      <c r="D462" s="42"/>
      <c r="E462" s="42"/>
      <c r="F462" s="42"/>
      <c r="G462" s="43"/>
    </row>
    <row r="463" spans="1:9" hidden="1" x14ac:dyDescent="0.3">
      <c r="A463" s="331">
        <v>1</v>
      </c>
      <c r="B463" s="403" t="s">
        <v>237</v>
      </c>
      <c r="H463" s="332">
        <f>H386+H358+H349+H300+H276+H257+H232+H209+H166+H125+H15+H380+H364+H374+H433</f>
        <v>1818405.9999999998</v>
      </c>
      <c r="I463" s="332">
        <f>I386+I358+I349+I300+I276+I257+I232+I209+I166+I125+I15+I380+I364+I374+I433</f>
        <v>1794621.9000000004</v>
      </c>
    </row>
    <row r="464" spans="1:9" hidden="1" x14ac:dyDescent="0.3"/>
    <row r="465" spans="1:9" hidden="1" x14ac:dyDescent="0.3">
      <c r="H465" s="332">
        <f>(H463/H14)*100</f>
        <v>92.831927543143038</v>
      </c>
      <c r="I465" s="332">
        <f>(I463/I14)*100</f>
        <v>95.093130360249475</v>
      </c>
    </row>
    <row r="466" spans="1:9" hidden="1" x14ac:dyDescent="0.3">
      <c r="H466" s="332"/>
      <c r="I466" s="332"/>
    </row>
    <row r="467" spans="1:9" hidden="1" x14ac:dyDescent="0.3">
      <c r="A467" s="331">
        <v>1</v>
      </c>
      <c r="B467" s="403" t="s">
        <v>238</v>
      </c>
      <c r="H467" s="332">
        <f>H446+H439</f>
        <v>36376</v>
      </c>
      <c r="I467" s="332">
        <f>I446+I439</f>
        <v>41414.300000000003</v>
      </c>
    </row>
    <row r="468" spans="1:9" hidden="1" x14ac:dyDescent="0.3">
      <c r="H468" s="332">
        <f>(H467/H472)*100</f>
        <v>1.9250940690209946</v>
      </c>
      <c r="I468" s="332">
        <f>(I467/I472)*100</f>
        <v>2.2011879972289488</v>
      </c>
    </row>
    <row r="469" spans="1:9" hidden="1" x14ac:dyDescent="0.3">
      <c r="H469" s="332"/>
      <c r="I469" s="332"/>
    </row>
    <row r="470" spans="1:9" hidden="1" x14ac:dyDescent="0.3">
      <c r="B470" s="403" t="s">
        <v>364</v>
      </c>
      <c r="H470" s="332">
        <f>H451</f>
        <v>34788</v>
      </c>
      <c r="I470" s="332">
        <f>I451</f>
        <v>45416</v>
      </c>
    </row>
    <row r="471" spans="1:9" hidden="1" x14ac:dyDescent="0.3">
      <c r="H471" s="332">
        <f>(H470/H472)*100</f>
        <v>1.8410537847235089</v>
      </c>
      <c r="I471" s="332">
        <f>(I470/I472)*100</f>
        <v>2.4138800868818242</v>
      </c>
    </row>
    <row r="472" spans="1:9" hidden="1" x14ac:dyDescent="0.3">
      <c r="B472" s="403" t="s">
        <v>202</v>
      </c>
      <c r="H472" s="332">
        <f>H467+H463+H470</f>
        <v>1889569.9999999998</v>
      </c>
      <c r="I472" s="332">
        <f>I467+I463+I470</f>
        <v>1881452.2000000004</v>
      </c>
    </row>
  </sheetData>
  <autoFilter ref="A1:I472"/>
  <mergeCells count="7">
    <mergeCell ref="A8:I8"/>
    <mergeCell ref="C13:F13"/>
    <mergeCell ref="H11:I11"/>
    <mergeCell ref="A11:A12"/>
    <mergeCell ref="B11:B12"/>
    <mergeCell ref="C11:F12"/>
    <mergeCell ref="G11:G12"/>
  </mergeCells>
  <printOptions horizontalCentered="1"/>
  <pageMargins left="1.1811023622047245" right="0.39370078740157483" top="0.78740157480314965" bottom="0.78740157480314965" header="0" footer="0"/>
  <pageSetup paperSize="9" scale="70" fitToHeight="0" orientation="portrait" blackAndWhite="1" r:id="rId1"/>
  <headerFooter differentFirst="1" alignWithMargins="0">
    <oddHeader>&amp;C&amp;"Times New Roman,обычный"&amp;12&amp;P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P981"/>
  <sheetViews>
    <sheetView zoomScale="80" zoomScaleNormal="80" workbookViewId="0">
      <selection activeCell="P10" sqref="P10"/>
    </sheetView>
  </sheetViews>
  <sheetFormatPr defaultColWidth="8.88671875" defaultRowHeight="14.4" x14ac:dyDescent="0.3"/>
  <cols>
    <col min="1" max="1" width="4.6640625" style="1" customWidth="1"/>
    <col min="2" max="2" width="54.44140625" style="501" customWidth="1"/>
    <col min="3" max="3" width="10" style="1" customWidth="1"/>
    <col min="4" max="4" width="3.6640625" style="1" customWidth="1"/>
    <col min="5" max="5" width="4" style="1" customWidth="1"/>
    <col min="6" max="6" width="3.33203125" style="1" customWidth="1"/>
    <col min="7" max="7" width="2.44140625" style="1" customWidth="1"/>
    <col min="8" max="8" width="3.33203125" style="1" customWidth="1"/>
    <col min="9" max="9" width="7.6640625" style="1" customWidth="1"/>
    <col min="10" max="10" width="5" style="1" customWidth="1"/>
    <col min="11" max="11" width="17.33203125" style="1" hidden="1" customWidth="1"/>
    <col min="12" max="12" width="16.6640625" style="1" customWidth="1"/>
    <col min="13" max="13" width="14.33203125" style="30" customWidth="1"/>
    <col min="14" max="14" width="10.109375" style="1" customWidth="1"/>
    <col min="15" max="15" width="11.6640625" style="1" customWidth="1"/>
    <col min="16" max="16" width="9.33203125" style="1" bestFit="1" customWidth="1"/>
    <col min="17" max="16384" width="8.88671875" style="1"/>
  </cols>
  <sheetData>
    <row r="1" spans="1:14" ht="18" x14ac:dyDescent="0.35">
      <c r="M1" s="158" t="s">
        <v>514</v>
      </c>
    </row>
    <row r="2" spans="1:14" ht="18" customHeight="1" x14ac:dyDescent="0.35">
      <c r="M2" s="158" t="s">
        <v>765</v>
      </c>
    </row>
    <row r="3" spans="1:14" ht="18" customHeight="1" x14ac:dyDescent="0.35">
      <c r="M3" s="158"/>
    </row>
    <row r="4" spans="1:14" s="35" customFormat="1" ht="19.95" customHeight="1" x14ac:dyDescent="0.35">
      <c r="M4" s="625" t="s">
        <v>516</v>
      </c>
    </row>
    <row r="5" spans="1:14" s="35" customFormat="1" ht="18.75" customHeight="1" x14ac:dyDescent="0.35">
      <c r="M5" s="625" t="s">
        <v>667</v>
      </c>
    </row>
    <row r="6" spans="1:14" ht="14.4" customHeight="1" x14ac:dyDescent="0.3"/>
    <row r="7" spans="1:14" ht="14.4" customHeight="1" x14ac:dyDescent="0.3"/>
    <row r="8" spans="1:14" ht="17.399999999999999" customHeight="1" x14ac:dyDescent="0.3">
      <c r="A8" s="745" t="s">
        <v>596</v>
      </c>
      <c r="B8" s="745"/>
      <c r="C8" s="745"/>
      <c r="D8" s="745"/>
      <c r="E8" s="745"/>
      <c r="F8" s="745"/>
      <c r="G8" s="745"/>
      <c r="H8" s="745"/>
      <c r="I8" s="745"/>
      <c r="J8" s="745"/>
      <c r="K8" s="745"/>
      <c r="L8" s="745"/>
      <c r="M8" s="745"/>
    </row>
    <row r="9" spans="1:14" ht="17.399999999999999" customHeight="1" x14ac:dyDescent="0.3">
      <c r="A9" s="708"/>
      <c r="B9" s="502"/>
      <c r="C9" s="708"/>
      <c r="D9" s="708"/>
      <c r="E9" s="708"/>
      <c r="F9" s="708"/>
      <c r="G9" s="708"/>
      <c r="H9" s="708"/>
      <c r="I9" s="708"/>
      <c r="J9" s="708"/>
      <c r="K9" s="708"/>
      <c r="L9" s="708"/>
    </row>
    <row r="10" spans="1:14" ht="18" customHeight="1" x14ac:dyDescent="0.35">
      <c r="A10" s="2"/>
      <c r="B10" s="3"/>
      <c r="C10" s="4"/>
      <c r="D10" s="4"/>
      <c r="E10" s="4"/>
      <c r="F10" s="4"/>
      <c r="G10" s="2"/>
      <c r="H10" s="5"/>
      <c r="I10" s="6"/>
      <c r="J10" s="7"/>
      <c r="K10" s="7"/>
      <c r="L10" s="7"/>
      <c r="M10" s="471" t="s">
        <v>22</v>
      </c>
    </row>
    <row r="11" spans="1:14" ht="18" customHeight="1" x14ac:dyDescent="0.3">
      <c r="A11" s="749" t="s">
        <v>23</v>
      </c>
      <c r="B11" s="751" t="s">
        <v>24</v>
      </c>
      <c r="C11" s="753" t="s">
        <v>25</v>
      </c>
      <c r="D11" s="753" t="s">
        <v>26</v>
      </c>
      <c r="E11" s="753" t="s">
        <v>27</v>
      </c>
      <c r="F11" s="755" t="s">
        <v>28</v>
      </c>
      <c r="G11" s="756"/>
      <c r="H11" s="756"/>
      <c r="I11" s="757"/>
      <c r="J11" s="753" t="s">
        <v>29</v>
      </c>
      <c r="K11" s="761" t="s">
        <v>664</v>
      </c>
      <c r="L11" s="763" t="s">
        <v>458</v>
      </c>
      <c r="M11" s="764"/>
    </row>
    <row r="12" spans="1:14" ht="34.799999999999997" customHeight="1" x14ac:dyDescent="0.35">
      <c r="A12" s="750"/>
      <c r="B12" s="752"/>
      <c r="C12" s="754"/>
      <c r="D12" s="754"/>
      <c r="E12" s="754"/>
      <c r="F12" s="758"/>
      <c r="G12" s="759"/>
      <c r="H12" s="759"/>
      <c r="I12" s="760"/>
      <c r="J12" s="754"/>
      <c r="K12" s="762"/>
      <c r="L12" s="658" t="s">
        <v>665</v>
      </c>
      <c r="M12" s="659" t="s">
        <v>666</v>
      </c>
    </row>
    <row r="13" spans="1:14" ht="18" customHeight="1" x14ac:dyDescent="0.35">
      <c r="A13" s="8">
        <v>1</v>
      </c>
      <c r="B13" s="9">
        <v>2</v>
      </c>
      <c r="C13" s="10" t="s">
        <v>30</v>
      </c>
      <c r="D13" s="10" t="s">
        <v>31</v>
      </c>
      <c r="E13" s="10" t="s">
        <v>32</v>
      </c>
      <c r="F13" s="746" t="s">
        <v>33</v>
      </c>
      <c r="G13" s="747"/>
      <c r="H13" s="747"/>
      <c r="I13" s="748"/>
      <c r="J13" s="10" t="s">
        <v>34</v>
      </c>
      <c r="K13" s="10"/>
      <c r="L13" s="10" t="s">
        <v>480</v>
      </c>
      <c r="M13" s="31">
        <v>9</v>
      </c>
    </row>
    <row r="14" spans="1:14" ht="18" customHeight="1" x14ac:dyDescent="0.3">
      <c r="A14" s="11">
        <v>1</v>
      </c>
      <c r="B14" s="12" t="s">
        <v>202</v>
      </c>
      <c r="C14" s="13"/>
      <c r="D14" s="14"/>
      <c r="E14" s="14"/>
      <c r="F14" s="15"/>
      <c r="G14" s="16"/>
      <c r="H14" s="16"/>
      <c r="I14" s="17"/>
      <c r="J14" s="14"/>
      <c r="K14" s="260">
        <f>K15+K266+K311+K329+K639+K721+K795+K829+K440</f>
        <v>2622621.1719</v>
      </c>
      <c r="L14" s="260">
        <f>L15+L266+L311+L329+L639+L721+L795+L829+L440</f>
        <v>85436.3</v>
      </c>
      <c r="M14" s="260">
        <f>M15+M266+M311+M329+M639+M721+M795+M829+M440</f>
        <v>2708057.4719000002</v>
      </c>
      <c r="N14" s="209"/>
    </row>
    <row r="15" spans="1:14" s="120" customFormat="1" ht="34.950000000000003" customHeight="1" x14ac:dyDescent="0.3">
      <c r="A15" s="115">
        <v>1</v>
      </c>
      <c r="B15" s="557" t="s">
        <v>0</v>
      </c>
      <c r="C15" s="18" t="s">
        <v>1</v>
      </c>
      <c r="D15" s="19"/>
      <c r="E15" s="19"/>
      <c r="F15" s="20"/>
      <c r="G15" s="21"/>
      <c r="H15" s="21"/>
      <c r="I15" s="22"/>
      <c r="J15" s="19"/>
      <c r="K15" s="32">
        <f>K16+K94+K131+K178+K202+K195+K221</f>
        <v>388766.32059999998</v>
      </c>
      <c r="L15" s="32">
        <f>L16+L94+L131+L178+L202+L195+L221</f>
        <v>39159.342939999988</v>
      </c>
      <c r="M15" s="32">
        <f>M16+M94+M131+M178+M202+M195+M221</f>
        <v>427925.66353999998</v>
      </c>
    </row>
    <row r="16" spans="1:14" s="121" customFormat="1" ht="18" customHeight="1" x14ac:dyDescent="0.35">
      <c r="A16" s="11"/>
      <c r="B16" s="510" t="s">
        <v>36</v>
      </c>
      <c r="C16" s="23" t="s">
        <v>1</v>
      </c>
      <c r="D16" s="10" t="s">
        <v>37</v>
      </c>
      <c r="E16" s="10"/>
      <c r="F16" s="709"/>
      <c r="G16" s="710"/>
      <c r="H16" s="710"/>
      <c r="I16" s="711"/>
      <c r="J16" s="10"/>
      <c r="K16" s="24">
        <f>K17+K23+K51+K56+K45</f>
        <v>171767.55700000003</v>
      </c>
      <c r="L16" s="24">
        <f>L17+L23+L51+L56+L45</f>
        <v>13930.94293999999</v>
      </c>
      <c r="M16" s="24">
        <f>M17+M23+M51+M56+M45</f>
        <v>185698.49994000001</v>
      </c>
    </row>
    <row r="17" spans="1:15" s="116" customFormat="1" ht="54" customHeight="1" x14ac:dyDescent="0.35">
      <c r="A17" s="11"/>
      <c r="B17" s="510" t="s">
        <v>38</v>
      </c>
      <c r="C17" s="23" t="s">
        <v>1</v>
      </c>
      <c r="D17" s="10" t="s">
        <v>37</v>
      </c>
      <c r="E17" s="10" t="s">
        <v>39</v>
      </c>
      <c r="F17" s="709"/>
      <c r="G17" s="710"/>
      <c r="H17" s="710"/>
      <c r="I17" s="711"/>
      <c r="J17" s="10"/>
      <c r="K17" s="24">
        <f t="shared" ref="K17:M20" si="0">K18</f>
        <v>2536.8000000000002</v>
      </c>
      <c r="L17" s="24">
        <f t="shared" si="0"/>
        <v>0</v>
      </c>
      <c r="M17" s="24">
        <f t="shared" si="0"/>
        <v>2536.8000000000002</v>
      </c>
      <c r="O17" s="116" t="s">
        <v>441</v>
      </c>
    </row>
    <row r="18" spans="1:15" s="116" customFormat="1" ht="54" customHeight="1" x14ac:dyDescent="0.35">
      <c r="A18" s="11"/>
      <c r="B18" s="510" t="s">
        <v>40</v>
      </c>
      <c r="C18" s="23" t="s">
        <v>1</v>
      </c>
      <c r="D18" s="10" t="s">
        <v>37</v>
      </c>
      <c r="E18" s="10" t="s">
        <v>39</v>
      </c>
      <c r="F18" s="709" t="s">
        <v>41</v>
      </c>
      <c r="G18" s="710" t="s">
        <v>42</v>
      </c>
      <c r="H18" s="710" t="s">
        <v>43</v>
      </c>
      <c r="I18" s="711" t="s">
        <v>44</v>
      </c>
      <c r="J18" s="10"/>
      <c r="K18" s="24">
        <f t="shared" si="0"/>
        <v>2536.8000000000002</v>
      </c>
      <c r="L18" s="24">
        <f t="shared" si="0"/>
        <v>0</v>
      </c>
      <c r="M18" s="24">
        <f t="shared" si="0"/>
        <v>2536.8000000000002</v>
      </c>
    </row>
    <row r="19" spans="1:15" s="116" customFormat="1" ht="36" customHeight="1" x14ac:dyDescent="0.35">
      <c r="A19" s="11"/>
      <c r="B19" s="510" t="s">
        <v>339</v>
      </c>
      <c r="C19" s="23" t="s">
        <v>1</v>
      </c>
      <c r="D19" s="10" t="s">
        <v>37</v>
      </c>
      <c r="E19" s="10" t="s">
        <v>39</v>
      </c>
      <c r="F19" s="709" t="s">
        <v>41</v>
      </c>
      <c r="G19" s="710" t="s">
        <v>45</v>
      </c>
      <c r="H19" s="710" t="s">
        <v>43</v>
      </c>
      <c r="I19" s="711" t="s">
        <v>44</v>
      </c>
      <c r="J19" s="10"/>
      <c r="K19" s="24">
        <f t="shared" si="0"/>
        <v>2536.8000000000002</v>
      </c>
      <c r="L19" s="24">
        <f t="shared" si="0"/>
        <v>0</v>
      </c>
      <c r="M19" s="24">
        <f t="shared" si="0"/>
        <v>2536.8000000000002</v>
      </c>
    </row>
    <row r="20" spans="1:15" s="116" customFormat="1" ht="54" customHeight="1" x14ac:dyDescent="0.35">
      <c r="A20" s="11"/>
      <c r="B20" s="510" t="s">
        <v>46</v>
      </c>
      <c r="C20" s="23" t="s">
        <v>1</v>
      </c>
      <c r="D20" s="10" t="s">
        <v>37</v>
      </c>
      <c r="E20" s="10" t="s">
        <v>39</v>
      </c>
      <c r="F20" s="709" t="s">
        <v>41</v>
      </c>
      <c r="G20" s="710" t="s">
        <v>45</v>
      </c>
      <c r="H20" s="710" t="s">
        <v>37</v>
      </c>
      <c r="I20" s="711" t="s">
        <v>44</v>
      </c>
      <c r="J20" s="10"/>
      <c r="K20" s="24">
        <f t="shared" si="0"/>
        <v>2536.8000000000002</v>
      </c>
      <c r="L20" s="24">
        <f t="shared" si="0"/>
        <v>0</v>
      </c>
      <c r="M20" s="24">
        <f t="shared" si="0"/>
        <v>2536.8000000000002</v>
      </c>
    </row>
    <row r="21" spans="1:15" s="116" customFormat="1" ht="36" customHeight="1" x14ac:dyDescent="0.35">
      <c r="A21" s="11"/>
      <c r="B21" s="510" t="s">
        <v>47</v>
      </c>
      <c r="C21" s="23" t="s">
        <v>1</v>
      </c>
      <c r="D21" s="10" t="s">
        <v>37</v>
      </c>
      <c r="E21" s="10" t="s">
        <v>39</v>
      </c>
      <c r="F21" s="709" t="s">
        <v>41</v>
      </c>
      <c r="G21" s="710" t="s">
        <v>45</v>
      </c>
      <c r="H21" s="710" t="s">
        <v>37</v>
      </c>
      <c r="I21" s="711" t="s">
        <v>48</v>
      </c>
      <c r="J21" s="10"/>
      <c r="K21" s="24">
        <f>K22</f>
        <v>2536.8000000000002</v>
      </c>
      <c r="L21" s="24">
        <f>L22</f>
        <v>0</v>
      </c>
      <c r="M21" s="24">
        <f>M22</f>
        <v>2536.8000000000002</v>
      </c>
    </row>
    <row r="22" spans="1:15" s="116" customFormat="1" ht="108" customHeight="1" x14ac:dyDescent="0.35">
      <c r="A22" s="11"/>
      <c r="B22" s="510" t="s">
        <v>49</v>
      </c>
      <c r="C22" s="23" t="s">
        <v>1</v>
      </c>
      <c r="D22" s="10" t="s">
        <v>37</v>
      </c>
      <c r="E22" s="10" t="s">
        <v>39</v>
      </c>
      <c r="F22" s="709" t="s">
        <v>41</v>
      </c>
      <c r="G22" s="710" t="s">
        <v>45</v>
      </c>
      <c r="H22" s="710" t="s">
        <v>37</v>
      </c>
      <c r="I22" s="711" t="s">
        <v>48</v>
      </c>
      <c r="J22" s="10" t="s">
        <v>50</v>
      </c>
      <c r="K22" s="24">
        <f>2536.8</f>
        <v>2536.8000000000002</v>
      </c>
      <c r="L22" s="24">
        <f>M22-K22</f>
        <v>0</v>
      </c>
      <c r="M22" s="24">
        <f>2536.8</f>
        <v>2536.8000000000002</v>
      </c>
    </row>
    <row r="23" spans="1:15" s="121" customFormat="1" ht="86.25" customHeight="1" x14ac:dyDescent="0.35">
      <c r="A23" s="11"/>
      <c r="B23" s="510" t="s">
        <v>51</v>
      </c>
      <c r="C23" s="23" t="s">
        <v>1</v>
      </c>
      <c r="D23" s="10" t="s">
        <v>37</v>
      </c>
      <c r="E23" s="10" t="s">
        <v>52</v>
      </c>
      <c r="F23" s="709"/>
      <c r="G23" s="710"/>
      <c r="H23" s="710"/>
      <c r="I23" s="711"/>
      <c r="J23" s="10"/>
      <c r="K23" s="24">
        <f t="shared" ref="K23:M24" si="1">K24</f>
        <v>81325.284000000014</v>
      </c>
      <c r="L23" s="24">
        <f t="shared" si="1"/>
        <v>2493.3999999999924</v>
      </c>
      <c r="M23" s="24">
        <f t="shared" si="1"/>
        <v>83818.684000000008</v>
      </c>
    </row>
    <row r="24" spans="1:15" s="121" customFormat="1" ht="54" customHeight="1" x14ac:dyDescent="0.35">
      <c r="A24" s="11"/>
      <c r="B24" s="510" t="s">
        <v>53</v>
      </c>
      <c r="C24" s="23" t="s">
        <v>1</v>
      </c>
      <c r="D24" s="10" t="s">
        <v>37</v>
      </c>
      <c r="E24" s="10" t="s">
        <v>52</v>
      </c>
      <c r="F24" s="709" t="s">
        <v>41</v>
      </c>
      <c r="G24" s="710" t="s">
        <v>42</v>
      </c>
      <c r="H24" s="710" t="s">
        <v>43</v>
      </c>
      <c r="I24" s="711" t="s">
        <v>44</v>
      </c>
      <c r="J24" s="10"/>
      <c r="K24" s="24">
        <f t="shared" si="1"/>
        <v>81325.284000000014</v>
      </c>
      <c r="L24" s="24">
        <f t="shared" si="1"/>
        <v>2493.3999999999924</v>
      </c>
      <c r="M24" s="24">
        <f t="shared" si="1"/>
        <v>83818.684000000008</v>
      </c>
    </row>
    <row r="25" spans="1:15" s="7" customFormat="1" ht="36" customHeight="1" x14ac:dyDescent="0.35">
      <c r="A25" s="11"/>
      <c r="B25" s="510" t="s">
        <v>339</v>
      </c>
      <c r="C25" s="23" t="s">
        <v>1</v>
      </c>
      <c r="D25" s="10" t="s">
        <v>37</v>
      </c>
      <c r="E25" s="10" t="s">
        <v>52</v>
      </c>
      <c r="F25" s="709" t="s">
        <v>41</v>
      </c>
      <c r="G25" s="710" t="s">
        <v>45</v>
      </c>
      <c r="H25" s="710" t="s">
        <v>43</v>
      </c>
      <c r="I25" s="711" t="s">
        <v>44</v>
      </c>
      <c r="J25" s="10"/>
      <c r="K25" s="24">
        <f>K26+K42</f>
        <v>81325.284000000014</v>
      </c>
      <c r="L25" s="24">
        <f>L26+L42</f>
        <v>2493.3999999999924</v>
      </c>
      <c r="M25" s="24">
        <f>M26+M42</f>
        <v>83818.684000000008</v>
      </c>
    </row>
    <row r="26" spans="1:15" s="7" customFormat="1" ht="36" customHeight="1" x14ac:dyDescent="0.35">
      <c r="A26" s="11"/>
      <c r="B26" s="510" t="s">
        <v>54</v>
      </c>
      <c r="C26" s="23" t="s">
        <v>1</v>
      </c>
      <c r="D26" s="10" t="s">
        <v>37</v>
      </c>
      <c r="E26" s="10" t="s">
        <v>52</v>
      </c>
      <c r="F26" s="709" t="s">
        <v>41</v>
      </c>
      <c r="G26" s="710" t="s">
        <v>45</v>
      </c>
      <c r="H26" s="710" t="s">
        <v>39</v>
      </c>
      <c r="I26" s="711" t="s">
        <v>44</v>
      </c>
      <c r="J26" s="10"/>
      <c r="K26" s="24">
        <f>K27+K34+K36+K32+K39</f>
        <v>81320.784000000014</v>
      </c>
      <c r="L26" s="24">
        <f>L27+L34+L36+L32+L39</f>
        <v>2493.3999999999924</v>
      </c>
      <c r="M26" s="24">
        <f>M27+M34+M36+M32+M39</f>
        <v>83814.184000000008</v>
      </c>
    </row>
    <row r="27" spans="1:15" s="116" customFormat="1" ht="36" customHeight="1" x14ac:dyDescent="0.35">
      <c r="A27" s="11"/>
      <c r="B27" s="510" t="s">
        <v>47</v>
      </c>
      <c r="C27" s="23" t="s">
        <v>1</v>
      </c>
      <c r="D27" s="10" t="s">
        <v>37</v>
      </c>
      <c r="E27" s="10" t="s">
        <v>52</v>
      </c>
      <c r="F27" s="709" t="s">
        <v>41</v>
      </c>
      <c r="G27" s="710" t="s">
        <v>45</v>
      </c>
      <c r="H27" s="710" t="s">
        <v>39</v>
      </c>
      <c r="I27" s="711" t="s">
        <v>48</v>
      </c>
      <c r="J27" s="10"/>
      <c r="K27" s="24">
        <f>K28+K29+K30+K31</f>
        <v>75838.384000000005</v>
      </c>
      <c r="L27" s="24">
        <f>L28+L29+L30+L31</f>
        <v>2493.3999999999924</v>
      </c>
      <c r="M27" s="24">
        <f>M28+M29+M30+M31</f>
        <v>78331.784</v>
      </c>
    </row>
    <row r="28" spans="1:15" s="116" customFormat="1" ht="108" customHeight="1" x14ac:dyDescent="0.35">
      <c r="A28" s="11"/>
      <c r="B28" s="510" t="s">
        <v>49</v>
      </c>
      <c r="C28" s="23" t="s">
        <v>1</v>
      </c>
      <c r="D28" s="10" t="s">
        <v>37</v>
      </c>
      <c r="E28" s="10" t="s">
        <v>52</v>
      </c>
      <c r="F28" s="709" t="s">
        <v>41</v>
      </c>
      <c r="G28" s="710" t="s">
        <v>45</v>
      </c>
      <c r="H28" s="710" t="s">
        <v>39</v>
      </c>
      <c r="I28" s="711" t="s">
        <v>48</v>
      </c>
      <c r="J28" s="10" t="s">
        <v>50</v>
      </c>
      <c r="K28" s="24">
        <f>74010+661.8-9.68736-2500+2500-15758.5+15758.5</f>
        <v>74662.112640000007</v>
      </c>
      <c r="L28" s="24">
        <f>M28-K28</f>
        <v>2315.5589099999925</v>
      </c>
      <c r="M28" s="24">
        <f>74010+661.8-9.68736-2500+2500-15758.5+15758.5-177.84109+2493.4</f>
        <v>76977.671549999999</v>
      </c>
      <c r="N28" s="121"/>
    </row>
    <row r="29" spans="1:15" s="7" customFormat="1" ht="54" customHeight="1" x14ac:dyDescent="0.35">
      <c r="A29" s="11"/>
      <c r="B29" s="510" t="s">
        <v>55</v>
      </c>
      <c r="C29" s="23" t="s">
        <v>1</v>
      </c>
      <c r="D29" s="10" t="s">
        <v>37</v>
      </c>
      <c r="E29" s="10" t="s">
        <v>52</v>
      </c>
      <c r="F29" s="709" t="s">
        <v>41</v>
      </c>
      <c r="G29" s="710" t="s">
        <v>45</v>
      </c>
      <c r="H29" s="710" t="s">
        <v>39</v>
      </c>
      <c r="I29" s="711" t="s">
        <v>48</v>
      </c>
      <c r="J29" s="10" t="s">
        <v>56</v>
      </c>
      <c r="K29" s="24">
        <f>1054.6+40.484</f>
        <v>1095.0839999999998</v>
      </c>
      <c r="L29" s="24">
        <f>M29-K29</f>
        <v>0</v>
      </c>
      <c r="M29" s="24">
        <f>1054.6+40.484</f>
        <v>1095.0839999999998</v>
      </c>
    </row>
    <row r="30" spans="1:15" s="7" customFormat="1" ht="36" x14ac:dyDescent="0.35">
      <c r="A30" s="11"/>
      <c r="B30" s="517" t="s">
        <v>120</v>
      </c>
      <c r="C30" s="23" t="s">
        <v>1</v>
      </c>
      <c r="D30" s="10" t="s">
        <v>37</v>
      </c>
      <c r="E30" s="10" t="s">
        <v>52</v>
      </c>
      <c r="F30" s="709" t="s">
        <v>41</v>
      </c>
      <c r="G30" s="710" t="s">
        <v>45</v>
      </c>
      <c r="H30" s="710" t="s">
        <v>39</v>
      </c>
      <c r="I30" s="711" t="s">
        <v>48</v>
      </c>
      <c r="J30" s="10" t="s">
        <v>121</v>
      </c>
      <c r="K30" s="24">
        <v>9.68736</v>
      </c>
      <c r="L30" s="24">
        <f>M30-K30</f>
        <v>177.84109000000001</v>
      </c>
      <c r="M30" s="24">
        <f>9.68736+177.84109</f>
        <v>187.52845000000002</v>
      </c>
    </row>
    <row r="31" spans="1:15" s="116" customFormat="1" ht="18" customHeight="1" x14ac:dyDescent="0.35">
      <c r="A31" s="11"/>
      <c r="B31" s="510" t="s">
        <v>57</v>
      </c>
      <c r="C31" s="23" t="s">
        <v>1</v>
      </c>
      <c r="D31" s="10" t="s">
        <v>37</v>
      </c>
      <c r="E31" s="10" t="s">
        <v>52</v>
      </c>
      <c r="F31" s="709" t="s">
        <v>41</v>
      </c>
      <c r="G31" s="710" t="s">
        <v>45</v>
      </c>
      <c r="H31" s="710" t="s">
        <v>39</v>
      </c>
      <c r="I31" s="711" t="s">
        <v>48</v>
      </c>
      <c r="J31" s="10" t="s">
        <v>58</v>
      </c>
      <c r="K31" s="24">
        <f>32.7+38.8</f>
        <v>71.5</v>
      </c>
      <c r="L31" s="24">
        <f>M31-K31</f>
        <v>0</v>
      </c>
      <c r="M31" s="24">
        <f>32.7+38.8</f>
        <v>71.5</v>
      </c>
      <c r="N31" s="7"/>
    </row>
    <row r="32" spans="1:15" s="7" customFormat="1" ht="90" customHeight="1" x14ac:dyDescent="0.35">
      <c r="A32" s="11"/>
      <c r="B32" s="510" t="s">
        <v>443</v>
      </c>
      <c r="C32" s="23" t="s">
        <v>1</v>
      </c>
      <c r="D32" s="10" t="s">
        <v>37</v>
      </c>
      <c r="E32" s="10" t="s">
        <v>52</v>
      </c>
      <c r="F32" s="709" t="s">
        <v>41</v>
      </c>
      <c r="G32" s="710" t="s">
        <v>45</v>
      </c>
      <c r="H32" s="710" t="s">
        <v>39</v>
      </c>
      <c r="I32" s="711" t="s">
        <v>265</v>
      </c>
      <c r="J32" s="10"/>
      <c r="K32" s="24">
        <f>K33</f>
        <v>63</v>
      </c>
      <c r="L32" s="24">
        <f>L33</f>
        <v>0</v>
      </c>
      <c r="M32" s="24">
        <f>M33</f>
        <v>63</v>
      </c>
    </row>
    <row r="33" spans="1:13" s="121" customFormat="1" ht="54" customHeight="1" x14ac:dyDescent="0.35">
      <c r="A33" s="11"/>
      <c r="B33" s="510" t="s">
        <v>55</v>
      </c>
      <c r="C33" s="23" t="s">
        <v>1</v>
      </c>
      <c r="D33" s="10" t="s">
        <v>37</v>
      </c>
      <c r="E33" s="10" t="s">
        <v>52</v>
      </c>
      <c r="F33" s="709" t="s">
        <v>41</v>
      </c>
      <c r="G33" s="710" t="s">
        <v>45</v>
      </c>
      <c r="H33" s="710" t="s">
        <v>39</v>
      </c>
      <c r="I33" s="711" t="s">
        <v>265</v>
      </c>
      <c r="J33" s="10" t="s">
        <v>56</v>
      </c>
      <c r="K33" s="24">
        <v>63</v>
      </c>
      <c r="L33" s="24">
        <f>M33-K33</f>
        <v>0</v>
      </c>
      <c r="M33" s="24">
        <v>63</v>
      </c>
    </row>
    <row r="34" spans="1:13" s="121" customFormat="1" ht="198" customHeight="1" x14ac:dyDescent="0.35">
      <c r="A34" s="11"/>
      <c r="B34" s="558" t="s">
        <v>451</v>
      </c>
      <c r="C34" s="23" t="s">
        <v>1</v>
      </c>
      <c r="D34" s="10" t="s">
        <v>37</v>
      </c>
      <c r="E34" s="10" t="s">
        <v>52</v>
      </c>
      <c r="F34" s="709" t="s">
        <v>41</v>
      </c>
      <c r="G34" s="710" t="s">
        <v>45</v>
      </c>
      <c r="H34" s="710" t="s">
        <v>39</v>
      </c>
      <c r="I34" s="711" t="s">
        <v>59</v>
      </c>
      <c r="J34" s="10"/>
      <c r="K34" s="24">
        <f>K35</f>
        <v>729.8</v>
      </c>
      <c r="L34" s="24">
        <f>L35</f>
        <v>0</v>
      </c>
      <c r="M34" s="24">
        <f>M35</f>
        <v>729.8</v>
      </c>
    </row>
    <row r="35" spans="1:13" s="121" customFormat="1" ht="108" customHeight="1" x14ac:dyDescent="0.35">
      <c r="A35" s="11"/>
      <c r="B35" s="510" t="s">
        <v>49</v>
      </c>
      <c r="C35" s="23" t="s">
        <v>1</v>
      </c>
      <c r="D35" s="10" t="s">
        <v>37</v>
      </c>
      <c r="E35" s="10" t="s">
        <v>52</v>
      </c>
      <c r="F35" s="709" t="s">
        <v>41</v>
      </c>
      <c r="G35" s="710" t="s">
        <v>45</v>
      </c>
      <c r="H35" s="710" t="s">
        <v>39</v>
      </c>
      <c r="I35" s="711" t="s">
        <v>59</v>
      </c>
      <c r="J35" s="10" t="s">
        <v>50</v>
      </c>
      <c r="K35" s="24">
        <v>729.8</v>
      </c>
      <c r="L35" s="24">
        <f>M35-K35</f>
        <v>0</v>
      </c>
      <c r="M35" s="24">
        <v>729.8</v>
      </c>
    </row>
    <row r="36" spans="1:13" s="121" customFormat="1" ht="72" customHeight="1" x14ac:dyDescent="0.35">
      <c r="A36" s="11"/>
      <c r="B36" s="510" t="s">
        <v>407</v>
      </c>
      <c r="C36" s="23" t="s">
        <v>1</v>
      </c>
      <c r="D36" s="10" t="s">
        <v>37</v>
      </c>
      <c r="E36" s="10" t="s">
        <v>52</v>
      </c>
      <c r="F36" s="709" t="s">
        <v>41</v>
      </c>
      <c r="G36" s="710" t="s">
        <v>45</v>
      </c>
      <c r="H36" s="710" t="s">
        <v>39</v>
      </c>
      <c r="I36" s="711" t="s">
        <v>61</v>
      </c>
      <c r="J36" s="10"/>
      <c r="K36" s="24">
        <f>K37+K38</f>
        <v>730</v>
      </c>
      <c r="L36" s="24">
        <f>L37+L38</f>
        <v>0</v>
      </c>
      <c r="M36" s="24">
        <f>M37+M38</f>
        <v>730</v>
      </c>
    </row>
    <row r="37" spans="1:13" s="121" customFormat="1" ht="108" customHeight="1" x14ac:dyDescent="0.35">
      <c r="A37" s="11"/>
      <c r="B37" s="510" t="s">
        <v>49</v>
      </c>
      <c r="C37" s="23" t="s">
        <v>1</v>
      </c>
      <c r="D37" s="10" t="s">
        <v>37</v>
      </c>
      <c r="E37" s="10" t="s">
        <v>52</v>
      </c>
      <c r="F37" s="709" t="s">
        <v>41</v>
      </c>
      <c r="G37" s="710" t="s">
        <v>45</v>
      </c>
      <c r="H37" s="710" t="s">
        <v>39</v>
      </c>
      <c r="I37" s="711" t="s">
        <v>61</v>
      </c>
      <c r="J37" s="10" t="s">
        <v>50</v>
      </c>
      <c r="K37" s="24">
        <v>725.8</v>
      </c>
      <c r="L37" s="24">
        <f>M37-K37</f>
        <v>0</v>
      </c>
      <c r="M37" s="24">
        <v>725.8</v>
      </c>
    </row>
    <row r="38" spans="1:13" s="121" customFormat="1" ht="54" customHeight="1" x14ac:dyDescent="0.35">
      <c r="A38" s="11"/>
      <c r="B38" s="510" t="s">
        <v>55</v>
      </c>
      <c r="C38" s="23" t="s">
        <v>1</v>
      </c>
      <c r="D38" s="10" t="s">
        <v>37</v>
      </c>
      <c r="E38" s="10" t="s">
        <v>52</v>
      </c>
      <c r="F38" s="709" t="s">
        <v>41</v>
      </c>
      <c r="G38" s="710" t="s">
        <v>45</v>
      </c>
      <c r="H38" s="710" t="s">
        <v>39</v>
      </c>
      <c r="I38" s="711" t="s">
        <v>61</v>
      </c>
      <c r="J38" s="10" t="s">
        <v>56</v>
      </c>
      <c r="K38" s="24">
        <v>4.2</v>
      </c>
      <c r="L38" s="24">
        <f>M38-K38</f>
        <v>0</v>
      </c>
      <c r="M38" s="24">
        <v>4.2</v>
      </c>
    </row>
    <row r="39" spans="1:13" s="121" customFormat="1" ht="72" customHeight="1" x14ac:dyDescent="0.35">
      <c r="A39" s="11"/>
      <c r="B39" s="510" t="s">
        <v>60</v>
      </c>
      <c r="C39" s="23" t="s">
        <v>1</v>
      </c>
      <c r="D39" s="10" t="s">
        <v>37</v>
      </c>
      <c r="E39" s="10" t="s">
        <v>52</v>
      </c>
      <c r="F39" s="709" t="s">
        <v>41</v>
      </c>
      <c r="G39" s="710" t="s">
        <v>45</v>
      </c>
      <c r="H39" s="710" t="s">
        <v>39</v>
      </c>
      <c r="I39" s="711" t="s">
        <v>539</v>
      </c>
      <c r="J39" s="10"/>
      <c r="K39" s="24">
        <f>SUM(K40:K41)</f>
        <v>3959.6</v>
      </c>
      <c r="L39" s="24">
        <f>SUM(L40:L41)</f>
        <v>1.8474111129762605E-13</v>
      </c>
      <c r="M39" s="24">
        <f>SUM(M40:M41)</f>
        <v>3959.6</v>
      </c>
    </row>
    <row r="40" spans="1:13" s="121" customFormat="1" ht="108" customHeight="1" x14ac:dyDescent="0.35">
      <c r="A40" s="11"/>
      <c r="B40" s="510" t="s">
        <v>49</v>
      </c>
      <c r="C40" s="23" t="s">
        <v>1</v>
      </c>
      <c r="D40" s="10" t="s">
        <v>37</v>
      </c>
      <c r="E40" s="10" t="s">
        <v>52</v>
      </c>
      <c r="F40" s="709" t="s">
        <v>41</v>
      </c>
      <c r="G40" s="710" t="s">
        <v>45</v>
      </c>
      <c r="H40" s="710" t="s">
        <v>39</v>
      </c>
      <c r="I40" s="711" t="s">
        <v>539</v>
      </c>
      <c r="J40" s="10" t="s">
        <v>50</v>
      </c>
      <c r="K40" s="24">
        <v>3895.2</v>
      </c>
      <c r="L40" s="24">
        <f>M40-K40</f>
        <v>23.300000000000182</v>
      </c>
      <c r="M40" s="24">
        <f>3895.2+23.3</f>
        <v>3918.5</v>
      </c>
    </row>
    <row r="41" spans="1:13" s="121" customFormat="1" ht="54" customHeight="1" x14ac:dyDescent="0.35">
      <c r="A41" s="11"/>
      <c r="B41" s="510" t="s">
        <v>55</v>
      </c>
      <c r="C41" s="23" t="s">
        <v>1</v>
      </c>
      <c r="D41" s="10" t="s">
        <v>37</v>
      </c>
      <c r="E41" s="10" t="s">
        <v>52</v>
      </c>
      <c r="F41" s="709" t="s">
        <v>41</v>
      </c>
      <c r="G41" s="710" t="s">
        <v>45</v>
      </c>
      <c r="H41" s="710" t="s">
        <v>39</v>
      </c>
      <c r="I41" s="711" t="s">
        <v>539</v>
      </c>
      <c r="J41" s="10" t="s">
        <v>56</v>
      </c>
      <c r="K41" s="24">
        <v>64.400000000000006</v>
      </c>
      <c r="L41" s="24">
        <f>M41-K41</f>
        <v>-23.299999999999997</v>
      </c>
      <c r="M41" s="24">
        <f>64.4-23.3</f>
        <v>41.100000000000009</v>
      </c>
    </row>
    <row r="42" spans="1:13" s="7" customFormat="1" ht="18" customHeight="1" x14ac:dyDescent="0.35">
      <c r="A42" s="11"/>
      <c r="B42" s="510" t="s">
        <v>62</v>
      </c>
      <c r="C42" s="23" t="s">
        <v>1</v>
      </c>
      <c r="D42" s="10" t="s">
        <v>37</v>
      </c>
      <c r="E42" s="10" t="s">
        <v>52</v>
      </c>
      <c r="F42" s="709" t="s">
        <v>41</v>
      </c>
      <c r="G42" s="710" t="s">
        <v>45</v>
      </c>
      <c r="H42" s="710" t="s">
        <v>63</v>
      </c>
      <c r="I42" s="711" t="s">
        <v>44</v>
      </c>
      <c r="J42" s="10"/>
      <c r="K42" s="24">
        <f t="shared" ref="K42:M43" si="2">K43</f>
        <v>4.5</v>
      </c>
      <c r="L42" s="24">
        <f t="shared" si="2"/>
        <v>0</v>
      </c>
      <c r="M42" s="24">
        <f t="shared" si="2"/>
        <v>4.5</v>
      </c>
    </row>
    <row r="43" spans="1:13" s="116" customFormat="1" ht="36" customHeight="1" x14ac:dyDescent="0.35">
      <c r="A43" s="11"/>
      <c r="B43" s="510" t="s">
        <v>47</v>
      </c>
      <c r="C43" s="23" t="s">
        <v>1</v>
      </c>
      <c r="D43" s="10" t="s">
        <v>37</v>
      </c>
      <c r="E43" s="10" t="s">
        <v>52</v>
      </c>
      <c r="F43" s="709" t="s">
        <v>41</v>
      </c>
      <c r="G43" s="710" t="s">
        <v>45</v>
      </c>
      <c r="H43" s="710" t="s">
        <v>63</v>
      </c>
      <c r="I43" s="711" t="s">
        <v>48</v>
      </c>
      <c r="J43" s="10"/>
      <c r="K43" s="24">
        <f t="shared" si="2"/>
        <v>4.5</v>
      </c>
      <c r="L43" s="24">
        <f t="shared" si="2"/>
        <v>0</v>
      </c>
      <c r="M43" s="24">
        <f t="shared" si="2"/>
        <v>4.5</v>
      </c>
    </row>
    <row r="44" spans="1:13" s="7" customFormat="1" ht="54" customHeight="1" x14ac:dyDescent="0.35">
      <c r="A44" s="11"/>
      <c r="B44" s="510" t="s">
        <v>55</v>
      </c>
      <c r="C44" s="23" t="s">
        <v>1</v>
      </c>
      <c r="D44" s="10" t="s">
        <v>37</v>
      </c>
      <c r="E44" s="10" t="s">
        <v>52</v>
      </c>
      <c r="F44" s="709" t="s">
        <v>41</v>
      </c>
      <c r="G44" s="710" t="s">
        <v>45</v>
      </c>
      <c r="H44" s="710" t="s">
        <v>63</v>
      </c>
      <c r="I44" s="711" t="s">
        <v>48</v>
      </c>
      <c r="J44" s="10" t="s">
        <v>56</v>
      </c>
      <c r="K44" s="24">
        <v>4.5</v>
      </c>
      <c r="L44" s="24">
        <f>M44-K44</f>
        <v>0</v>
      </c>
      <c r="M44" s="24">
        <v>4.5</v>
      </c>
    </row>
    <row r="45" spans="1:13" s="7" customFormat="1" ht="18" customHeight="1" x14ac:dyDescent="0.35">
      <c r="A45" s="11"/>
      <c r="B45" s="510" t="s">
        <v>383</v>
      </c>
      <c r="C45" s="23" t="s">
        <v>1</v>
      </c>
      <c r="D45" s="10" t="s">
        <v>37</v>
      </c>
      <c r="E45" s="10" t="s">
        <v>65</v>
      </c>
      <c r="F45" s="709"/>
      <c r="G45" s="710"/>
      <c r="H45" s="710"/>
      <c r="I45" s="711"/>
      <c r="J45" s="10"/>
      <c r="K45" s="24">
        <f t="shared" ref="K45:M48" si="3">K46</f>
        <v>19.8</v>
      </c>
      <c r="L45" s="24">
        <f t="shared" si="3"/>
        <v>0</v>
      </c>
      <c r="M45" s="24">
        <f t="shared" si="3"/>
        <v>19.8</v>
      </c>
    </row>
    <row r="46" spans="1:13" s="7" customFormat="1" ht="54" customHeight="1" x14ac:dyDescent="0.35">
      <c r="A46" s="11"/>
      <c r="B46" s="510" t="s">
        <v>53</v>
      </c>
      <c r="C46" s="23" t="s">
        <v>1</v>
      </c>
      <c r="D46" s="10" t="s">
        <v>37</v>
      </c>
      <c r="E46" s="10" t="s">
        <v>65</v>
      </c>
      <c r="F46" s="709" t="s">
        <v>41</v>
      </c>
      <c r="G46" s="710" t="s">
        <v>42</v>
      </c>
      <c r="H46" s="710" t="s">
        <v>43</v>
      </c>
      <c r="I46" s="711" t="s">
        <v>44</v>
      </c>
      <c r="J46" s="10"/>
      <c r="K46" s="24">
        <f t="shared" si="3"/>
        <v>19.8</v>
      </c>
      <c r="L46" s="24">
        <f t="shared" si="3"/>
        <v>0</v>
      </c>
      <c r="M46" s="24">
        <f t="shared" si="3"/>
        <v>19.8</v>
      </c>
    </row>
    <row r="47" spans="1:13" s="7" customFormat="1" ht="36" customHeight="1" x14ac:dyDescent="0.35">
      <c r="A47" s="11"/>
      <c r="B47" s="510" t="s">
        <v>339</v>
      </c>
      <c r="C47" s="23" t="s">
        <v>1</v>
      </c>
      <c r="D47" s="10" t="s">
        <v>37</v>
      </c>
      <c r="E47" s="10" t="s">
        <v>65</v>
      </c>
      <c r="F47" s="709" t="s">
        <v>41</v>
      </c>
      <c r="G47" s="710" t="s">
        <v>45</v>
      </c>
      <c r="H47" s="710" t="s">
        <v>43</v>
      </c>
      <c r="I47" s="711" t="s">
        <v>44</v>
      </c>
      <c r="J47" s="10"/>
      <c r="K47" s="24">
        <f t="shared" si="3"/>
        <v>19.8</v>
      </c>
      <c r="L47" s="24">
        <f t="shared" si="3"/>
        <v>0</v>
      </c>
      <c r="M47" s="24">
        <f t="shared" si="3"/>
        <v>19.8</v>
      </c>
    </row>
    <row r="48" spans="1:13" s="7" customFormat="1" ht="36" customHeight="1" x14ac:dyDescent="0.35">
      <c r="A48" s="11"/>
      <c r="B48" s="510" t="s">
        <v>54</v>
      </c>
      <c r="C48" s="23" t="s">
        <v>1</v>
      </c>
      <c r="D48" s="10" t="s">
        <v>37</v>
      </c>
      <c r="E48" s="10" t="s">
        <v>65</v>
      </c>
      <c r="F48" s="709" t="s">
        <v>41</v>
      </c>
      <c r="G48" s="710" t="s">
        <v>45</v>
      </c>
      <c r="H48" s="710" t="s">
        <v>39</v>
      </c>
      <c r="I48" s="711" t="s">
        <v>44</v>
      </c>
      <c r="J48" s="10"/>
      <c r="K48" s="24">
        <f t="shared" si="3"/>
        <v>19.8</v>
      </c>
      <c r="L48" s="24">
        <f t="shared" si="3"/>
        <v>0</v>
      </c>
      <c r="M48" s="24">
        <f t="shared" si="3"/>
        <v>19.8</v>
      </c>
    </row>
    <row r="49" spans="1:13" s="7" customFormat="1" ht="72" customHeight="1" x14ac:dyDescent="0.35">
      <c r="A49" s="11"/>
      <c r="B49" s="510" t="s">
        <v>385</v>
      </c>
      <c r="C49" s="23" t="s">
        <v>1</v>
      </c>
      <c r="D49" s="10" t="s">
        <v>37</v>
      </c>
      <c r="E49" s="10" t="s">
        <v>65</v>
      </c>
      <c r="F49" s="709" t="s">
        <v>41</v>
      </c>
      <c r="G49" s="710" t="s">
        <v>45</v>
      </c>
      <c r="H49" s="710" t="s">
        <v>39</v>
      </c>
      <c r="I49" s="711" t="s">
        <v>384</v>
      </c>
      <c r="J49" s="10"/>
      <c r="K49" s="24">
        <f>K50</f>
        <v>19.8</v>
      </c>
      <c r="L49" s="24">
        <f>L50</f>
        <v>0</v>
      </c>
      <c r="M49" s="24">
        <f>M50</f>
        <v>19.8</v>
      </c>
    </row>
    <row r="50" spans="1:13" s="7" customFormat="1" ht="54" customHeight="1" x14ac:dyDescent="0.35">
      <c r="A50" s="11"/>
      <c r="B50" s="510" t="s">
        <v>55</v>
      </c>
      <c r="C50" s="23" t="s">
        <v>1</v>
      </c>
      <c r="D50" s="10" t="s">
        <v>37</v>
      </c>
      <c r="E50" s="10" t="s">
        <v>65</v>
      </c>
      <c r="F50" s="709" t="s">
        <v>41</v>
      </c>
      <c r="G50" s="710" t="s">
        <v>45</v>
      </c>
      <c r="H50" s="710" t="s">
        <v>39</v>
      </c>
      <c r="I50" s="711" t="s">
        <v>384</v>
      </c>
      <c r="J50" s="10" t="s">
        <v>56</v>
      </c>
      <c r="K50" s="24">
        <v>19.8</v>
      </c>
      <c r="L50" s="24">
        <f>M50-K50</f>
        <v>0</v>
      </c>
      <c r="M50" s="24">
        <v>19.8</v>
      </c>
    </row>
    <row r="51" spans="1:13" s="116" customFormat="1" ht="18" customHeight="1" x14ac:dyDescent="0.35">
      <c r="A51" s="11"/>
      <c r="B51" s="510" t="s">
        <v>66</v>
      </c>
      <c r="C51" s="23" t="s">
        <v>1</v>
      </c>
      <c r="D51" s="10" t="s">
        <v>37</v>
      </c>
      <c r="E51" s="10" t="s">
        <v>67</v>
      </c>
      <c r="F51" s="709"/>
      <c r="G51" s="710"/>
      <c r="H51" s="710"/>
      <c r="I51" s="711"/>
      <c r="J51" s="10"/>
      <c r="K51" s="24">
        <f t="shared" ref="K51:M52" si="4">K52</f>
        <v>7593.1629999999959</v>
      </c>
      <c r="L51" s="24">
        <f t="shared" si="4"/>
        <v>4141.7429399999992</v>
      </c>
      <c r="M51" s="24">
        <f t="shared" si="4"/>
        <v>11734.905939999995</v>
      </c>
    </row>
    <row r="52" spans="1:13" s="116" customFormat="1" ht="36" customHeight="1" x14ac:dyDescent="0.35">
      <c r="A52" s="11"/>
      <c r="B52" s="510" t="s">
        <v>445</v>
      </c>
      <c r="C52" s="23" t="s">
        <v>1</v>
      </c>
      <c r="D52" s="10" t="s">
        <v>37</v>
      </c>
      <c r="E52" s="10" t="s">
        <v>67</v>
      </c>
      <c r="F52" s="709" t="s">
        <v>68</v>
      </c>
      <c r="G52" s="710" t="s">
        <v>42</v>
      </c>
      <c r="H52" s="710" t="s">
        <v>43</v>
      </c>
      <c r="I52" s="711" t="s">
        <v>44</v>
      </c>
      <c r="J52" s="10"/>
      <c r="K52" s="24">
        <f t="shared" si="4"/>
        <v>7593.1629999999959</v>
      </c>
      <c r="L52" s="24">
        <f t="shared" si="4"/>
        <v>4141.7429399999992</v>
      </c>
      <c r="M52" s="24">
        <f t="shared" si="4"/>
        <v>11734.905939999995</v>
      </c>
    </row>
    <row r="53" spans="1:13" s="116" customFormat="1" ht="18" customHeight="1" x14ac:dyDescent="0.35">
      <c r="A53" s="11"/>
      <c r="B53" s="543" t="s">
        <v>446</v>
      </c>
      <c r="C53" s="23" t="s">
        <v>1</v>
      </c>
      <c r="D53" s="10" t="s">
        <v>37</v>
      </c>
      <c r="E53" s="10" t="s">
        <v>67</v>
      </c>
      <c r="F53" s="709" t="s">
        <v>68</v>
      </c>
      <c r="G53" s="710" t="s">
        <v>45</v>
      </c>
      <c r="H53" s="710" t="s">
        <v>43</v>
      </c>
      <c r="I53" s="711" t="s">
        <v>44</v>
      </c>
      <c r="J53" s="10"/>
      <c r="K53" s="24">
        <f t="shared" ref="K53:M54" si="5">K54</f>
        <v>7593.1629999999959</v>
      </c>
      <c r="L53" s="24">
        <f t="shared" si="5"/>
        <v>4141.7429399999992</v>
      </c>
      <c r="M53" s="24">
        <f t="shared" si="5"/>
        <v>11734.905939999995</v>
      </c>
    </row>
    <row r="54" spans="1:13" s="116" customFormat="1" ht="36" customHeight="1" x14ac:dyDescent="0.35">
      <c r="A54" s="11"/>
      <c r="B54" s="510" t="s">
        <v>444</v>
      </c>
      <c r="C54" s="23" t="s">
        <v>1</v>
      </c>
      <c r="D54" s="10" t="s">
        <v>37</v>
      </c>
      <c r="E54" s="10" t="s">
        <v>67</v>
      </c>
      <c r="F54" s="709" t="s">
        <v>68</v>
      </c>
      <c r="G54" s="710" t="s">
        <v>45</v>
      </c>
      <c r="H54" s="710" t="s">
        <v>43</v>
      </c>
      <c r="I54" s="711" t="s">
        <v>69</v>
      </c>
      <c r="J54" s="10"/>
      <c r="K54" s="24">
        <f t="shared" si="5"/>
        <v>7593.1629999999959</v>
      </c>
      <c r="L54" s="24">
        <f t="shared" si="5"/>
        <v>4141.7429399999992</v>
      </c>
      <c r="M54" s="24">
        <f t="shared" si="5"/>
        <v>11734.905939999995</v>
      </c>
    </row>
    <row r="55" spans="1:13" s="116" customFormat="1" ht="18" customHeight="1" x14ac:dyDescent="0.35">
      <c r="A55" s="11"/>
      <c r="B55" s="510" t="s">
        <v>57</v>
      </c>
      <c r="C55" s="23" t="s">
        <v>1</v>
      </c>
      <c r="D55" s="10" t="s">
        <v>37</v>
      </c>
      <c r="E55" s="10" t="s">
        <v>67</v>
      </c>
      <c r="F55" s="709" t="s">
        <v>68</v>
      </c>
      <c r="G55" s="710" t="s">
        <v>45</v>
      </c>
      <c r="H55" s="710" t="s">
        <v>43</v>
      </c>
      <c r="I55" s="711" t="s">
        <v>69</v>
      </c>
      <c r="J55" s="10" t="s">
        <v>58</v>
      </c>
      <c r="K55" s="24">
        <f>55921.2-357.1-600-338-280.5-596.1-619.3-661.8-39190.7+1009.1-1070.2+20816+282.1-1769.3-18635.2+0.005-63-2699+605.6-6120-280.5-88-98.8-1204.272+6712.8+0.03-649.1-435-775-1192.8-30</f>
        <v>7593.1629999999959</v>
      </c>
      <c r="L55" s="24">
        <f>M55-K55</f>
        <v>4141.7429399999992</v>
      </c>
      <c r="M55" s="24">
        <f>55921.2-357.1-600-338-280.5-596.1-619.3-661.8-39190.7+1009.1-1070.2+20816+282.1-1769.3-18635.2+0.005-63-2699+605.6-6120-280.5-88-98.8-1204.272+6712.8+0.03-649.1-435-775-1192.8-30+682.3+3751.04294-291.6</f>
        <v>11734.905939999995</v>
      </c>
    </row>
    <row r="56" spans="1:13" s="116" customFormat="1" ht="18" customHeight="1" x14ac:dyDescent="0.35">
      <c r="A56" s="11"/>
      <c r="B56" s="510" t="s">
        <v>70</v>
      </c>
      <c r="C56" s="23" t="s">
        <v>1</v>
      </c>
      <c r="D56" s="10" t="s">
        <v>37</v>
      </c>
      <c r="E56" s="10" t="s">
        <v>71</v>
      </c>
      <c r="F56" s="709"/>
      <c r="G56" s="710"/>
      <c r="H56" s="710"/>
      <c r="I56" s="711"/>
      <c r="J56" s="10"/>
      <c r="K56" s="24">
        <f>K57+K67+K62+K88</f>
        <v>80292.510000000009</v>
      </c>
      <c r="L56" s="24">
        <f>L57+L67+L62+L88</f>
        <v>7295.7999999999975</v>
      </c>
      <c r="M56" s="24">
        <f>M57+M67+M62+M88</f>
        <v>87588.31</v>
      </c>
    </row>
    <row r="57" spans="1:13" s="116" customFormat="1" ht="72" customHeight="1" x14ac:dyDescent="0.35">
      <c r="A57" s="11"/>
      <c r="B57" s="593" t="s">
        <v>332</v>
      </c>
      <c r="C57" s="23" t="s">
        <v>1</v>
      </c>
      <c r="D57" s="10" t="s">
        <v>37</v>
      </c>
      <c r="E57" s="10" t="s">
        <v>71</v>
      </c>
      <c r="F57" s="709" t="s">
        <v>104</v>
      </c>
      <c r="G57" s="710" t="s">
        <v>42</v>
      </c>
      <c r="H57" s="710" t="s">
        <v>43</v>
      </c>
      <c r="I57" s="711" t="s">
        <v>44</v>
      </c>
      <c r="J57" s="10"/>
      <c r="K57" s="24">
        <f t="shared" ref="K57:M60" si="6">K58</f>
        <v>92.2</v>
      </c>
      <c r="L57" s="24">
        <f t="shared" si="6"/>
        <v>0</v>
      </c>
      <c r="M57" s="24">
        <f t="shared" si="6"/>
        <v>92.2</v>
      </c>
    </row>
    <row r="58" spans="1:13" s="116" customFormat="1" ht="36" customHeight="1" x14ac:dyDescent="0.35">
      <c r="A58" s="11"/>
      <c r="B58" s="593" t="s">
        <v>479</v>
      </c>
      <c r="C58" s="23" t="s">
        <v>1</v>
      </c>
      <c r="D58" s="10" t="s">
        <v>37</v>
      </c>
      <c r="E58" s="10" t="s">
        <v>71</v>
      </c>
      <c r="F58" s="709" t="s">
        <v>104</v>
      </c>
      <c r="G58" s="710" t="s">
        <v>480</v>
      </c>
      <c r="H58" s="710" t="s">
        <v>43</v>
      </c>
      <c r="I58" s="711" t="s">
        <v>44</v>
      </c>
      <c r="J58" s="10"/>
      <c r="K58" s="24">
        <f t="shared" si="6"/>
        <v>92.2</v>
      </c>
      <c r="L58" s="24">
        <f t="shared" si="6"/>
        <v>0</v>
      </c>
      <c r="M58" s="24">
        <f t="shared" si="6"/>
        <v>92.2</v>
      </c>
    </row>
    <row r="59" spans="1:13" s="116" customFormat="1" ht="36" customHeight="1" x14ac:dyDescent="0.35">
      <c r="A59" s="11"/>
      <c r="B59" s="593" t="s">
        <v>628</v>
      </c>
      <c r="C59" s="23" t="s">
        <v>1</v>
      </c>
      <c r="D59" s="10" t="s">
        <v>37</v>
      </c>
      <c r="E59" s="10" t="s">
        <v>71</v>
      </c>
      <c r="F59" s="709" t="s">
        <v>104</v>
      </c>
      <c r="G59" s="710" t="s">
        <v>480</v>
      </c>
      <c r="H59" s="710" t="s">
        <v>37</v>
      </c>
      <c r="I59" s="711" t="s">
        <v>44</v>
      </c>
      <c r="J59" s="10"/>
      <c r="K59" s="24">
        <f t="shared" si="6"/>
        <v>92.2</v>
      </c>
      <c r="L59" s="24">
        <f t="shared" si="6"/>
        <v>0</v>
      </c>
      <c r="M59" s="24">
        <f t="shared" si="6"/>
        <v>92.2</v>
      </c>
    </row>
    <row r="60" spans="1:13" s="116" customFormat="1" ht="72" customHeight="1" x14ac:dyDescent="0.35">
      <c r="A60" s="11"/>
      <c r="B60" s="593" t="s">
        <v>629</v>
      </c>
      <c r="C60" s="23" t="s">
        <v>1</v>
      </c>
      <c r="D60" s="10" t="s">
        <v>37</v>
      </c>
      <c r="E60" s="10" t="s">
        <v>71</v>
      </c>
      <c r="F60" s="709" t="s">
        <v>104</v>
      </c>
      <c r="G60" s="710" t="s">
        <v>480</v>
      </c>
      <c r="H60" s="710" t="s">
        <v>37</v>
      </c>
      <c r="I60" s="711" t="s">
        <v>630</v>
      </c>
      <c r="J60" s="10"/>
      <c r="K60" s="24">
        <f t="shared" si="6"/>
        <v>92.2</v>
      </c>
      <c r="L60" s="24">
        <f t="shared" si="6"/>
        <v>0</v>
      </c>
      <c r="M60" s="24">
        <f t="shared" si="6"/>
        <v>92.2</v>
      </c>
    </row>
    <row r="61" spans="1:13" s="116" customFormat="1" ht="54" customHeight="1" x14ac:dyDescent="0.35">
      <c r="A61" s="11"/>
      <c r="B61" s="593" t="s">
        <v>55</v>
      </c>
      <c r="C61" s="23" t="s">
        <v>1</v>
      </c>
      <c r="D61" s="10" t="s">
        <v>37</v>
      </c>
      <c r="E61" s="10" t="s">
        <v>71</v>
      </c>
      <c r="F61" s="709" t="s">
        <v>104</v>
      </c>
      <c r="G61" s="710" t="s">
        <v>480</v>
      </c>
      <c r="H61" s="710" t="s">
        <v>37</v>
      </c>
      <c r="I61" s="711" t="s">
        <v>630</v>
      </c>
      <c r="J61" s="10" t="s">
        <v>56</v>
      </c>
      <c r="K61" s="24">
        <v>92.2</v>
      </c>
      <c r="L61" s="24">
        <f>M61-K61</f>
        <v>0</v>
      </c>
      <c r="M61" s="24">
        <v>92.2</v>
      </c>
    </row>
    <row r="62" spans="1:13" s="116" customFormat="1" ht="72" customHeight="1" x14ac:dyDescent="0.35">
      <c r="A62" s="11"/>
      <c r="B62" s="510" t="s">
        <v>72</v>
      </c>
      <c r="C62" s="23" t="s">
        <v>1</v>
      </c>
      <c r="D62" s="10" t="s">
        <v>37</v>
      </c>
      <c r="E62" s="10" t="s">
        <v>71</v>
      </c>
      <c r="F62" s="709" t="s">
        <v>73</v>
      </c>
      <c r="G62" s="710" t="s">
        <v>42</v>
      </c>
      <c r="H62" s="710" t="s">
        <v>43</v>
      </c>
      <c r="I62" s="711" t="s">
        <v>44</v>
      </c>
      <c r="J62" s="10"/>
      <c r="K62" s="24">
        <f t="shared" ref="K62:M64" si="7">K63</f>
        <v>1782.9</v>
      </c>
      <c r="L62" s="24">
        <f t="shared" si="7"/>
        <v>0</v>
      </c>
      <c r="M62" s="24">
        <f t="shared" si="7"/>
        <v>1782.9</v>
      </c>
    </row>
    <row r="63" spans="1:13" s="116" customFormat="1" ht="36" customHeight="1" x14ac:dyDescent="0.35">
      <c r="A63" s="11"/>
      <c r="B63" s="510" t="s">
        <v>339</v>
      </c>
      <c r="C63" s="23" t="s">
        <v>1</v>
      </c>
      <c r="D63" s="10" t="s">
        <v>37</v>
      </c>
      <c r="E63" s="10" t="s">
        <v>71</v>
      </c>
      <c r="F63" s="709" t="s">
        <v>73</v>
      </c>
      <c r="G63" s="710" t="s">
        <v>45</v>
      </c>
      <c r="H63" s="710" t="s">
        <v>43</v>
      </c>
      <c r="I63" s="711" t="s">
        <v>44</v>
      </c>
      <c r="J63" s="10"/>
      <c r="K63" s="24">
        <f t="shared" si="7"/>
        <v>1782.9</v>
      </c>
      <c r="L63" s="24">
        <f t="shared" si="7"/>
        <v>0</v>
      </c>
      <c r="M63" s="24">
        <f t="shared" si="7"/>
        <v>1782.9</v>
      </c>
    </row>
    <row r="64" spans="1:13" s="116" customFormat="1" ht="54" customHeight="1" x14ac:dyDescent="0.35">
      <c r="A64" s="11"/>
      <c r="B64" s="543" t="s">
        <v>266</v>
      </c>
      <c r="C64" s="23" t="s">
        <v>1</v>
      </c>
      <c r="D64" s="10" t="s">
        <v>37</v>
      </c>
      <c r="E64" s="10" t="s">
        <v>71</v>
      </c>
      <c r="F64" s="709" t="s">
        <v>73</v>
      </c>
      <c r="G64" s="710" t="s">
        <v>45</v>
      </c>
      <c r="H64" s="710" t="s">
        <v>37</v>
      </c>
      <c r="I64" s="711" t="s">
        <v>44</v>
      </c>
      <c r="J64" s="10"/>
      <c r="K64" s="24">
        <f t="shared" si="7"/>
        <v>1782.9</v>
      </c>
      <c r="L64" s="24">
        <f t="shared" si="7"/>
        <v>0</v>
      </c>
      <c r="M64" s="24">
        <f t="shared" si="7"/>
        <v>1782.9</v>
      </c>
    </row>
    <row r="65" spans="1:13" s="116" customFormat="1" ht="54" customHeight="1" x14ac:dyDescent="0.35">
      <c r="A65" s="11"/>
      <c r="B65" s="543" t="s">
        <v>74</v>
      </c>
      <c r="C65" s="23" t="s">
        <v>1</v>
      </c>
      <c r="D65" s="10" t="s">
        <v>37</v>
      </c>
      <c r="E65" s="10" t="s">
        <v>71</v>
      </c>
      <c r="F65" s="709" t="s">
        <v>73</v>
      </c>
      <c r="G65" s="710" t="s">
        <v>45</v>
      </c>
      <c r="H65" s="710" t="s">
        <v>37</v>
      </c>
      <c r="I65" s="711" t="s">
        <v>75</v>
      </c>
      <c r="J65" s="10"/>
      <c r="K65" s="24">
        <f>K66</f>
        <v>1782.9</v>
      </c>
      <c r="L65" s="24">
        <f>L66</f>
        <v>0</v>
      </c>
      <c r="M65" s="24">
        <f>M66</f>
        <v>1782.9</v>
      </c>
    </row>
    <row r="66" spans="1:13" s="116" customFormat="1" ht="54" customHeight="1" x14ac:dyDescent="0.35">
      <c r="A66" s="11"/>
      <c r="B66" s="517" t="s">
        <v>76</v>
      </c>
      <c r="C66" s="23" t="s">
        <v>1</v>
      </c>
      <c r="D66" s="10" t="s">
        <v>37</v>
      </c>
      <c r="E66" s="10" t="s">
        <v>71</v>
      </c>
      <c r="F66" s="709" t="s">
        <v>73</v>
      </c>
      <c r="G66" s="710" t="s">
        <v>45</v>
      </c>
      <c r="H66" s="710" t="s">
        <v>37</v>
      </c>
      <c r="I66" s="711" t="s">
        <v>75</v>
      </c>
      <c r="J66" s="10" t="s">
        <v>77</v>
      </c>
      <c r="K66" s="24">
        <f>406.2+596.7+200+580</f>
        <v>1782.9</v>
      </c>
      <c r="L66" s="24">
        <f>M66-K66</f>
        <v>0</v>
      </c>
      <c r="M66" s="24">
        <f>406.2+596.7+200+580</f>
        <v>1782.9</v>
      </c>
    </row>
    <row r="67" spans="1:13" s="116" customFormat="1" ht="54" customHeight="1" x14ac:dyDescent="0.35">
      <c r="A67" s="11"/>
      <c r="B67" s="510" t="s">
        <v>40</v>
      </c>
      <c r="C67" s="23" t="s">
        <v>1</v>
      </c>
      <c r="D67" s="10" t="s">
        <v>37</v>
      </c>
      <c r="E67" s="10" t="s">
        <v>71</v>
      </c>
      <c r="F67" s="709" t="s">
        <v>41</v>
      </c>
      <c r="G67" s="710" t="s">
        <v>42</v>
      </c>
      <c r="H67" s="710" t="s">
        <v>43</v>
      </c>
      <c r="I67" s="711" t="s">
        <v>44</v>
      </c>
      <c r="J67" s="10"/>
      <c r="K67" s="24">
        <f>K68</f>
        <v>52823.210000000006</v>
      </c>
      <c r="L67" s="24">
        <f>L68</f>
        <v>3368.1999999999989</v>
      </c>
      <c r="M67" s="24">
        <f>M68</f>
        <v>56191.41</v>
      </c>
    </row>
    <row r="68" spans="1:13" s="116" customFormat="1" ht="36" customHeight="1" x14ac:dyDescent="0.35">
      <c r="A68" s="11"/>
      <c r="B68" s="510" t="s">
        <v>339</v>
      </c>
      <c r="C68" s="23" t="s">
        <v>1</v>
      </c>
      <c r="D68" s="10" t="s">
        <v>37</v>
      </c>
      <c r="E68" s="10" t="s">
        <v>71</v>
      </c>
      <c r="F68" s="709" t="s">
        <v>41</v>
      </c>
      <c r="G68" s="710" t="s">
        <v>45</v>
      </c>
      <c r="H68" s="710" t="s">
        <v>43</v>
      </c>
      <c r="I68" s="711" t="s">
        <v>44</v>
      </c>
      <c r="J68" s="10"/>
      <c r="K68" s="24">
        <f>K73+K69+K81+K78</f>
        <v>52823.210000000006</v>
      </c>
      <c r="L68" s="24">
        <f>L73+L69+L81+L78</f>
        <v>3368.1999999999989</v>
      </c>
      <c r="M68" s="24">
        <f>M73+M69+M81+M78</f>
        <v>56191.41</v>
      </c>
    </row>
    <row r="69" spans="1:13" s="116" customFormat="1" ht="18" customHeight="1" x14ac:dyDescent="0.35">
      <c r="A69" s="11"/>
      <c r="B69" s="517" t="s">
        <v>62</v>
      </c>
      <c r="C69" s="23" t="s">
        <v>1</v>
      </c>
      <c r="D69" s="10" t="s">
        <v>37</v>
      </c>
      <c r="E69" s="10" t="s">
        <v>71</v>
      </c>
      <c r="F69" s="709" t="s">
        <v>41</v>
      </c>
      <c r="G69" s="710" t="s">
        <v>45</v>
      </c>
      <c r="H69" s="710" t="s">
        <v>63</v>
      </c>
      <c r="I69" s="711" t="s">
        <v>44</v>
      </c>
      <c r="J69" s="10"/>
      <c r="K69" s="24">
        <f>K70</f>
        <v>6426.4</v>
      </c>
      <c r="L69" s="24">
        <f>L70</f>
        <v>19.300000000000182</v>
      </c>
      <c r="M69" s="24">
        <f>M70</f>
        <v>6445.7</v>
      </c>
    </row>
    <row r="70" spans="1:13" s="116" customFormat="1" ht="67.5" customHeight="1" x14ac:dyDescent="0.35">
      <c r="A70" s="11"/>
      <c r="B70" s="517" t="s">
        <v>379</v>
      </c>
      <c r="C70" s="23" t="s">
        <v>1</v>
      </c>
      <c r="D70" s="10" t="s">
        <v>37</v>
      </c>
      <c r="E70" s="10" t="s">
        <v>71</v>
      </c>
      <c r="F70" s="709" t="s">
        <v>41</v>
      </c>
      <c r="G70" s="710" t="s">
        <v>45</v>
      </c>
      <c r="H70" s="710" t="s">
        <v>63</v>
      </c>
      <c r="I70" s="711" t="s">
        <v>378</v>
      </c>
      <c r="J70" s="10"/>
      <c r="K70" s="24">
        <f>K71+K72</f>
        <v>6426.4</v>
      </c>
      <c r="L70" s="24">
        <f>L71+L72</f>
        <v>19.300000000000182</v>
      </c>
      <c r="M70" s="24">
        <f>M71+M72</f>
        <v>6445.7</v>
      </c>
    </row>
    <row r="71" spans="1:13" s="116" customFormat="1" ht="54" customHeight="1" x14ac:dyDescent="0.35">
      <c r="A71" s="11"/>
      <c r="B71" s="510" t="s">
        <v>55</v>
      </c>
      <c r="C71" s="23" t="s">
        <v>1</v>
      </c>
      <c r="D71" s="10" t="s">
        <v>37</v>
      </c>
      <c r="E71" s="10" t="s">
        <v>71</v>
      </c>
      <c r="F71" s="709" t="s">
        <v>41</v>
      </c>
      <c r="G71" s="710" t="s">
        <v>45</v>
      </c>
      <c r="H71" s="710" t="s">
        <v>63</v>
      </c>
      <c r="I71" s="711" t="s">
        <v>378</v>
      </c>
      <c r="J71" s="10" t="s">
        <v>56</v>
      </c>
      <c r="K71" s="24">
        <f>1911.5+1226.2-840+2500+39.3+30.2+435+47.9+850</f>
        <v>6200.0999999999995</v>
      </c>
      <c r="L71" s="24">
        <f>M71-K71</f>
        <v>19.300000000000182</v>
      </c>
      <c r="M71" s="24">
        <f>1911.5+1226.2-840+2500+39.3+30.2+435+47.9+850+19.3</f>
        <v>6219.4</v>
      </c>
    </row>
    <row r="72" spans="1:13" s="116" customFormat="1" ht="18" customHeight="1" x14ac:dyDescent="0.35">
      <c r="A72" s="11"/>
      <c r="B72" s="510" t="s">
        <v>57</v>
      </c>
      <c r="C72" s="23" t="s">
        <v>1</v>
      </c>
      <c r="D72" s="10" t="s">
        <v>37</v>
      </c>
      <c r="E72" s="10" t="s">
        <v>71</v>
      </c>
      <c r="F72" s="709" t="s">
        <v>41</v>
      </c>
      <c r="G72" s="710" t="s">
        <v>45</v>
      </c>
      <c r="H72" s="710" t="s">
        <v>63</v>
      </c>
      <c r="I72" s="711" t="s">
        <v>378</v>
      </c>
      <c r="J72" s="10" t="s">
        <v>58</v>
      </c>
      <c r="K72" s="24">
        <v>226.3</v>
      </c>
      <c r="L72" s="24">
        <f>M72-K72</f>
        <v>0</v>
      </c>
      <c r="M72" s="24">
        <v>226.3</v>
      </c>
    </row>
    <row r="73" spans="1:13" s="116" customFormat="1" ht="18" customHeight="1" x14ac:dyDescent="0.35">
      <c r="A73" s="11"/>
      <c r="B73" s="510" t="s">
        <v>64</v>
      </c>
      <c r="C73" s="23" t="s">
        <v>1</v>
      </c>
      <c r="D73" s="10" t="s">
        <v>37</v>
      </c>
      <c r="E73" s="10" t="s">
        <v>71</v>
      </c>
      <c r="F73" s="709" t="s">
        <v>41</v>
      </c>
      <c r="G73" s="710" t="s">
        <v>45</v>
      </c>
      <c r="H73" s="710" t="s">
        <v>52</v>
      </c>
      <c r="I73" s="711" t="s">
        <v>44</v>
      </c>
      <c r="J73" s="10"/>
      <c r="K73" s="24">
        <f>K74+K76</f>
        <v>6328.7</v>
      </c>
      <c r="L73" s="24">
        <f>L74+L76</f>
        <v>110</v>
      </c>
      <c r="M73" s="24">
        <f>M74+M76</f>
        <v>6438.7</v>
      </c>
    </row>
    <row r="74" spans="1:13" s="116" customFormat="1" ht="69" customHeight="1" x14ac:dyDescent="0.35">
      <c r="A74" s="11"/>
      <c r="B74" s="559" t="s">
        <v>352</v>
      </c>
      <c r="C74" s="23" t="s">
        <v>1</v>
      </c>
      <c r="D74" s="10" t="s">
        <v>37</v>
      </c>
      <c r="E74" s="10" t="s">
        <v>71</v>
      </c>
      <c r="F74" s="709" t="s">
        <v>41</v>
      </c>
      <c r="G74" s="710" t="s">
        <v>45</v>
      </c>
      <c r="H74" s="710" t="s">
        <v>52</v>
      </c>
      <c r="I74" s="711" t="s">
        <v>105</v>
      </c>
      <c r="J74" s="10"/>
      <c r="K74" s="24">
        <f>K75</f>
        <v>3239.7</v>
      </c>
      <c r="L74" s="24">
        <f>L75</f>
        <v>110</v>
      </c>
      <c r="M74" s="24">
        <f>M75</f>
        <v>3349.7</v>
      </c>
    </row>
    <row r="75" spans="1:13" s="116" customFormat="1" ht="54" customHeight="1" x14ac:dyDescent="0.35">
      <c r="A75" s="11"/>
      <c r="B75" s="510" t="s">
        <v>55</v>
      </c>
      <c r="C75" s="23" t="s">
        <v>1</v>
      </c>
      <c r="D75" s="10" t="s">
        <v>37</v>
      </c>
      <c r="E75" s="10" t="s">
        <v>71</v>
      </c>
      <c r="F75" s="709" t="s">
        <v>41</v>
      </c>
      <c r="G75" s="710" t="s">
        <v>45</v>
      </c>
      <c r="H75" s="710" t="s">
        <v>52</v>
      </c>
      <c r="I75" s="711" t="s">
        <v>105</v>
      </c>
      <c r="J75" s="10" t="s">
        <v>56</v>
      </c>
      <c r="K75" s="24">
        <f>1138.8+1117.6+840+143.3</f>
        <v>3239.7</v>
      </c>
      <c r="L75" s="24">
        <f>M75-K75</f>
        <v>110</v>
      </c>
      <c r="M75" s="24">
        <f>1138.8+1117.6+840+143.3+110</f>
        <v>3349.7</v>
      </c>
    </row>
    <row r="76" spans="1:13" s="116" customFormat="1" ht="54" customHeight="1" x14ac:dyDescent="0.35">
      <c r="A76" s="11"/>
      <c r="B76" s="510" t="s">
        <v>354</v>
      </c>
      <c r="C76" s="23" t="s">
        <v>1</v>
      </c>
      <c r="D76" s="10" t="s">
        <v>37</v>
      </c>
      <c r="E76" s="10" t="s">
        <v>71</v>
      </c>
      <c r="F76" s="709" t="s">
        <v>41</v>
      </c>
      <c r="G76" s="710" t="s">
        <v>45</v>
      </c>
      <c r="H76" s="710" t="s">
        <v>52</v>
      </c>
      <c r="I76" s="711" t="s">
        <v>353</v>
      </c>
      <c r="J76" s="10"/>
      <c r="K76" s="24">
        <f>K77</f>
        <v>3089</v>
      </c>
      <c r="L76" s="24">
        <f>L77</f>
        <v>0</v>
      </c>
      <c r="M76" s="24">
        <f>M77</f>
        <v>3089</v>
      </c>
    </row>
    <row r="77" spans="1:13" s="116" customFormat="1" ht="54" customHeight="1" x14ac:dyDescent="0.35">
      <c r="A77" s="11"/>
      <c r="B77" s="510" t="s">
        <v>55</v>
      </c>
      <c r="C77" s="23" t="s">
        <v>1</v>
      </c>
      <c r="D77" s="10" t="s">
        <v>37</v>
      </c>
      <c r="E77" s="10" t="s">
        <v>71</v>
      </c>
      <c r="F77" s="709" t="s">
        <v>41</v>
      </c>
      <c r="G77" s="710" t="s">
        <v>45</v>
      </c>
      <c r="H77" s="710" t="s">
        <v>52</v>
      </c>
      <c r="I77" s="711" t="s">
        <v>353</v>
      </c>
      <c r="J77" s="10" t="s">
        <v>56</v>
      </c>
      <c r="K77" s="24">
        <f>2089+1000</f>
        <v>3089</v>
      </c>
      <c r="L77" s="24">
        <f>M77-K77</f>
        <v>0</v>
      </c>
      <c r="M77" s="24">
        <f>2089+1000</f>
        <v>3089</v>
      </c>
    </row>
    <row r="78" spans="1:13" s="116" customFormat="1" ht="36" customHeight="1" x14ac:dyDescent="0.35">
      <c r="A78" s="11"/>
      <c r="B78" s="593" t="s">
        <v>374</v>
      </c>
      <c r="C78" s="23" t="s">
        <v>1</v>
      </c>
      <c r="D78" s="10" t="s">
        <v>37</v>
      </c>
      <c r="E78" s="10" t="s">
        <v>71</v>
      </c>
      <c r="F78" s="709" t="s">
        <v>41</v>
      </c>
      <c r="G78" s="710" t="s">
        <v>45</v>
      </c>
      <c r="H78" s="710" t="s">
        <v>672</v>
      </c>
      <c r="I78" s="711" t="s">
        <v>44</v>
      </c>
      <c r="J78" s="10"/>
      <c r="K78" s="24">
        <f t="shared" ref="K78:M78" si="8">K79</f>
        <v>1510.3</v>
      </c>
      <c r="L78" s="24">
        <f t="shared" si="8"/>
        <v>68.799999999999955</v>
      </c>
      <c r="M78" s="24">
        <f t="shared" si="8"/>
        <v>1579.1</v>
      </c>
    </row>
    <row r="79" spans="1:13" s="116" customFormat="1" ht="36" customHeight="1" x14ac:dyDescent="0.35">
      <c r="A79" s="11"/>
      <c r="B79" s="593" t="s">
        <v>337</v>
      </c>
      <c r="C79" s="23" t="s">
        <v>1</v>
      </c>
      <c r="D79" s="10" t="s">
        <v>37</v>
      </c>
      <c r="E79" s="10" t="s">
        <v>71</v>
      </c>
      <c r="F79" s="709" t="s">
        <v>41</v>
      </c>
      <c r="G79" s="710" t="s">
        <v>45</v>
      </c>
      <c r="H79" s="710" t="s">
        <v>672</v>
      </c>
      <c r="I79" s="711" t="s">
        <v>336</v>
      </c>
      <c r="J79" s="10"/>
      <c r="K79" s="24">
        <f>K80</f>
        <v>1510.3</v>
      </c>
      <c r="L79" s="24">
        <f>L80</f>
        <v>68.799999999999955</v>
      </c>
      <c r="M79" s="24">
        <f>M80</f>
        <v>1579.1</v>
      </c>
    </row>
    <row r="80" spans="1:13" s="116" customFormat="1" ht="18" x14ac:dyDescent="0.35">
      <c r="A80" s="11"/>
      <c r="B80" s="510" t="s">
        <v>57</v>
      </c>
      <c r="C80" s="23" t="s">
        <v>1</v>
      </c>
      <c r="D80" s="10" t="s">
        <v>37</v>
      </c>
      <c r="E80" s="10" t="s">
        <v>71</v>
      </c>
      <c r="F80" s="709" t="s">
        <v>41</v>
      </c>
      <c r="G80" s="710" t="s">
        <v>45</v>
      </c>
      <c r="H80" s="710" t="s">
        <v>672</v>
      </c>
      <c r="I80" s="711" t="s">
        <v>336</v>
      </c>
      <c r="J80" s="10" t="s">
        <v>58</v>
      </c>
      <c r="K80" s="24">
        <f>1089+421.3</f>
        <v>1510.3</v>
      </c>
      <c r="L80" s="24">
        <f t="shared" ref="L80" si="9">M80-K80</f>
        <v>68.799999999999955</v>
      </c>
      <c r="M80" s="24">
        <f>1089+421.3+68.8</f>
        <v>1579.1</v>
      </c>
    </row>
    <row r="81" spans="1:13" s="116" customFormat="1" ht="100.5" customHeight="1" x14ac:dyDescent="0.35">
      <c r="A81" s="11"/>
      <c r="B81" s="510" t="s">
        <v>601</v>
      </c>
      <c r="C81" s="23" t="s">
        <v>1</v>
      </c>
      <c r="D81" s="10" t="s">
        <v>37</v>
      </c>
      <c r="E81" s="10" t="s">
        <v>71</v>
      </c>
      <c r="F81" s="709" t="s">
        <v>41</v>
      </c>
      <c r="G81" s="710" t="s">
        <v>45</v>
      </c>
      <c r="H81" s="710" t="s">
        <v>590</v>
      </c>
      <c r="I81" s="711" t="s">
        <v>44</v>
      </c>
      <c r="J81" s="10"/>
      <c r="K81" s="24">
        <f>K82+K86</f>
        <v>38557.810000000005</v>
      </c>
      <c r="L81" s="24">
        <f>L82+L86</f>
        <v>3170.0999999999985</v>
      </c>
      <c r="M81" s="24">
        <f>M82+M86</f>
        <v>41727.910000000003</v>
      </c>
    </row>
    <row r="82" spans="1:13" s="116" customFormat="1" ht="36" customHeight="1" x14ac:dyDescent="0.35">
      <c r="A82" s="11"/>
      <c r="B82" s="543" t="s">
        <v>464</v>
      </c>
      <c r="C82" s="23" t="s">
        <v>1</v>
      </c>
      <c r="D82" s="10" t="s">
        <v>37</v>
      </c>
      <c r="E82" s="10" t="s">
        <v>71</v>
      </c>
      <c r="F82" s="709" t="s">
        <v>41</v>
      </c>
      <c r="G82" s="710" t="s">
        <v>45</v>
      </c>
      <c r="H82" s="710" t="s">
        <v>590</v>
      </c>
      <c r="I82" s="711" t="s">
        <v>91</v>
      </c>
      <c r="J82" s="10"/>
      <c r="K82" s="24">
        <f>SUM(K83:K85)</f>
        <v>36927.51</v>
      </c>
      <c r="L82" s="24">
        <f>SUM(L83:L85)</f>
        <v>3170.0999999999985</v>
      </c>
      <c r="M82" s="24">
        <f>SUM(M83:M85)</f>
        <v>40097.61</v>
      </c>
    </row>
    <row r="83" spans="1:13" s="116" customFormat="1" ht="108" customHeight="1" x14ac:dyDescent="0.35">
      <c r="A83" s="11"/>
      <c r="B83" s="510" t="s">
        <v>49</v>
      </c>
      <c r="C83" s="23" t="s">
        <v>1</v>
      </c>
      <c r="D83" s="10" t="s">
        <v>37</v>
      </c>
      <c r="E83" s="10" t="s">
        <v>71</v>
      </c>
      <c r="F83" s="709" t="s">
        <v>41</v>
      </c>
      <c r="G83" s="710" t="s">
        <v>45</v>
      </c>
      <c r="H83" s="710" t="s">
        <v>590</v>
      </c>
      <c r="I83" s="711" t="s">
        <v>91</v>
      </c>
      <c r="J83" s="10" t="s">
        <v>50</v>
      </c>
      <c r="K83" s="24">
        <f>23306.3-1204.3+5512.1</f>
        <v>27614.1</v>
      </c>
      <c r="L83" s="24">
        <f>M83-K83</f>
        <v>1398.7999999999993</v>
      </c>
      <c r="M83" s="24">
        <f>23306.3-1204.3+5512.1-797.8+827.3+1024.1+326.2+19</f>
        <v>29012.899999999998</v>
      </c>
    </row>
    <row r="84" spans="1:13" s="116" customFormat="1" ht="54" customHeight="1" x14ac:dyDescent="0.35">
      <c r="A84" s="11"/>
      <c r="B84" s="510" t="s">
        <v>55</v>
      </c>
      <c r="C84" s="23" t="s">
        <v>1</v>
      </c>
      <c r="D84" s="10" t="s">
        <v>37</v>
      </c>
      <c r="E84" s="10" t="s">
        <v>71</v>
      </c>
      <c r="F84" s="709" t="s">
        <v>41</v>
      </c>
      <c r="G84" s="710" t="s">
        <v>45</v>
      </c>
      <c r="H84" s="710" t="s">
        <v>590</v>
      </c>
      <c r="I84" s="711" t="s">
        <v>91</v>
      </c>
      <c r="J84" s="10" t="s">
        <v>56</v>
      </c>
      <c r="K84" s="24">
        <f>6279.1+596.1+559.5+225+754+95.5-71.69+675+78.2+30.4+30</f>
        <v>9251.11</v>
      </c>
      <c r="L84" s="24">
        <f>M84-K84</f>
        <v>1771.2999999999993</v>
      </c>
      <c r="M84" s="24">
        <f>6279.1+596.1+559.5+225+754+95.5-71.69+675+78.2+30.4+30+797.8+551.2+296.3+126</f>
        <v>11022.41</v>
      </c>
    </row>
    <row r="85" spans="1:13" s="116" customFormat="1" ht="18" customHeight="1" x14ac:dyDescent="0.35">
      <c r="A85" s="11"/>
      <c r="B85" s="510" t="s">
        <v>57</v>
      </c>
      <c r="C85" s="23" t="s">
        <v>1</v>
      </c>
      <c r="D85" s="10" t="s">
        <v>37</v>
      </c>
      <c r="E85" s="10" t="s">
        <v>71</v>
      </c>
      <c r="F85" s="709" t="s">
        <v>41</v>
      </c>
      <c r="G85" s="710" t="s">
        <v>45</v>
      </c>
      <c r="H85" s="710" t="s">
        <v>590</v>
      </c>
      <c r="I85" s="711" t="s">
        <v>91</v>
      </c>
      <c r="J85" s="10" t="s">
        <v>58</v>
      </c>
      <c r="K85" s="24">
        <v>62.3</v>
      </c>
      <c r="L85" s="24">
        <f>M85-K85</f>
        <v>0</v>
      </c>
      <c r="M85" s="24">
        <v>62.3</v>
      </c>
    </row>
    <row r="86" spans="1:13" s="116" customFormat="1" ht="18" customHeight="1" x14ac:dyDescent="0.35">
      <c r="A86" s="11"/>
      <c r="B86" s="510" t="s">
        <v>465</v>
      </c>
      <c r="C86" s="23" t="s">
        <v>1</v>
      </c>
      <c r="D86" s="10" t="s">
        <v>37</v>
      </c>
      <c r="E86" s="10" t="s">
        <v>71</v>
      </c>
      <c r="F86" s="709" t="s">
        <v>41</v>
      </c>
      <c r="G86" s="710" t="s">
        <v>45</v>
      </c>
      <c r="H86" s="710" t="s">
        <v>590</v>
      </c>
      <c r="I86" s="711" t="s">
        <v>380</v>
      </c>
      <c r="J86" s="10"/>
      <c r="K86" s="24">
        <f>K87</f>
        <v>1630.3</v>
      </c>
      <c r="L86" s="24">
        <f>L87</f>
        <v>0</v>
      </c>
      <c r="M86" s="24">
        <f>M87</f>
        <v>1630.3</v>
      </c>
    </row>
    <row r="87" spans="1:13" s="116" customFormat="1" ht="54" customHeight="1" x14ac:dyDescent="0.35">
      <c r="A87" s="11"/>
      <c r="B87" s="510" t="s">
        <v>55</v>
      </c>
      <c r="C87" s="23" t="s">
        <v>1</v>
      </c>
      <c r="D87" s="10" t="s">
        <v>37</v>
      </c>
      <c r="E87" s="10" t="s">
        <v>71</v>
      </c>
      <c r="F87" s="709" t="s">
        <v>41</v>
      </c>
      <c r="G87" s="710" t="s">
        <v>45</v>
      </c>
      <c r="H87" s="710" t="s">
        <v>590</v>
      </c>
      <c r="I87" s="711" t="s">
        <v>380</v>
      </c>
      <c r="J87" s="10" t="s">
        <v>56</v>
      </c>
      <c r="K87" s="24">
        <f>730.3+900</f>
        <v>1630.3</v>
      </c>
      <c r="L87" s="24">
        <f>M87-K87</f>
        <v>0</v>
      </c>
      <c r="M87" s="24">
        <f>730.3+900</f>
        <v>1630.3</v>
      </c>
    </row>
    <row r="88" spans="1:13" s="116" customFormat="1" ht="36" customHeight="1" x14ac:dyDescent="0.35">
      <c r="A88" s="11"/>
      <c r="B88" s="593" t="s">
        <v>445</v>
      </c>
      <c r="C88" s="23" t="s">
        <v>1</v>
      </c>
      <c r="D88" s="10" t="s">
        <v>37</v>
      </c>
      <c r="E88" s="10" t="s">
        <v>71</v>
      </c>
      <c r="F88" s="709" t="s">
        <v>68</v>
      </c>
      <c r="G88" s="710" t="s">
        <v>42</v>
      </c>
      <c r="H88" s="710" t="s">
        <v>43</v>
      </c>
      <c r="I88" s="711" t="s">
        <v>44</v>
      </c>
      <c r="J88" s="10"/>
      <c r="K88" s="24">
        <f t="shared" ref="K88:M92" si="10">K89</f>
        <v>25594.199999999997</v>
      </c>
      <c r="L88" s="24">
        <f t="shared" si="10"/>
        <v>3927.5999999999985</v>
      </c>
      <c r="M88" s="24">
        <f t="shared" si="10"/>
        <v>29521.799999999996</v>
      </c>
    </row>
    <row r="89" spans="1:13" s="116" customFormat="1" ht="18" customHeight="1" x14ac:dyDescent="0.35">
      <c r="A89" s="11"/>
      <c r="B89" s="593" t="s">
        <v>446</v>
      </c>
      <c r="C89" s="23" t="s">
        <v>1</v>
      </c>
      <c r="D89" s="10" t="s">
        <v>37</v>
      </c>
      <c r="E89" s="10" t="s">
        <v>71</v>
      </c>
      <c r="F89" s="709" t="s">
        <v>68</v>
      </c>
      <c r="G89" s="710" t="s">
        <v>45</v>
      </c>
      <c r="H89" s="710" t="s">
        <v>43</v>
      </c>
      <c r="I89" s="711" t="s">
        <v>44</v>
      </c>
      <c r="J89" s="10"/>
      <c r="K89" s="24">
        <f>K92+K90</f>
        <v>25594.199999999997</v>
      </c>
      <c r="L89" s="24">
        <f>L92+L90</f>
        <v>3927.5999999999985</v>
      </c>
      <c r="M89" s="24">
        <f>M92+M90</f>
        <v>29521.799999999996</v>
      </c>
    </row>
    <row r="90" spans="1:13" s="116" customFormat="1" ht="36" x14ac:dyDescent="0.35">
      <c r="A90" s="11"/>
      <c r="B90" s="510" t="s">
        <v>721</v>
      </c>
      <c r="C90" s="23" t="s">
        <v>1</v>
      </c>
      <c r="D90" s="10" t="s">
        <v>37</v>
      </c>
      <c r="E90" s="10" t="s">
        <v>71</v>
      </c>
      <c r="F90" s="709" t="s">
        <v>68</v>
      </c>
      <c r="G90" s="710" t="s">
        <v>45</v>
      </c>
      <c r="H90" s="710" t="s">
        <v>43</v>
      </c>
      <c r="I90" s="711" t="s">
        <v>720</v>
      </c>
      <c r="J90" s="10"/>
      <c r="K90" s="24">
        <f>K91</f>
        <v>12841.199999999999</v>
      </c>
      <c r="L90" s="24">
        <f>L91</f>
        <v>2077.1999999999989</v>
      </c>
      <c r="M90" s="24">
        <f>M91</f>
        <v>14918.399999999998</v>
      </c>
    </row>
    <row r="91" spans="1:13" s="116" customFormat="1" ht="54" customHeight="1" x14ac:dyDescent="0.35">
      <c r="A91" s="11"/>
      <c r="B91" s="510" t="s">
        <v>55</v>
      </c>
      <c r="C91" s="23" t="s">
        <v>1</v>
      </c>
      <c r="D91" s="10" t="s">
        <v>37</v>
      </c>
      <c r="E91" s="10" t="s">
        <v>71</v>
      </c>
      <c r="F91" s="709" t="s">
        <v>68</v>
      </c>
      <c r="G91" s="710" t="s">
        <v>45</v>
      </c>
      <c r="H91" s="710" t="s">
        <v>43</v>
      </c>
      <c r="I91" s="711" t="s">
        <v>720</v>
      </c>
      <c r="J91" s="10" t="s">
        <v>56</v>
      </c>
      <c r="K91" s="24">
        <f>5756.4+4273.2+2811.6</f>
        <v>12841.199999999999</v>
      </c>
      <c r="L91" s="24">
        <f>M91-K91</f>
        <v>2077.1999999999989</v>
      </c>
      <c r="M91" s="24">
        <f>5756.4+4273.2+2811.6+2077.2</f>
        <v>14918.399999999998</v>
      </c>
    </row>
    <row r="92" spans="1:13" s="116" customFormat="1" ht="180" customHeight="1" x14ac:dyDescent="0.35">
      <c r="A92" s="11"/>
      <c r="B92" s="510" t="s">
        <v>678</v>
      </c>
      <c r="C92" s="23" t="s">
        <v>1</v>
      </c>
      <c r="D92" s="10" t="s">
        <v>37</v>
      </c>
      <c r="E92" s="10" t="s">
        <v>71</v>
      </c>
      <c r="F92" s="709" t="s">
        <v>68</v>
      </c>
      <c r="G92" s="710" t="s">
        <v>45</v>
      </c>
      <c r="H92" s="710" t="s">
        <v>43</v>
      </c>
      <c r="I92" s="711" t="s">
        <v>677</v>
      </c>
      <c r="J92" s="10"/>
      <c r="K92" s="24">
        <f t="shared" si="10"/>
        <v>12753</v>
      </c>
      <c r="L92" s="24">
        <f t="shared" si="10"/>
        <v>1850.3999999999996</v>
      </c>
      <c r="M92" s="24">
        <f t="shared" si="10"/>
        <v>14603.4</v>
      </c>
    </row>
    <row r="93" spans="1:13" s="116" customFormat="1" ht="54" customHeight="1" x14ac:dyDescent="0.35">
      <c r="A93" s="11"/>
      <c r="B93" s="510" t="s">
        <v>55</v>
      </c>
      <c r="C93" s="23" t="s">
        <v>1</v>
      </c>
      <c r="D93" s="10" t="s">
        <v>37</v>
      </c>
      <c r="E93" s="10" t="s">
        <v>71</v>
      </c>
      <c r="F93" s="709" t="s">
        <v>68</v>
      </c>
      <c r="G93" s="710" t="s">
        <v>45</v>
      </c>
      <c r="H93" s="710" t="s">
        <v>43</v>
      </c>
      <c r="I93" s="711" t="s">
        <v>677</v>
      </c>
      <c r="J93" s="10" t="s">
        <v>56</v>
      </c>
      <c r="K93" s="24">
        <v>12753</v>
      </c>
      <c r="L93" s="24">
        <f>M93-K93</f>
        <v>1850.3999999999996</v>
      </c>
      <c r="M93" s="24">
        <f>12753+1850.4</f>
        <v>14603.4</v>
      </c>
    </row>
    <row r="94" spans="1:13" s="116" customFormat="1" ht="36" customHeight="1" x14ac:dyDescent="0.35">
      <c r="A94" s="11"/>
      <c r="B94" s="510" t="s">
        <v>78</v>
      </c>
      <c r="C94" s="23" t="s">
        <v>1</v>
      </c>
      <c r="D94" s="10" t="s">
        <v>63</v>
      </c>
      <c r="E94" s="10"/>
      <c r="F94" s="709"/>
      <c r="G94" s="710"/>
      <c r="H94" s="710"/>
      <c r="I94" s="711"/>
      <c r="J94" s="10"/>
      <c r="K94" s="24">
        <f>K95+K107</f>
        <v>22918.947999999993</v>
      </c>
      <c r="L94" s="24">
        <f>L95+L107</f>
        <v>-350</v>
      </c>
      <c r="M94" s="24">
        <f>M95+M107</f>
        <v>22568.947999999997</v>
      </c>
    </row>
    <row r="95" spans="1:13" s="116" customFormat="1" ht="72" customHeight="1" x14ac:dyDescent="0.35">
      <c r="A95" s="11"/>
      <c r="B95" s="510" t="s">
        <v>462</v>
      </c>
      <c r="C95" s="23" t="s">
        <v>1</v>
      </c>
      <c r="D95" s="10" t="s">
        <v>63</v>
      </c>
      <c r="E95" s="10" t="s">
        <v>104</v>
      </c>
      <c r="F95" s="709"/>
      <c r="G95" s="710"/>
      <c r="H95" s="710"/>
      <c r="I95" s="711"/>
      <c r="J95" s="10"/>
      <c r="K95" s="24">
        <f t="shared" ref="K95:M97" si="11">K96</f>
        <v>9493.3999999999978</v>
      </c>
      <c r="L95" s="24">
        <f t="shared" si="11"/>
        <v>0</v>
      </c>
      <c r="M95" s="24">
        <f t="shared" si="11"/>
        <v>9493.3999999999978</v>
      </c>
    </row>
    <row r="96" spans="1:13" s="116" customFormat="1" ht="54" customHeight="1" x14ac:dyDescent="0.35">
      <c r="A96" s="11"/>
      <c r="B96" s="510" t="s">
        <v>80</v>
      </c>
      <c r="C96" s="23" t="s">
        <v>1</v>
      </c>
      <c r="D96" s="10" t="s">
        <v>63</v>
      </c>
      <c r="E96" s="10" t="s">
        <v>104</v>
      </c>
      <c r="F96" s="709" t="s">
        <v>81</v>
      </c>
      <c r="G96" s="710" t="s">
        <v>42</v>
      </c>
      <c r="H96" s="710" t="s">
        <v>43</v>
      </c>
      <c r="I96" s="711" t="s">
        <v>44</v>
      </c>
      <c r="J96" s="10"/>
      <c r="K96" s="24">
        <f t="shared" si="11"/>
        <v>9493.3999999999978</v>
      </c>
      <c r="L96" s="24">
        <f t="shared" si="11"/>
        <v>0</v>
      </c>
      <c r="M96" s="24">
        <f t="shared" si="11"/>
        <v>9493.3999999999978</v>
      </c>
    </row>
    <row r="97" spans="1:13" s="116" customFormat="1" ht="54" customHeight="1" x14ac:dyDescent="0.35">
      <c r="A97" s="11"/>
      <c r="B97" s="560" t="s">
        <v>82</v>
      </c>
      <c r="C97" s="23" t="s">
        <v>1</v>
      </c>
      <c r="D97" s="10" t="s">
        <v>63</v>
      </c>
      <c r="E97" s="10" t="s">
        <v>104</v>
      </c>
      <c r="F97" s="709" t="s">
        <v>81</v>
      </c>
      <c r="G97" s="710" t="s">
        <v>45</v>
      </c>
      <c r="H97" s="710" t="s">
        <v>43</v>
      </c>
      <c r="I97" s="711" t="s">
        <v>44</v>
      </c>
      <c r="J97" s="10"/>
      <c r="K97" s="24">
        <f t="shared" si="11"/>
        <v>9493.3999999999978</v>
      </c>
      <c r="L97" s="24">
        <f t="shared" si="11"/>
        <v>0</v>
      </c>
      <c r="M97" s="24">
        <f t="shared" si="11"/>
        <v>9493.3999999999978</v>
      </c>
    </row>
    <row r="98" spans="1:13" s="116" customFormat="1" ht="72" customHeight="1" x14ac:dyDescent="0.35">
      <c r="A98" s="11"/>
      <c r="B98" s="510" t="s">
        <v>83</v>
      </c>
      <c r="C98" s="23" t="s">
        <v>1</v>
      </c>
      <c r="D98" s="10" t="s">
        <v>63</v>
      </c>
      <c r="E98" s="10" t="s">
        <v>104</v>
      </c>
      <c r="F98" s="709" t="s">
        <v>81</v>
      </c>
      <c r="G98" s="710" t="s">
        <v>45</v>
      </c>
      <c r="H98" s="710" t="s">
        <v>37</v>
      </c>
      <c r="I98" s="711" t="s">
        <v>44</v>
      </c>
      <c r="J98" s="10"/>
      <c r="K98" s="24">
        <f>K99+K101+K103+K106</f>
        <v>9493.3999999999978</v>
      </c>
      <c r="L98" s="24">
        <f>L99+L101+L103+L106</f>
        <v>0</v>
      </c>
      <c r="M98" s="24">
        <f>M99+M101+M103+M106</f>
        <v>9493.3999999999978</v>
      </c>
    </row>
    <row r="99" spans="1:13" s="116" customFormat="1" ht="36" customHeight="1" x14ac:dyDescent="0.35">
      <c r="A99" s="11"/>
      <c r="B99" s="560" t="s">
        <v>450</v>
      </c>
      <c r="C99" s="23" t="s">
        <v>1</v>
      </c>
      <c r="D99" s="10" t="s">
        <v>63</v>
      </c>
      <c r="E99" s="10" t="s">
        <v>104</v>
      </c>
      <c r="F99" s="709" t="s">
        <v>81</v>
      </c>
      <c r="G99" s="710" t="s">
        <v>45</v>
      </c>
      <c r="H99" s="710" t="s">
        <v>37</v>
      </c>
      <c r="I99" s="711" t="s">
        <v>84</v>
      </c>
      <c r="J99" s="10"/>
      <c r="K99" s="24">
        <f>K100</f>
        <v>298.39999999999998</v>
      </c>
      <c r="L99" s="24">
        <f>L100</f>
        <v>0</v>
      </c>
      <c r="M99" s="24">
        <f>M100</f>
        <v>298.39999999999998</v>
      </c>
    </row>
    <row r="100" spans="1:13" s="116" customFormat="1" ht="54" customHeight="1" x14ac:dyDescent="0.35">
      <c r="A100" s="11"/>
      <c r="B100" s="510" t="s">
        <v>55</v>
      </c>
      <c r="C100" s="23" t="s">
        <v>1</v>
      </c>
      <c r="D100" s="10" t="s">
        <v>63</v>
      </c>
      <c r="E100" s="10" t="s">
        <v>104</v>
      </c>
      <c r="F100" s="709" t="s">
        <v>81</v>
      </c>
      <c r="G100" s="710" t="s">
        <v>45</v>
      </c>
      <c r="H100" s="710" t="s">
        <v>37</v>
      </c>
      <c r="I100" s="711" t="s">
        <v>84</v>
      </c>
      <c r="J100" s="10" t="s">
        <v>56</v>
      </c>
      <c r="K100" s="24">
        <v>298.39999999999998</v>
      </c>
      <c r="L100" s="24">
        <f>M100-K100</f>
        <v>0</v>
      </c>
      <c r="M100" s="24">
        <v>298.39999999999998</v>
      </c>
    </row>
    <row r="101" spans="1:13" s="116" customFormat="1" ht="54" customHeight="1" x14ac:dyDescent="0.35">
      <c r="A101" s="11"/>
      <c r="B101" s="510" t="s">
        <v>85</v>
      </c>
      <c r="C101" s="23" t="s">
        <v>1</v>
      </c>
      <c r="D101" s="10" t="s">
        <v>63</v>
      </c>
      <c r="E101" s="10" t="s">
        <v>104</v>
      </c>
      <c r="F101" s="709" t="s">
        <v>81</v>
      </c>
      <c r="G101" s="710" t="s">
        <v>45</v>
      </c>
      <c r="H101" s="710" t="s">
        <v>37</v>
      </c>
      <c r="I101" s="711" t="s">
        <v>86</v>
      </c>
      <c r="J101" s="10"/>
      <c r="K101" s="24">
        <f>K102</f>
        <v>63.9</v>
      </c>
      <c r="L101" s="24">
        <f>L102</f>
        <v>0</v>
      </c>
      <c r="M101" s="24">
        <f>M102</f>
        <v>63.9</v>
      </c>
    </row>
    <row r="102" spans="1:13" s="116" customFormat="1" ht="54" customHeight="1" x14ac:dyDescent="0.35">
      <c r="A102" s="11"/>
      <c r="B102" s="510" t="s">
        <v>55</v>
      </c>
      <c r="C102" s="23" t="s">
        <v>1</v>
      </c>
      <c r="D102" s="10" t="s">
        <v>63</v>
      </c>
      <c r="E102" s="10" t="s">
        <v>104</v>
      </c>
      <c r="F102" s="709" t="s">
        <v>81</v>
      </c>
      <c r="G102" s="710" t="s">
        <v>45</v>
      </c>
      <c r="H102" s="710" t="s">
        <v>37</v>
      </c>
      <c r="I102" s="711" t="s">
        <v>86</v>
      </c>
      <c r="J102" s="10" t="s">
        <v>56</v>
      </c>
      <c r="K102" s="24">
        <v>63.9</v>
      </c>
      <c r="L102" s="24">
        <f>M102-K102</f>
        <v>0</v>
      </c>
      <c r="M102" s="24">
        <v>63.9</v>
      </c>
    </row>
    <row r="103" spans="1:13" s="116" customFormat="1" ht="144" customHeight="1" x14ac:dyDescent="0.35">
      <c r="A103" s="11"/>
      <c r="B103" s="510" t="s">
        <v>676</v>
      </c>
      <c r="C103" s="23" t="s">
        <v>1</v>
      </c>
      <c r="D103" s="10" t="s">
        <v>63</v>
      </c>
      <c r="E103" s="10" t="s">
        <v>104</v>
      </c>
      <c r="F103" s="709" t="s">
        <v>81</v>
      </c>
      <c r="G103" s="710" t="s">
        <v>45</v>
      </c>
      <c r="H103" s="710" t="s">
        <v>37</v>
      </c>
      <c r="I103" s="711" t="s">
        <v>329</v>
      </c>
      <c r="J103" s="10"/>
      <c r="K103" s="24">
        <f>K104</f>
        <v>9118.7999999999993</v>
      </c>
      <c r="L103" s="24">
        <f>L104</f>
        <v>0</v>
      </c>
      <c r="M103" s="24">
        <f>M104</f>
        <v>9118.7999999999993</v>
      </c>
    </row>
    <row r="104" spans="1:13" s="116" customFormat="1" ht="18" customHeight="1" x14ac:dyDescent="0.35">
      <c r="A104" s="11"/>
      <c r="B104" s="510" t="s">
        <v>123</v>
      </c>
      <c r="C104" s="23" t="s">
        <v>1</v>
      </c>
      <c r="D104" s="10" t="s">
        <v>63</v>
      </c>
      <c r="E104" s="10" t="s">
        <v>104</v>
      </c>
      <c r="F104" s="709" t="s">
        <v>81</v>
      </c>
      <c r="G104" s="710" t="s">
        <v>45</v>
      </c>
      <c r="H104" s="710" t="s">
        <v>37</v>
      </c>
      <c r="I104" s="711" t="s">
        <v>329</v>
      </c>
      <c r="J104" s="10" t="s">
        <v>124</v>
      </c>
      <c r="K104" s="24">
        <v>9118.7999999999993</v>
      </c>
      <c r="L104" s="24">
        <f>M104-K104</f>
        <v>0</v>
      </c>
      <c r="M104" s="24">
        <v>9118.7999999999993</v>
      </c>
    </row>
    <row r="105" spans="1:13" s="116" customFormat="1" ht="90" customHeight="1" x14ac:dyDescent="0.35">
      <c r="A105" s="11"/>
      <c r="B105" s="506" t="s">
        <v>675</v>
      </c>
      <c r="C105" s="23" t="s">
        <v>1</v>
      </c>
      <c r="D105" s="10" t="s">
        <v>63</v>
      </c>
      <c r="E105" s="10" t="s">
        <v>104</v>
      </c>
      <c r="F105" s="709" t="s">
        <v>81</v>
      </c>
      <c r="G105" s="710" t="s">
        <v>45</v>
      </c>
      <c r="H105" s="710" t="s">
        <v>37</v>
      </c>
      <c r="I105" s="711" t="s">
        <v>330</v>
      </c>
      <c r="J105" s="10"/>
      <c r="K105" s="24">
        <f>K106</f>
        <v>12.3</v>
      </c>
      <c r="L105" s="24">
        <f>L106</f>
        <v>0</v>
      </c>
      <c r="M105" s="24">
        <f>M106</f>
        <v>12.3</v>
      </c>
    </row>
    <row r="106" spans="1:13" s="116" customFormat="1" ht="18" customHeight="1" x14ac:dyDescent="0.35">
      <c r="A106" s="11"/>
      <c r="B106" s="510" t="s">
        <v>123</v>
      </c>
      <c r="C106" s="23" t="s">
        <v>1</v>
      </c>
      <c r="D106" s="10" t="s">
        <v>63</v>
      </c>
      <c r="E106" s="10" t="s">
        <v>104</v>
      </c>
      <c r="F106" s="709" t="s">
        <v>81</v>
      </c>
      <c r="G106" s="710" t="s">
        <v>45</v>
      </c>
      <c r="H106" s="710" t="s">
        <v>37</v>
      </c>
      <c r="I106" s="711" t="s">
        <v>330</v>
      </c>
      <c r="J106" s="10" t="s">
        <v>124</v>
      </c>
      <c r="K106" s="24">
        <v>12.3</v>
      </c>
      <c r="L106" s="24">
        <f>M106-K106</f>
        <v>0</v>
      </c>
      <c r="M106" s="24">
        <v>12.3</v>
      </c>
    </row>
    <row r="107" spans="1:13" s="116" customFormat="1" ht="54" customHeight="1" x14ac:dyDescent="0.35">
      <c r="A107" s="11"/>
      <c r="B107" s="559" t="s">
        <v>87</v>
      </c>
      <c r="C107" s="23" t="s">
        <v>1</v>
      </c>
      <c r="D107" s="10" t="s">
        <v>63</v>
      </c>
      <c r="E107" s="10" t="s">
        <v>88</v>
      </c>
      <c r="F107" s="709"/>
      <c r="G107" s="710"/>
      <c r="H107" s="710"/>
      <c r="I107" s="711"/>
      <c r="J107" s="10"/>
      <c r="K107" s="24">
        <f>K108</f>
        <v>13425.547999999995</v>
      </c>
      <c r="L107" s="24">
        <f>L108</f>
        <v>-350</v>
      </c>
      <c r="M107" s="24">
        <f>M108</f>
        <v>13075.547999999997</v>
      </c>
    </row>
    <row r="108" spans="1:13" s="116" customFormat="1" ht="54" customHeight="1" x14ac:dyDescent="0.35">
      <c r="A108" s="11"/>
      <c r="B108" s="510" t="s">
        <v>80</v>
      </c>
      <c r="C108" s="23" t="s">
        <v>1</v>
      </c>
      <c r="D108" s="10" t="s">
        <v>63</v>
      </c>
      <c r="E108" s="10" t="s">
        <v>88</v>
      </c>
      <c r="F108" s="709" t="s">
        <v>81</v>
      </c>
      <c r="G108" s="710" t="s">
        <v>42</v>
      </c>
      <c r="H108" s="710" t="s">
        <v>43</v>
      </c>
      <c r="I108" s="711" t="s">
        <v>44</v>
      </c>
      <c r="J108" s="10"/>
      <c r="K108" s="24">
        <f>K109+K118+K127</f>
        <v>13425.547999999995</v>
      </c>
      <c r="L108" s="24">
        <f>L109+L118+L127</f>
        <v>-350</v>
      </c>
      <c r="M108" s="24">
        <f>M109+M118+M127</f>
        <v>13075.547999999997</v>
      </c>
    </row>
    <row r="109" spans="1:13" s="116" customFormat="1" ht="36" customHeight="1" x14ac:dyDescent="0.35">
      <c r="A109" s="11"/>
      <c r="B109" s="559" t="s">
        <v>125</v>
      </c>
      <c r="C109" s="23" t="s">
        <v>1</v>
      </c>
      <c r="D109" s="10" t="s">
        <v>63</v>
      </c>
      <c r="E109" s="10" t="s">
        <v>88</v>
      </c>
      <c r="F109" s="709" t="s">
        <v>81</v>
      </c>
      <c r="G109" s="710" t="s">
        <v>89</v>
      </c>
      <c r="H109" s="710" t="s">
        <v>43</v>
      </c>
      <c r="I109" s="711" t="s">
        <v>44</v>
      </c>
      <c r="J109" s="10"/>
      <c r="K109" s="24">
        <f>K115+K110</f>
        <v>1372.1999999999998</v>
      </c>
      <c r="L109" s="24">
        <f>L115+L110</f>
        <v>-350</v>
      </c>
      <c r="M109" s="24">
        <f>M115+M110</f>
        <v>1022.1999999999999</v>
      </c>
    </row>
    <row r="110" spans="1:13" s="116" customFormat="1" ht="36" customHeight="1" x14ac:dyDescent="0.35">
      <c r="A110" s="11"/>
      <c r="B110" s="559" t="s">
        <v>271</v>
      </c>
      <c r="C110" s="23" t="s">
        <v>1</v>
      </c>
      <c r="D110" s="10" t="s">
        <v>63</v>
      </c>
      <c r="E110" s="10" t="s">
        <v>88</v>
      </c>
      <c r="F110" s="709" t="s">
        <v>81</v>
      </c>
      <c r="G110" s="710" t="s">
        <v>89</v>
      </c>
      <c r="H110" s="710" t="s">
        <v>37</v>
      </c>
      <c r="I110" s="711" t="s">
        <v>44</v>
      </c>
      <c r="J110" s="10"/>
      <c r="K110" s="24">
        <f>K113+K111</f>
        <v>143.6</v>
      </c>
      <c r="L110" s="24">
        <f>L113+L111</f>
        <v>100</v>
      </c>
      <c r="M110" s="24">
        <f>M113+M111</f>
        <v>243.6</v>
      </c>
    </row>
    <row r="111" spans="1:13" s="116" customFormat="1" ht="36" customHeight="1" x14ac:dyDescent="0.35">
      <c r="A111" s="11"/>
      <c r="B111" s="543" t="s">
        <v>127</v>
      </c>
      <c r="C111" s="23" t="s">
        <v>1</v>
      </c>
      <c r="D111" s="10" t="s">
        <v>63</v>
      </c>
      <c r="E111" s="10" t="s">
        <v>88</v>
      </c>
      <c r="F111" s="709" t="s">
        <v>81</v>
      </c>
      <c r="G111" s="710" t="s">
        <v>89</v>
      </c>
      <c r="H111" s="710" t="s">
        <v>37</v>
      </c>
      <c r="I111" s="711" t="s">
        <v>90</v>
      </c>
      <c r="J111" s="10"/>
      <c r="K111" s="24">
        <f>K112</f>
        <v>21.8</v>
      </c>
      <c r="L111" s="24">
        <f>L112</f>
        <v>100</v>
      </c>
      <c r="M111" s="24">
        <f>M112</f>
        <v>121.8</v>
      </c>
    </row>
    <row r="112" spans="1:13" s="116" customFormat="1" ht="54" customHeight="1" x14ac:dyDescent="0.35">
      <c r="A112" s="11"/>
      <c r="B112" s="510" t="s">
        <v>55</v>
      </c>
      <c r="C112" s="23" t="s">
        <v>1</v>
      </c>
      <c r="D112" s="10" t="s">
        <v>63</v>
      </c>
      <c r="E112" s="10" t="s">
        <v>88</v>
      </c>
      <c r="F112" s="709" t="s">
        <v>81</v>
      </c>
      <c r="G112" s="710" t="s">
        <v>89</v>
      </c>
      <c r="H112" s="710" t="s">
        <v>37</v>
      </c>
      <c r="I112" s="711" t="s">
        <v>90</v>
      </c>
      <c r="J112" s="10" t="s">
        <v>56</v>
      </c>
      <c r="K112" s="24">
        <v>21.8</v>
      </c>
      <c r="L112" s="24">
        <f>M112-K112</f>
        <v>100</v>
      </c>
      <c r="M112" s="24">
        <f>21.8+100</f>
        <v>121.8</v>
      </c>
    </row>
    <row r="113" spans="1:13" s="116" customFormat="1" ht="90" customHeight="1" x14ac:dyDescent="0.35">
      <c r="A113" s="11"/>
      <c r="B113" s="521" t="s">
        <v>675</v>
      </c>
      <c r="C113" s="23" t="s">
        <v>1</v>
      </c>
      <c r="D113" s="10" t="s">
        <v>63</v>
      </c>
      <c r="E113" s="10" t="s">
        <v>88</v>
      </c>
      <c r="F113" s="709" t="s">
        <v>81</v>
      </c>
      <c r="G113" s="710" t="s">
        <v>89</v>
      </c>
      <c r="H113" s="710" t="s">
        <v>37</v>
      </c>
      <c r="I113" s="711" t="s">
        <v>330</v>
      </c>
      <c r="J113" s="10"/>
      <c r="K113" s="24">
        <f>K114</f>
        <v>121.8</v>
      </c>
      <c r="L113" s="24">
        <f>L114</f>
        <v>0</v>
      </c>
      <c r="M113" s="24">
        <f>M114</f>
        <v>121.8</v>
      </c>
    </row>
    <row r="114" spans="1:13" s="116" customFormat="1" ht="18" customHeight="1" x14ac:dyDescent="0.35">
      <c r="A114" s="11"/>
      <c r="B114" s="559" t="s">
        <v>123</v>
      </c>
      <c r="C114" s="23" t="s">
        <v>1</v>
      </c>
      <c r="D114" s="10" t="s">
        <v>63</v>
      </c>
      <c r="E114" s="10" t="s">
        <v>88</v>
      </c>
      <c r="F114" s="709" t="s">
        <v>81</v>
      </c>
      <c r="G114" s="710" t="s">
        <v>89</v>
      </c>
      <c r="H114" s="710" t="s">
        <v>37</v>
      </c>
      <c r="I114" s="711" t="s">
        <v>330</v>
      </c>
      <c r="J114" s="10" t="s">
        <v>124</v>
      </c>
      <c r="K114" s="24">
        <v>121.8</v>
      </c>
      <c r="L114" s="24">
        <f>M114-K114</f>
        <v>0</v>
      </c>
      <c r="M114" s="24">
        <v>121.8</v>
      </c>
    </row>
    <row r="115" spans="1:13" s="116" customFormat="1" ht="54" customHeight="1" x14ac:dyDescent="0.35">
      <c r="A115" s="11"/>
      <c r="B115" s="543" t="s">
        <v>126</v>
      </c>
      <c r="C115" s="23" t="s">
        <v>1</v>
      </c>
      <c r="D115" s="10" t="s">
        <v>63</v>
      </c>
      <c r="E115" s="10" t="s">
        <v>88</v>
      </c>
      <c r="F115" s="709" t="s">
        <v>81</v>
      </c>
      <c r="G115" s="710" t="s">
        <v>89</v>
      </c>
      <c r="H115" s="710" t="s">
        <v>39</v>
      </c>
      <c r="I115" s="711" t="s">
        <v>44</v>
      </c>
      <c r="J115" s="10"/>
      <c r="K115" s="24">
        <f t="shared" ref="K115:M116" si="12">K116</f>
        <v>1228.5999999999999</v>
      </c>
      <c r="L115" s="24">
        <f t="shared" si="12"/>
        <v>-450</v>
      </c>
      <c r="M115" s="24">
        <f t="shared" si="12"/>
        <v>778.59999999999991</v>
      </c>
    </row>
    <row r="116" spans="1:13" s="116" customFormat="1" ht="36" customHeight="1" x14ac:dyDescent="0.35">
      <c r="A116" s="11"/>
      <c r="B116" s="543" t="s">
        <v>127</v>
      </c>
      <c r="C116" s="23" t="s">
        <v>1</v>
      </c>
      <c r="D116" s="10" t="s">
        <v>63</v>
      </c>
      <c r="E116" s="10" t="s">
        <v>88</v>
      </c>
      <c r="F116" s="709" t="s">
        <v>81</v>
      </c>
      <c r="G116" s="710" t="s">
        <v>89</v>
      </c>
      <c r="H116" s="710" t="s">
        <v>39</v>
      </c>
      <c r="I116" s="711" t="s">
        <v>90</v>
      </c>
      <c r="J116" s="10"/>
      <c r="K116" s="24">
        <f t="shared" si="12"/>
        <v>1228.5999999999999</v>
      </c>
      <c r="L116" s="24">
        <f t="shared" si="12"/>
        <v>-450</v>
      </c>
      <c r="M116" s="24">
        <f t="shared" si="12"/>
        <v>778.59999999999991</v>
      </c>
    </row>
    <row r="117" spans="1:13" s="116" customFormat="1" ht="54" customHeight="1" x14ac:dyDescent="0.35">
      <c r="A117" s="11"/>
      <c r="B117" s="510" t="s">
        <v>55</v>
      </c>
      <c r="C117" s="23" t="s">
        <v>1</v>
      </c>
      <c r="D117" s="10" t="s">
        <v>63</v>
      </c>
      <c r="E117" s="10" t="s">
        <v>88</v>
      </c>
      <c r="F117" s="709" t="s">
        <v>81</v>
      </c>
      <c r="G117" s="710" t="s">
        <v>89</v>
      </c>
      <c r="H117" s="710" t="s">
        <v>39</v>
      </c>
      <c r="I117" s="711" t="s">
        <v>90</v>
      </c>
      <c r="J117" s="10" t="s">
        <v>56</v>
      </c>
      <c r="K117" s="24">
        <f>443.6+1015-38.8-191.2</f>
        <v>1228.5999999999999</v>
      </c>
      <c r="L117" s="24">
        <f>M117-K117</f>
        <v>-450</v>
      </c>
      <c r="M117" s="24">
        <f>443.6+1015-38.8-191.2-229.3-220.7</f>
        <v>778.59999999999991</v>
      </c>
    </row>
    <row r="118" spans="1:13" s="116" customFormat="1" ht="72" customHeight="1" x14ac:dyDescent="0.35">
      <c r="A118" s="11"/>
      <c r="B118" s="559" t="s">
        <v>368</v>
      </c>
      <c r="C118" s="23" t="s">
        <v>1</v>
      </c>
      <c r="D118" s="10" t="s">
        <v>63</v>
      </c>
      <c r="E118" s="10" t="s">
        <v>88</v>
      </c>
      <c r="F118" s="709" t="s">
        <v>81</v>
      </c>
      <c r="G118" s="710" t="s">
        <v>30</v>
      </c>
      <c r="H118" s="710" t="s">
        <v>43</v>
      </c>
      <c r="I118" s="711" t="s">
        <v>44</v>
      </c>
      <c r="J118" s="10"/>
      <c r="K118" s="24">
        <f>K119+K124</f>
        <v>12031.547999999997</v>
      </c>
      <c r="L118" s="24">
        <f>L119+L124</f>
        <v>0</v>
      </c>
      <c r="M118" s="24">
        <f>M119+M124</f>
        <v>12031.547999999997</v>
      </c>
    </row>
    <row r="119" spans="1:13" s="116" customFormat="1" ht="72" customHeight="1" x14ac:dyDescent="0.35">
      <c r="A119" s="11"/>
      <c r="B119" s="543" t="s">
        <v>323</v>
      </c>
      <c r="C119" s="23" t="s">
        <v>1</v>
      </c>
      <c r="D119" s="10" t="s">
        <v>63</v>
      </c>
      <c r="E119" s="10" t="s">
        <v>88</v>
      </c>
      <c r="F119" s="709" t="s">
        <v>81</v>
      </c>
      <c r="G119" s="710" t="s">
        <v>30</v>
      </c>
      <c r="H119" s="710" t="s">
        <v>37</v>
      </c>
      <c r="I119" s="711" t="s">
        <v>44</v>
      </c>
      <c r="J119" s="10"/>
      <c r="K119" s="24">
        <f>K120</f>
        <v>11554.647999999997</v>
      </c>
      <c r="L119" s="24">
        <f>L120</f>
        <v>0</v>
      </c>
      <c r="M119" s="24">
        <f>M120</f>
        <v>11554.647999999997</v>
      </c>
    </row>
    <row r="120" spans="1:13" s="116" customFormat="1" ht="36" customHeight="1" x14ac:dyDescent="0.35">
      <c r="A120" s="11"/>
      <c r="B120" s="543" t="s">
        <v>464</v>
      </c>
      <c r="C120" s="23" t="s">
        <v>1</v>
      </c>
      <c r="D120" s="10" t="s">
        <v>63</v>
      </c>
      <c r="E120" s="10" t="s">
        <v>88</v>
      </c>
      <c r="F120" s="709" t="s">
        <v>81</v>
      </c>
      <c r="G120" s="710" t="s">
        <v>30</v>
      </c>
      <c r="H120" s="710" t="s">
        <v>37</v>
      </c>
      <c r="I120" s="711" t="s">
        <v>91</v>
      </c>
      <c r="J120" s="10"/>
      <c r="K120" s="24">
        <f>K121+K122+K123</f>
        <v>11554.647999999997</v>
      </c>
      <c r="L120" s="24">
        <f>L121+L122+L123</f>
        <v>0</v>
      </c>
      <c r="M120" s="24">
        <f>M121+M122+M123</f>
        <v>11554.647999999997</v>
      </c>
    </row>
    <row r="121" spans="1:13" s="116" customFormat="1" ht="108" customHeight="1" x14ac:dyDescent="0.35">
      <c r="A121" s="11"/>
      <c r="B121" s="510" t="s">
        <v>49</v>
      </c>
      <c r="C121" s="23" t="s">
        <v>1</v>
      </c>
      <c r="D121" s="10" t="s">
        <v>63</v>
      </c>
      <c r="E121" s="10" t="s">
        <v>88</v>
      </c>
      <c r="F121" s="709" t="s">
        <v>81</v>
      </c>
      <c r="G121" s="710" t="s">
        <v>30</v>
      </c>
      <c r="H121" s="710" t="s">
        <v>37</v>
      </c>
      <c r="I121" s="711" t="s">
        <v>91</v>
      </c>
      <c r="J121" s="10" t="s">
        <v>50</v>
      </c>
      <c r="K121" s="24">
        <v>8701.2999999999993</v>
      </c>
      <c r="L121" s="24">
        <f>M121-K121</f>
        <v>0</v>
      </c>
      <c r="M121" s="24">
        <v>8701.2999999999993</v>
      </c>
    </row>
    <row r="122" spans="1:13" s="116" customFormat="1" ht="54" x14ac:dyDescent="0.35">
      <c r="A122" s="11"/>
      <c r="B122" s="510" t="s">
        <v>55</v>
      </c>
      <c r="C122" s="23" t="s">
        <v>1</v>
      </c>
      <c r="D122" s="10" t="s">
        <v>63</v>
      </c>
      <c r="E122" s="10" t="s">
        <v>88</v>
      </c>
      <c r="F122" s="709" t="s">
        <v>81</v>
      </c>
      <c r="G122" s="710" t="s">
        <v>30</v>
      </c>
      <c r="H122" s="710" t="s">
        <v>37</v>
      </c>
      <c r="I122" s="711" t="s">
        <v>91</v>
      </c>
      <c r="J122" s="10" t="s">
        <v>56</v>
      </c>
      <c r="K122" s="24">
        <f>1852.3+1.448+429.2+197.6+198.4+171.1</f>
        <v>2850.0479999999998</v>
      </c>
      <c r="L122" s="24">
        <f>M122-K122</f>
        <v>0</v>
      </c>
      <c r="M122" s="24">
        <f>1852.3+1.448+429.2+197.6+198.4+171.1</f>
        <v>2850.0479999999998</v>
      </c>
    </row>
    <row r="123" spans="1:13" s="116" customFormat="1" ht="18" customHeight="1" x14ac:dyDescent="0.35">
      <c r="A123" s="11"/>
      <c r="B123" s="510" t="s">
        <v>57</v>
      </c>
      <c r="C123" s="23" t="s">
        <v>1</v>
      </c>
      <c r="D123" s="10" t="s">
        <v>63</v>
      </c>
      <c r="E123" s="10" t="s">
        <v>88</v>
      </c>
      <c r="F123" s="709" t="s">
        <v>81</v>
      </c>
      <c r="G123" s="710" t="s">
        <v>30</v>
      </c>
      <c r="H123" s="710" t="s">
        <v>37</v>
      </c>
      <c r="I123" s="711" t="s">
        <v>91</v>
      </c>
      <c r="J123" s="10" t="s">
        <v>58</v>
      </c>
      <c r="K123" s="24">
        <v>3.3</v>
      </c>
      <c r="L123" s="24">
        <f>M123-K123</f>
        <v>0</v>
      </c>
      <c r="M123" s="24">
        <v>3.3</v>
      </c>
    </row>
    <row r="124" spans="1:13" s="116" customFormat="1" ht="36" customHeight="1" x14ac:dyDescent="0.35">
      <c r="A124" s="11"/>
      <c r="B124" s="506" t="s">
        <v>574</v>
      </c>
      <c r="C124" s="23" t="s">
        <v>1</v>
      </c>
      <c r="D124" s="10" t="s">
        <v>63</v>
      </c>
      <c r="E124" s="10" t="s">
        <v>88</v>
      </c>
      <c r="F124" s="709" t="s">
        <v>81</v>
      </c>
      <c r="G124" s="710" t="s">
        <v>30</v>
      </c>
      <c r="H124" s="710" t="s">
        <v>39</v>
      </c>
      <c r="I124" s="711" t="s">
        <v>44</v>
      </c>
      <c r="J124" s="10"/>
      <c r="K124" s="24">
        <f t="shared" ref="K124:M125" si="13">K125</f>
        <v>476.9</v>
      </c>
      <c r="L124" s="24">
        <f t="shared" si="13"/>
        <v>0</v>
      </c>
      <c r="M124" s="24">
        <f t="shared" si="13"/>
        <v>476.9</v>
      </c>
    </row>
    <row r="125" spans="1:13" s="116" customFormat="1" ht="54" customHeight="1" x14ac:dyDescent="0.35">
      <c r="A125" s="11"/>
      <c r="B125" s="506" t="s">
        <v>85</v>
      </c>
      <c r="C125" s="23" t="s">
        <v>1</v>
      </c>
      <c r="D125" s="10" t="s">
        <v>63</v>
      </c>
      <c r="E125" s="10" t="s">
        <v>88</v>
      </c>
      <c r="F125" s="709" t="s">
        <v>81</v>
      </c>
      <c r="G125" s="710" t="s">
        <v>30</v>
      </c>
      <c r="H125" s="710" t="s">
        <v>39</v>
      </c>
      <c r="I125" s="711" t="s">
        <v>86</v>
      </c>
      <c r="J125" s="10"/>
      <c r="K125" s="24">
        <f t="shared" si="13"/>
        <v>476.9</v>
      </c>
      <c r="L125" s="24">
        <f t="shared" si="13"/>
        <v>0</v>
      </c>
      <c r="M125" s="24">
        <f t="shared" si="13"/>
        <v>476.9</v>
      </c>
    </row>
    <row r="126" spans="1:13" s="116" customFormat="1" ht="54" customHeight="1" x14ac:dyDescent="0.35">
      <c r="A126" s="11"/>
      <c r="B126" s="510" t="s">
        <v>55</v>
      </c>
      <c r="C126" s="23" t="s">
        <v>1</v>
      </c>
      <c r="D126" s="10" t="s">
        <v>63</v>
      </c>
      <c r="E126" s="10" t="s">
        <v>88</v>
      </c>
      <c r="F126" s="709" t="s">
        <v>81</v>
      </c>
      <c r="G126" s="710" t="s">
        <v>30</v>
      </c>
      <c r="H126" s="710" t="s">
        <v>39</v>
      </c>
      <c r="I126" s="711" t="s">
        <v>86</v>
      </c>
      <c r="J126" s="10" t="s">
        <v>56</v>
      </c>
      <c r="K126" s="24">
        <f>308.4+168.5</f>
        <v>476.9</v>
      </c>
      <c r="L126" s="24">
        <f>M126-K126</f>
        <v>0</v>
      </c>
      <c r="M126" s="24">
        <f>308.4+168.5</f>
        <v>476.9</v>
      </c>
    </row>
    <row r="127" spans="1:13" s="116" customFormat="1" ht="54" customHeight="1" x14ac:dyDescent="0.35">
      <c r="A127" s="11"/>
      <c r="B127" s="524" t="s">
        <v>490</v>
      </c>
      <c r="C127" s="23" t="s">
        <v>1</v>
      </c>
      <c r="D127" s="10" t="s">
        <v>63</v>
      </c>
      <c r="E127" s="10" t="s">
        <v>88</v>
      </c>
      <c r="F127" s="709" t="s">
        <v>81</v>
      </c>
      <c r="G127" s="710" t="s">
        <v>31</v>
      </c>
      <c r="H127" s="710" t="s">
        <v>43</v>
      </c>
      <c r="I127" s="711" t="s">
        <v>44</v>
      </c>
      <c r="J127" s="10"/>
      <c r="K127" s="24">
        <f>K128</f>
        <v>21.8</v>
      </c>
      <c r="L127" s="24">
        <f>L128</f>
        <v>0</v>
      </c>
      <c r="M127" s="24">
        <f>M128</f>
        <v>21.8</v>
      </c>
    </row>
    <row r="128" spans="1:13" s="116" customFormat="1" ht="72" customHeight="1" x14ac:dyDescent="0.35">
      <c r="A128" s="11"/>
      <c r="B128" s="525" t="s">
        <v>491</v>
      </c>
      <c r="C128" s="23" t="s">
        <v>1</v>
      </c>
      <c r="D128" s="10" t="s">
        <v>63</v>
      </c>
      <c r="E128" s="10" t="s">
        <v>88</v>
      </c>
      <c r="F128" s="709" t="s">
        <v>81</v>
      </c>
      <c r="G128" s="710" t="s">
        <v>31</v>
      </c>
      <c r="H128" s="710" t="s">
        <v>37</v>
      </c>
      <c r="I128" s="711" t="s">
        <v>44</v>
      </c>
      <c r="J128" s="10"/>
      <c r="K128" s="24">
        <f t="shared" ref="K128:M129" si="14">K129</f>
        <v>21.8</v>
      </c>
      <c r="L128" s="24">
        <f t="shared" si="14"/>
        <v>0</v>
      </c>
      <c r="M128" s="24">
        <f t="shared" si="14"/>
        <v>21.8</v>
      </c>
    </row>
    <row r="129" spans="1:13" s="116" customFormat="1" ht="54" customHeight="1" x14ac:dyDescent="0.35">
      <c r="A129" s="11"/>
      <c r="B129" s="526" t="s">
        <v>85</v>
      </c>
      <c r="C129" s="23" t="s">
        <v>1</v>
      </c>
      <c r="D129" s="10" t="s">
        <v>63</v>
      </c>
      <c r="E129" s="10" t="s">
        <v>88</v>
      </c>
      <c r="F129" s="709" t="s">
        <v>81</v>
      </c>
      <c r="G129" s="710" t="s">
        <v>31</v>
      </c>
      <c r="H129" s="710" t="s">
        <v>37</v>
      </c>
      <c r="I129" s="711" t="s">
        <v>86</v>
      </c>
      <c r="J129" s="10"/>
      <c r="K129" s="24">
        <f t="shared" si="14"/>
        <v>21.8</v>
      </c>
      <c r="L129" s="24">
        <f t="shared" si="14"/>
        <v>0</v>
      </c>
      <c r="M129" s="24">
        <f t="shared" si="14"/>
        <v>21.8</v>
      </c>
    </row>
    <row r="130" spans="1:13" s="116" customFormat="1" ht="54" customHeight="1" x14ac:dyDescent="0.35">
      <c r="A130" s="11"/>
      <c r="B130" s="527" t="s">
        <v>55</v>
      </c>
      <c r="C130" s="23" t="s">
        <v>1</v>
      </c>
      <c r="D130" s="10" t="s">
        <v>63</v>
      </c>
      <c r="E130" s="10" t="s">
        <v>88</v>
      </c>
      <c r="F130" s="709" t="s">
        <v>81</v>
      </c>
      <c r="G130" s="710" t="s">
        <v>31</v>
      </c>
      <c r="H130" s="710" t="s">
        <v>37</v>
      </c>
      <c r="I130" s="711" t="s">
        <v>86</v>
      </c>
      <c r="J130" s="10" t="s">
        <v>56</v>
      </c>
      <c r="K130" s="24">
        <v>21.8</v>
      </c>
      <c r="L130" s="24">
        <f>M130-K130</f>
        <v>0</v>
      </c>
      <c r="M130" s="24">
        <v>21.8</v>
      </c>
    </row>
    <row r="131" spans="1:13" s="116" customFormat="1" ht="18" customHeight="1" x14ac:dyDescent="0.35">
      <c r="A131" s="11"/>
      <c r="B131" s="510" t="s">
        <v>92</v>
      </c>
      <c r="C131" s="23" t="s">
        <v>1</v>
      </c>
      <c r="D131" s="10" t="s">
        <v>52</v>
      </c>
      <c r="E131" s="10"/>
      <c r="F131" s="709"/>
      <c r="G131" s="710"/>
      <c r="H131" s="710"/>
      <c r="I131" s="711"/>
      <c r="J131" s="10"/>
      <c r="K131" s="24">
        <f>K132+K141+K147</f>
        <v>95817.115600000005</v>
      </c>
      <c r="L131" s="24">
        <f>L132+L141+L147</f>
        <v>-68.799999999999955</v>
      </c>
      <c r="M131" s="24">
        <f>M132+M141+M147</f>
        <v>95748.315600000002</v>
      </c>
    </row>
    <row r="132" spans="1:13" s="7" customFormat="1" ht="18" customHeight="1" x14ac:dyDescent="0.35">
      <c r="A132" s="11"/>
      <c r="B132" s="510" t="s">
        <v>93</v>
      </c>
      <c r="C132" s="23" t="s">
        <v>1</v>
      </c>
      <c r="D132" s="10" t="s">
        <v>52</v>
      </c>
      <c r="E132" s="10" t="s">
        <v>65</v>
      </c>
      <c r="F132" s="709"/>
      <c r="G132" s="710"/>
      <c r="H132" s="710"/>
      <c r="I132" s="711"/>
      <c r="J132" s="10"/>
      <c r="K132" s="24">
        <f t="shared" ref="K132:M133" si="15">K133</f>
        <v>14369.400000000001</v>
      </c>
      <c r="L132" s="24">
        <f t="shared" si="15"/>
        <v>0</v>
      </c>
      <c r="M132" s="24">
        <f t="shared" si="15"/>
        <v>14369.400000000001</v>
      </c>
    </row>
    <row r="133" spans="1:13" s="116" customFormat="1" ht="54" customHeight="1" x14ac:dyDescent="0.35">
      <c r="A133" s="11"/>
      <c r="B133" s="510" t="s">
        <v>94</v>
      </c>
      <c r="C133" s="23" t="s">
        <v>1</v>
      </c>
      <c r="D133" s="10" t="s">
        <v>52</v>
      </c>
      <c r="E133" s="10" t="s">
        <v>65</v>
      </c>
      <c r="F133" s="709" t="s">
        <v>67</v>
      </c>
      <c r="G133" s="710" t="s">
        <v>42</v>
      </c>
      <c r="H133" s="710" t="s">
        <v>43</v>
      </c>
      <c r="I133" s="711" t="s">
        <v>44</v>
      </c>
      <c r="J133" s="10"/>
      <c r="K133" s="24">
        <f t="shared" si="15"/>
        <v>14369.400000000001</v>
      </c>
      <c r="L133" s="24">
        <f t="shared" si="15"/>
        <v>0</v>
      </c>
      <c r="M133" s="24">
        <f t="shared" si="15"/>
        <v>14369.400000000001</v>
      </c>
    </row>
    <row r="134" spans="1:13" s="7" customFormat="1" ht="36" customHeight="1" x14ac:dyDescent="0.35">
      <c r="A134" s="11"/>
      <c r="B134" s="510" t="s">
        <v>339</v>
      </c>
      <c r="C134" s="23" t="s">
        <v>1</v>
      </c>
      <c r="D134" s="10" t="s">
        <v>52</v>
      </c>
      <c r="E134" s="10" t="s">
        <v>65</v>
      </c>
      <c r="F134" s="709" t="s">
        <v>67</v>
      </c>
      <c r="G134" s="710" t="s">
        <v>45</v>
      </c>
      <c r="H134" s="710" t="s">
        <v>43</v>
      </c>
      <c r="I134" s="711" t="s">
        <v>44</v>
      </c>
      <c r="J134" s="10"/>
      <c r="K134" s="24">
        <f>K135+K138</f>
        <v>14369.400000000001</v>
      </c>
      <c r="L134" s="24">
        <f>L135+L138</f>
        <v>0</v>
      </c>
      <c r="M134" s="24">
        <f>M135+M138</f>
        <v>14369.400000000001</v>
      </c>
    </row>
    <row r="135" spans="1:13" s="7" customFormat="1" ht="54" customHeight="1" x14ac:dyDescent="0.35">
      <c r="A135" s="11"/>
      <c r="B135" s="510" t="s">
        <v>95</v>
      </c>
      <c r="C135" s="23" t="s">
        <v>1</v>
      </c>
      <c r="D135" s="10" t="s">
        <v>52</v>
      </c>
      <c r="E135" s="10" t="s">
        <v>65</v>
      </c>
      <c r="F135" s="709" t="s">
        <v>67</v>
      </c>
      <c r="G135" s="710" t="s">
        <v>45</v>
      </c>
      <c r="H135" s="710" t="s">
        <v>37</v>
      </c>
      <c r="I135" s="711" t="s">
        <v>44</v>
      </c>
      <c r="J135" s="10"/>
      <c r="K135" s="24">
        <f t="shared" ref="K135:M136" si="16">K136</f>
        <v>11070.6</v>
      </c>
      <c r="L135" s="24">
        <f t="shared" si="16"/>
        <v>0</v>
      </c>
      <c r="M135" s="24">
        <f t="shared" si="16"/>
        <v>11070.6</v>
      </c>
    </row>
    <row r="136" spans="1:13" s="7" customFormat="1" ht="72" customHeight="1" x14ac:dyDescent="0.35">
      <c r="A136" s="11"/>
      <c r="B136" s="558" t="s">
        <v>407</v>
      </c>
      <c r="C136" s="23" t="s">
        <v>1</v>
      </c>
      <c r="D136" s="10" t="s">
        <v>52</v>
      </c>
      <c r="E136" s="10" t="s">
        <v>65</v>
      </c>
      <c r="F136" s="709" t="s">
        <v>67</v>
      </c>
      <c r="G136" s="710" t="s">
        <v>45</v>
      </c>
      <c r="H136" s="710" t="s">
        <v>37</v>
      </c>
      <c r="I136" s="711" t="s">
        <v>61</v>
      </c>
      <c r="J136" s="10"/>
      <c r="K136" s="24">
        <f t="shared" si="16"/>
        <v>11070.6</v>
      </c>
      <c r="L136" s="24">
        <f t="shared" si="16"/>
        <v>0</v>
      </c>
      <c r="M136" s="24">
        <f t="shared" si="16"/>
        <v>11070.6</v>
      </c>
    </row>
    <row r="137" spans="1:13" s="116" customFormat="1" ht="18" customHeight="1" x14ac:dyDescent="0.35">
      <c r="A137" s="11"/>
      <c r="B137" s="510" t="s">
        <v>57</v>
      </c>
      <c r="C137" s="23" t="s">
        <v>1</v>
      </c>
      <c r="D137" s="10" t="s">
        <v>52</v>
      </c>
      <c r="E137" s="10" t="s">
        <v>65</v>
      </c>
      <c r="F137" s="709" t="s">
        <v>67</v>
      </c>
      <c r="G137" s="710" t="s">
        <v>45</v>
      </c>
      <c r="H137" s="710" t="s">
        <v>37</v>
      </c>
      <c r="I137" s="711" t="s">
        <v>61</v>
      </c>
      <c r="J137" s="10" t="s">
        <v>58</v>
      </c>
      <c r="K137" s="24">
        <v>11070.6</v>
      </c>
      <c r="L137" s="24">
        <f>M137-K137</f>
        <v>0</v>
      </c>
      <c r="M137" s="24">
        <v>11070.6</v>
      </c>
    </row>
    <row r="138" spans="1:13" s="7" customFormat="1" ht="54" customHeight="1" x14ac:dyDescent="0.35">
      <c r="A138" s="11"/>
      <c r="B138" s="510" t="s">
        <v>96</v>
      </c>
      <c r="C138" s="23" t="s">
        <v>1</v>
      </c>
      <c r="D138" s="10" t="s">
        <v>52</v>
      </c>
      <c r="E138" s="10" t="s">
        <v>65</v>
      </c>
      <c r="F138" s="709" t="s">
        <v>67</v>
      </c>
      <c r="G138" s="710" t="s">
        <v>45</v>
      </c>
      <c r="H138" s="710" t="s">
        <v>39</v>
      </c>
      <c r="I138" s="711" t="s">
        <v>44</v>
      </c>
      <c r="J138" s="10"/>
      <c r="K138" s="24">
        <f t="shared" ref="K138:M139" si="17">K139</f>
        <v>3298.8</v>
      </c>
      <c r="L138" s="24">
        <f t="shared" si="17"/>
        <v>0</v>
      </c>
      <c r="M138" s="24">
        <f t="shared" si="17"/>
        <v>3298.8</v>
      </c>
    </row>
    <row r="139" spans="1:13" s="7" customFormat="1" ht="180" customHeight="1" x14ac:dyDescent="0.35">
      <c r="A139" s="11"/>
      <c r="B139" s="510" t="s">
        <v>525</v>
      </c>
      <c r="C139" s="23" t="s">
        <v>1</v>
      </c>
      <c r="D139" s="10" t="s">
        <v>52</v>
      </c>
      <c r="E139" s="10" t="s">
        <v>65</v>
      </c>
      <c r="F139" s="709" t="s">
        <v>67</v>
      </c>
      <c r="G139" s="710" t="s">
        <v>45</v>
      </c>
      <c r="H139" s="710" t="s">
        <v>39</v>
      </c>
      <c r="I139" s="711" t="s">
        <v>97</v>
      </c>
      <c r="J139" s="10"/>
      <c r="K139" s="24">
        <f t="shared" si="17"/>
        <v>3298.8</v>
      </c>
      <c r="L139" s="24">
        <f t="shared" si="17"/>
        <v>0</v>
      </c>
      <c r="M139" s="24">
        <f t="shared" si="17"/>
        <v>3298.8</v>
      </c>
    </row>
    <row r="140" spans="1:13" s="116" customFormat="1" ht="54" customHeight="1" x14ac:dyDescent="0.35">
      <c r="A140" s="11"/>
      <c r="B140" s="510" t="s">
        <v>55</v>
      </c>
      <c r="C140" s="23" t="s">
        <v>1</v>
      </c>
      <c r="D140" s="10" t="s">
        <v>52</v>
      </c>
      <c r="E140" s="10" t="s">
        <v>65</v>
      </c>
      <c r="F140" s="709" t="s">
        <v>67</v>
      </c>
      <c r="G140" s="710" t="s">
        <v>45</v>
      </c>
      <c r="H140" s="710" t="s">
        <v>39</v>
      </c>
      <c r="I140" s="711" t="s">
        <v>97</v>
      </c>
      <c r="J140" s="10" t="s">
        <v>56</v>
      </c>
      <c r="K140" s="24">
        <v>3298.8</v>
      </c>
      <c r="L140" s="24">
        <f>M140-K140</f>
        <v>0</v>
      </c>
      <c r="M140" s="24">
        <v>3298.8</v>
      </c>
    </row>
    <row r="141" spans="1:13" s="7" customFormat="1" ht="18" customHeight="1" x14ac:dyDescent="0.35">
      <c r="A141" s="11"/>
      <c r="B141" s="559" t="s">
        <v>98</v>
      </c>
      <c r="C141" s="23" t="s">
        <v>1</v>
      </c>
      <c r="D141" s="10" t="s">
        <v>52</v>
      </c>
      <c r="E141" s="10" t="s">
        <v>79</v>
      </c>
      <c r="F141" s="709"/>
      <c r="G141" s="710"/>
      <c r="H141" s="710"/>
      <c r="I141" s="711"/>
      <c r="J141" s="10"/>
      <c r="K141" s="24">
        <f t="shared" ref="K141:M145" si="18">K142</f>
        <v>12364.4156</v>
      </c>
      <c r="L141" s="24">
        <f t="shared" si="18"/>
        <v>0</v>
      </c>
      <c r="M141" s="24">
        <f t="shared" si="18"/>
        <v>12364.4156</v>
      </c>
    </row>
    <row r="142" spans="1:13" s="116" customFormat="1" ht="54" customHeight="1" x14ac:dyDescent="0.35">
      <c r="A142" s="11"/>
      <c r="B142" s="510" t="s">
        <v>99</v>
      </c>
      <c r="C142" s="23" t="s">
        <v>1</v>
      </c>
      <c r="D142" s="10" t="s">
        <v>52</v>
      </c>
      <c r="E142" s="10" t="s">
        <v>79</v>
      </c>
      <c r="F142" s="709" t="s">
        <v>100</v>
      </c>
      <c r="G142" s="710" t="s">
        <v>42</v>
      </c>
      <c r="H142" s="710" t="s">
        <v>43</v>
      </c>
      <c r="I142" s="711" t="s">
        <v>44</v>
      </c>
      <c r="J142" s="10"/>
      <c r="K142" s="24">
        <f t="shared" si="18"/>
        <v>12364.4156</v>
      </c>
      <c r="L142" s="24">
        <f t="shared" si="18"/>
        <v>0</v>
      </c>
      <c r="M142" s="24">
        <f t="shared" si="18"/>
        <v>12364.4156</v>
      </c>
    </row>
    <row r="143" spans="1:13" s="7" customFormat="1" ht="36" customHeight="1" x14ac:dyDescent="0.35">
      <c r="A143" s="11"/>
      <c r="B143" s="510" t="s">
        <v>339</v>
      </c>
      <c r="C143" s="23" t="s">
        <v>1</v>
      </c>
      <c r="D143" s="10" t="s">
        <v>52</v>
      </c>
      <c r="E143" s="10" t="s">
        <v>79</v>
      </c>
      <c r="F143" s="709" t="s">
        <v>100</v>
      </c>
      <c r="G143" s="710" t="s">
        <v>45</v>
      </c>
      <c r="H143" s="710" t="s">
        <v>43</v>
      </c>
      <c r="I143" s="711" t="s">
        <v>44</v>
      </c>
      <c r="J143" s="10"/>
      <c r="K143" s="24">
        <f t="shared" si="18"/>
        <v>12364.4156</v>
      </c>
      <c r="L143" s="24">
        <f t="shared" si="18"/>
        <v>0</v>
      </c>
      <c r="M143" s="24">
        <f t="shared" si="18"/>
        <v>12364.4156</v>
      </c>
    </row>
    <row r="144" spans="1:13" s="7" customFormat="1" ht="90" customHeight="1" x14ac:dyDescent="0.35">
      <c r="A144" s="11"/>
      <c r="B144" s="510" t="s">
        <v>101</v>
      </c>
      <c r="C144" s="23" t="s">
        <v>1</v>
      </c>
      <c r="D144" s="10" t="s">
        <v>52</v>
      </c>
      <c r="E144" s="10" t="s">
        <v>79</v>
      </c>
      <c r="F144" s="709" t="s">
        <v>100</v>
      </c>
      <c r="G144" s="710" t="s">
        <v>45</v>
      </c>
      <c r="H144" s="710" t="s">
        <v>37</v>
      </c>
      <c r="I144" s="711" t="s">
        <v>44</v>
      </c>
      <c r="J144" s="10"/>
      <c r="K144" s="24">
        <f>K145</f>
        <v>12364.4156</v>
      </c>
      <c r="L144" s="24">
        <f>L145</f>
        <v>0</v>
      </c>
      <c r="M144" s="24">
        <f>M145</f>
        <v>12364.4156</v>
      </c>
    </row>
    <row r="145" spans="1:13" s="7" customFormat="1" ht="72" customHeight="1" x14ac:dyDescent="0.35">
      <c r="A145" s="11"/>
      <c r="B145" s="560" t="s">
        <v>102</v>
      </c>
      <c r="C145" s="23" t="s">
        <v>1</v>
      </c>
      <c r="D145" s="10" t="s">
        <v>52</v>
      </c>
      <c r="E145" s="10" t="s">
        <v>79</v>
      </c>
      <c r="F145" s="709" t="s">
        <v>100</v>
      </c>
      <c r="G145" s="710" t="s">
        <v>45</v>
      </c>
      <c r="H145" s="710" t="s">
        <v>37</v>
      </c>
      <c r="I145" s="711" t="s">
        <v>103</v>
      </c>
      <c r="J145" s="10"/>
      <c r="K145" s="24">
        <f t="shared" si="18"/>
        <v>12364.4156</v>
      </c>
      <c r="L145" s="24">
        <f t="shared" si="18"/>
        <v>0</v>
      </c>
      <c r="M145" s="24">
        <f t="shared" si="18"/>
        <v>12364.4156</v>
      </c>
    </row>
    <row r="146" spans="1:13" s="116" customFormat="1" ht="54" customHeight="1" x14ac:dyDescent="0.35">
      <c r="A146" s="11"/>
      <c r="B146" s="510" t="s">
        <v>55</v>
      </c>
      <c r="C146" s="23" t="s">
        <v>1</v>
      </c>
      <c r="D146" s="10" t="s">
        <v>52</v>
      </c>
      <c r="E146" s="10" t="s">
        <v>79</v>
      </c>
      <c r="F146" s="709" t="s">
        <v>100</v>
      </c>
      <c r="G146" s="710" t="s">
        <v>45</v>
      </c>
      <c r="H146" s="710" t="s">
        <v>37</v>
      </c>
      <c r="I146" s="711" t="s">
        <v>103</v>
      </c>
      <c r="J146" s="10" t="s">
        <v>56</v>
      </c>
      <c r="K146" s="24">
        <f>6295.9+6068.5156</f>
        <v>12364.4156</v>
      </c>
      <c r="L146" s="24">
        <f>M146-K146</f>
        <v>0</v>
      </c>
      <c r="M146" s="24">
        <f>6295.9+6068.5156</f>
        <v>12364.4156</v>
      </c>
    </row>
    <row r="147" spans="1:13" s="7" customFormat="1" ht="36" customHeight="1" x14ac:dyDescent="0.35">
      <c r="A147" s="11"/>
      <c r="B147" s="559" t="s">
        <v>106</v>
      </c>
      <c r="C147" s="23" t="s">
        <v>1</v>
      </c>
      <c r="D147" s="10" t="s">
        <v>52</v>
      </c>
      <c r="E147" s="10" t="s">
        <v>100</v>
      </c>
      <c r="F147" s="709"/>
      <c r="G147" s="710"/>
      <c r="H147" s="710"/>
      <c r="I147" s="711"/>
      <c r="J147" s="10"/>
      <c r="K147" s="24">
        <f>K148+K157+K166</f>
        <v>69083.3</v>
      </c>
      <c r="L147" s="24">
        <f>L148+L157+L166</f>
        <v>-68.799999999999955</v>
      </c>
      <c r="M147" s="24">
        <f>M148+M157+M166</f>
        <v>69014.5</v>
      </c>
    </row>
    <row r="148" spans="1:13" s="116" customFormat="1" ht="72" customHeight="1" x14ac:dyDescent="0.35">
      <c r="A148" s="11"/>
      <c r="B148" s="510" t="s">
        <v>107</v>
      </c>
      <c r="C148" s="23" t="s">
        <v>1</v>
      </c>
      <c r="D148" s="10" t="s">
        <v>52</v>
      </c>
      <c r="E148" s="10" t="s">
        <v>100</v>
      </c>
      <c r="F148" s="709" t="s">
        <v>71</v>
      </c>
      <c r="G148" s="710" t="s">
        <v>42</v>
      </c>
      <c r="H148" s="710" t="s">
        <v>43</v>
      </c>
      <c r="I148" s="711" t="s">
        <v>44</v>
      </c>
      <c r="J148" s="10"/>
      <c r="K148" s="24">
        <f>K149+K153</f>
        <v>1066.0999999999999</v>
      </c>
      <c r="L148" s="24">
        <f>L149+L153</f>
        <v>0</v>
      </c>
      <c r="M148" s="24">
        <f>M149+M153</f>
        <v>1066.0999999999999</v>
      </c>
    </row>
    <row r="149" spans="1:13" s="116" customFormat="1" ht="54" customHeight="1" x14ac:dyDescent="0.35">
      <c r="A149" s="11"/>
      <c r="B149" s="559" t="s">
        <v>108</v>
      </c>
      <c r="C149" s="23" t="s">
        <v>1</v>
      </c>
      <c r="D149" s="10" t="s">
        <v>52</v>
      </c>
      <c r="E149" s="10" t="s">
        <v>100</v>
      </c>
      <c r="F149" s="709" t="s">
        <v>71</v>
      </c>
      <c r="G149" s="710" t="s">
        <v>45</v>
      </c>
      <c r="H149" s="710" t="s">
        <v>43</v>
      </c>
      <c r="I149" s="711" t="s">
        <v>44</v>
      </c>
      <c r="J149" s="10"/>
      <c r="K149" s="24">
        <f t="shared" ref="K149:M150" si="19">K150</f>
        <v>340</v>
      </c>
      <c r="L149" s="24">
        <f t="shared" si="19"/>
        <v>0</v>
      </c>
      <c r="M149" s="24">
        <f t="shared" si="19"/>
        <v>340</v>
      </c>
    </row>
    <row r="150" spans="1:13" s="7" customFormat="1" ht="36" customHeight="1" x14ac:dyDescent="0.35">
      <c r="A150" s="11"/>
      <c r="B150" s="510" t="s">
        <v>109</v>
      </c>
      <c r="C150" s="23" t="s">
        <v>1</v>
      </c>
      <c r="D150" s="10" t="s">
        <v>52</v>
      </c>
      <c r="E150" s="10" t="s">
        <v>100</v>
      </c>
      <c r="F150" s="709" t="s">
        <v>71</v>
      </c>
      <c r="G150" s="710" t="s">
        <v>45</v>
      </c>
      <c r="H150" s="710" t="s">
        <v>37</v>
      </c>
      <c r="I150" s="711" t="s">
        <v>44</v>
      </c>
      <c r="J150" s="10"/>
      <c r="K150" s="24">
        <f t="shared" si="19"/>
        <v>340</v>
      </c>
      <c r="L150" s="24">
        <f t="shared" si="19"/>
        <v>0</v>
      </c>
      <c r="M150" s="24">
        <f t="shared" si="19"/>
        <v>340</v>
      </c>
    </row>
    <row r="151" spans="1:13" s="116" customFormat="1" ht="36" customHeight="1" x14ac:dyDescent="0.35">
      <c r="A151" s="11"/>
      <c r="B151" s="559" t="s">
        <v>110</v>
      </c>
      <c r="C151" s="23" t="s">
        <v>1</v>
      </c>
      <c r="D151" s="10" t="s">
        <v>52</v>
      </c>
      <c r="E151" s="10" t="s">
        <v>100</v>
      </c>
      <c r="F151" s="709" t="s">
        <v>71</v>
      </c>
      <c r="G151" s="710" t="s">
        <v>45</v>
      </c>
      <c r="H151" s="710" t="s">
        <v>37</v>
      </c>
      <c r="I151" s="711" t="s">
        <v>111</v>
      </c>
      <c r="J151" s="10"/>
      <c r="K151" s="24">
        <f>K152</f>
        <v>340</v>
      </c>
      <c r="L151" s="24">
        <f>L152</f>
        <v>0</v>
      </c>
      <c r="M151" s="24">
        <f>M152</f>
        <v>340</v>
      </c>
    </row>
    <row r="152" spans="1:13" s="7" customFormat="1" ht="54" customHeight="1" x14ac:dyDescent="0.35">
      <c r="A152" s="11"/>
      <c r="B152" s="510" t="s">
        <v>55</v>
      </c>
      <c r="C152" s="23" t="s">
        <v>1</v>
      </c>
      <c r="D152" s="10" t="s">
        <v>52</v>
      </c>
      <c r="E152" s="10" t="s">
        <v>100</v>
      </c>
      <c r="F152" s="709" t="s">
        <v>71</v>
      </c>
      <c r="G152" s="710" t="s">
        <v>45</v>
      </c>
      <c r="H152" s="710" t="s">
        <v>37</v>
      </c>
      <c r="I152" s="711" t="s">
        <v>111</v>
      </c>
      <c r="J152" s="10" t="s">
        <v>56</v>
      </c>
      <c r="K152" s="24">
        <v>340</v>
      </c>
      <c r="L152" s="24">
        <f>M152-K152</f>
        <v>0</v>
      </c>
      <c r="M152" s="24">
        <v>340</v>
      </c>
    </row>
    <row r="153" spans="1:13" s="116" customFormat="1" ht="36" customHeight="1" x14ac:dyDescent="0.35">
      <c r="A153" s="11"/>
      <c r="B153" s="559" t="s">
        <v>112</v>
      </c>
      <c r="C153" s="23" t="s">
        <v>1</v>
      </c>
      <c r="D153" s="10" t="s">
        <v>52</v>
      </c>
      <c r="E153" s="10" t="s">
        <v>100</v>
      </c>
      <c r="F153" s="709" t="s">
        <v>71</v>
      </c>
      <c r="G153" s="710" t="s">
        <v>89</v>
      </c>
      <c r="H153" s="710" t="s">
        <v>43</v>
      </c>
      <c r="I153" s="711" t="s">
        <v>44</v>
      </c>
      <c r="J153" s="10"/>
      <c r="K153" s="24">
        <f t="shared" ref="K153:M155" si="20">K154</f>
        <v>726.1</v>
      </c>
      <c r="L153" s="24">
        <f t="shared" si="20"/>
        <v>0</v>
      </c>
      <c r="M153" s="24">
        <f t="shared" si="20"/>
        <v>726.1</v>
      </c>
    </row>
    <row r="154" spans="1:13" s="7" customFormat="1" ht="54" customHeight="1" x14ac:dyDescent="0.35">
      <c r="A154" s="11"/>
      <c r="B154" s="559" t="s">
        <v>113</v>
      </c>
      <c r="C154" s="23" t="s">
        <v>1</v>
      </c>
      <c r="D154" s="10" t="s">
        <v>52</v>
      </c>
      <c r="E154" s="10" t="s">
        <v>100</v>
      </c>
      <c r="F154" s="709" t="s">
        <v>71</v>
      </c>
      <c r="G154" s="710" t="s">
        <v>89</v>
      </c>
      <c r="H154" s="710" t="s">
        <v>37</v>
      </c>
      <c r="I154" s="711" t="s">
        <v>44</v>
      </c>
      <c r="J154" s="10"/>
      <c r="K154" s="24">
        <f t="shared" si="20"/>
        <v>726.1</v>
      </c>
      <c r="L154" s="24">
        <f t="shared" si="20"/>
        <v>0</v>
      </c>
      <c r="M154" s="24">
        <f t="shared" si="20"/>
        <v>726.1</v>
      </c>
    </row>
    <row r="155" spans="1:13" s="116" customFormat="1" ht="87" customHeight="1" x14ac:dyDescent="0.35">
      <c r="A155" s="11"/>
      <c r="B155" s="559" t="s">
        <v>114</v>
      </c>
      <c r="C155" s="23" t="s">
        <v>1</v>
      </c>
      <c r="D155" s="10" t="s">
        <v>52</v>
      </c>
      <c r="E155" s="10" t="s">
        <v>100</v>
      </c>
      <c r="F155" s="709" t="s">
        <v>71</v>
      </c>
      <c r="G155" s="710" t="s">
        <v>89</v>
      </c>
      <c r="H155" s="710" t="s">
        <v>37</v>
      </c>
      <c r="I155" s="711" t="s">
        <v>115</v>
      </c>
      <c r="J155" s="10"/>
      <c r="K155" s="24">
        <f t="shared" si="20"/>
        <v>726.1</v>
      </c>
      <c r="L155" s="24">
        <f t="shared" si="20"/>
        <v>0</v>
      </c>
      <c r="M155" s="24">
        <f t="shared" si="20"/>
        <v>726.1</v>
      </c>
    </row>
    <row r="156" spans="1:13" s="7" customFormat="1" ht="54" customHeight="1" x14ac:dyDescent="0.35">
      <c r="A156" s="11"/>
      <c r="B156" s="510" t="s">
        <v>55</v>
      </c>
      <c r="C156" s="23" t="s">
        <v>1</v>
      </c>
      <c r="D156" s="10" t="s">
        <v>52</v>
      </c>
      <c r="E156" s="10" t="s">
        <v>100</v>
      </c>
      <c r="F156" s="709" t="s">
        <v>71</v>
      </c>
      <c r="G156" s="710" t="s">
        <v>89</v>
      </c>
      <c r="H156" s="710" t="s">
        <v>37</v>
      </c>
      <c r="I156" s="711" t="s">
        <v>115</v>
      </c>
      <c r="J156" s="10" t="s">
        <v>56</v>
      </c>
      <c r="K156" s="24">
        <v>726.1</v>
      </c>
      <c r="L156" s="24">
        <f>M156-K156</f>
        <v>0</v>
      </c>
      <c r="M156" s="24">
        <v>726.1</v>
      </c>
    </row>
    <row r="157" spans="1:13" s="116" customFormat="1" ht="72" customHeight="1" x14ac:dyDescent="0.35">
      <c r="A157" s="11"/>
      <c r="B157" s="510" t="s">
        <v>116</v>
      </c>
      <c r="C157" s="23" t="s">
        <v>1</v>
      </c>
      <c r="D157" s="10" t="s">
        <v>52</v>
      </c>
      <c r="E157" s="10" t="s">
        <v>100</v>
      </c>
      <c r="F157" s="709" t="s">
        <v>88</v>
      </c>
      <c r="G157" s="710" t="s">
        <v>42</v>
      </c>
      <c r="H157" s="710" t="s">
        <v>43</v>
      </c>
      <c r="I157" s="711" t="s">
        <v>44</v>
      </c>
      <c r="J157" s="10"/>
      <c r="K157" s="24">
        <f t="shared" ref="K157:M160" si="21">K158</f>
        <v>54785.5</v>
      </c>
      <c r="L157" s="24">
        <f t="shared" si="21"/>
        <v>0</v>
      </c>
      <c r="M157" s="24">
        <f t="shared" si="21"/>
        <v>54785.5</v>
      </c>
    </row>
    <row r="158" spans="1:13" s="116" customFormat="1" ht="36" customHeight="1" x14ac:dyDescent="0.35">
      <c r="A158" s="11"/>
      <c r="B158" s="510" t="s">
        <v>339</v>
      </c>
      <c r="C158" s="23" t="s">
        <v>1</v>
      </c>
      <c r="D158" s="10" t="s">
        <v>52</v>
      </c>
      <c r="E158" s="10" t="s">
        <v>100</v>
      </c>
      <c r="F158" s="709" t="s">
        <v>88</v>
      </c>
      <c r="G158" s="710" t="s">
        <v>45</v>
      </c>
      <c r="H158" s="710" t="s">
        <v>43</v>
      </c>
      <c r="I158" s="711" t="s">
        <v>44</v>
      </c>
      <c r="J158" s="10"/>
      <c r="K158" s="24">
        <f t="shared" si="21"/>
        <v>54785.5</v>
      </c>
      <c r="L158" s="24">
        <f t="shared" si="21"/>
        <v>0</v>
      </c>
      <c r="M158" s="24">
        <f t="shared" si="21"/>
        <v>54785.5</v>
      </c>
    </row>
    <row r="159" spans="1:13" s="7" customFormat="1" ht="72" customHeight="1" x14ac:dyDescent="0.35">
      <c r="A159" s="11"/>
      <c r="B159" s="559" t="s">
        <v>307</v>
      </c>
      <c r="C159" s="23" t="s">
        <v>1</v>
      </c>
      <c r="D159" s="10" t="s">
        <v>52</v>
      </c>
      <c r="E159" s="10" t="s">
        <v>100</v>
      </c>
      <c r="F159" s="709" t="s">
        <v>88</v>
      </c>
      <c r="G159" s="710" t="s">
        <v>45</v>
      </c>
      <c r="H159" s="710" t="s">
        <v>37</v>
      </c>
      <c r="I159" s="711" t="s">
        <v>44</v>
      </c>
      <c r="J159" s="10"/>
      <c r="K159" s="24">
        <f>K160+K162+K164</f>
        <v>54785.5</v>
      </c>
      <c r="L159" s="24">
        <f>L160+L162+L164</f>
        <v>0</v>
      </c>
      <c r="M159" s="24">
        <f>M160+M162+M164</f>
        <v>54785.5</v>
      </c>
    </row>
    <row r="160" spans="1:13" s="116" customFormat="1" ht="54" customHeight="1" x14ac:dyDescent="0.35">
      <c r="A160" s="11"/>
      <c r="B160" s="559" t="s">
        <v>117</v>
      </c>
      <c r="C160" s="23" t="s">
        <v>1</v>
      </c>
      <c r="D160" s="10" t="s">
        <v>52</v>
      </c>
      <c r="E160" s="10" t="s">
        <v>100</v>
      </c>
      <c r="F160" s="709" t="s">
        <v>88</v>
      </c>
      <c r="G160" s="710" t="s">
        <v>45</v>
      </c>
      <c r="H160" s="710" t="s">
        <v>37</v>
      </c>
      <c r="I160" s="711" t="s">
        <v>118</v>
      </c>
      <c r="J160" s="10"/>
      <c r="K160" s="24">
        <f t="shared" si="21"/>
        <v>2274.4</v>
      </c>
      <c r="L160" s="24">
        <f t="shared" si="21"/>
        <v>0</v>
      </c>
      <c r="M160" s="24">
        <f t="shared" si="21"/>
        <v>2274.4</v>
      </c>
    </row>
    <row r="161" spans="1:13" s="7" customFormat="1" ht="54" customHeight="1" x14ac:dyDescent="0.35">
      <c r="A161" s="11"/>
      <c r="B161" s="510" t="s">
        <v>55</v>
      </c>
      <c r="C161" s="23" t="s">
        <v>1</v>
      </c>
      <c r="D161" s="10" t="s">
        <v>52</v>
      </c>
      <c r="E161" s="10" t="s">
        <v>100</v>
      </c>
      <c r="F161" s="709" t="s">
        <v>88</v>
      </c>
      <c r="G161" s="710" t="s">
        <v>45</v>
      </c>
      <c r="H161" s="710" t="s">
        <v>37</v>
      </c>
      <c r="I161" s="711" t="s">
        <v>118</v>
      </c>
      <c r="J161" s="10" t="s">
        <v>56</v>
      </c>
      <c r="K161" s="24">
        <f>50+338.2+313+1573.2</f>
        <v>2274.4</v>
      </c>
      <c r="L161" s="24">
        <f>M161-K161</f>
        <v>0</v>
      </c>
      <c r="M161" s="24">
        <f>50+338.2+313+1573.2</f>
        <v>2274.4</v>
      </c>
    </row>
    <row r="162" spans="1:13" s="7" customFormat="1" ht="99" customHeight="1" x14ac:dyDescent="0.35">
      <c r="A162" s="11"/>
      <c r="B162" s="510" t="s">
        <v>526</v>
      </c>
      <c r="C162" s="23" t="s">
        <v>1</v>
      </c>
      <c r="D162" s="10" t="s">
        <v>52</v>
      </c>
      <c r="E162" s="10" t="s">
        <v>100</v>
      </c>
      <c r="F162" s="709" t="s">
        <v>88</v>
      </c>
      <c r="G162" s="710" t="s">
        <v>45</v>
      </c>
      <c r="H162" s="710" t="s">
        <v>37</v>
      </c>
      <c r="I162" s="711" t="s">
        <v>524</v>
      </c>
      <c r="J162" s="10"/>
      <c r="K162" s="24">
        <f>K163</f>
        <v>15802.7</v>
      </c>
      <c r="L162" s="24">
        <f>L163</f>
        <v>0</v>
      </c>
      <c r="M162" s="24">
        <f>M163</f>
        <v>15802.7</v>
      </c>
    </row>
    <row r="163" spans="1:13" s="7" customFormat="1" ht="54" customHeight="1" x14ac:dyDescent="0.35">
      <c r="A163" s="11"/>
      <c r="B163" s="510" t="s">
        <v>55</v>
      </c>
      <c r="C163" s="23" t="s">
        <v>1</v>
      </c>
      <c r="D163" s="10" t="s">
        <v>52</v>
      </c>
      <c r="E163" s="10" t="s">
        <v>100</v>
      </c>
      <c r="F163" s="709" t="s">
        <v>88</v>
      </c>
      <c r="G163" s="710" t="s">
        <v>45</v>
      </c>
      <c r="H163" s="710" t="s">
        <v>37</v>
      </c>
      <c r="I163" s="711" t="s">
        <v>524</v>
      </c>
      <c r="J163" s="10" t="s">
        <v>56</v>
      </c>
      <c r="K163" s="24">
        <v>15802.7</v>
      </c>
      <c r="L163" s="24">
        <f>M163-K163</f>
        <v>0</v>
      </c>
      <c r="M163" s="24">
        <v>15802.7</v>
      </c>
    </row>
    <row r="164" spans="1:13" s="7" customFormat="1" ht="72" customHeight="1" x14ac:dyDescent="0.35">
      <c r="A164" s="11"/>
      <c r="B164" s="510" t="s">
        <v>589</v>
      </c>
      <c r="C164" s="23" t="s">
        <v>1</v>
      </c>
      <c r="D164" s="10" t="s">
        <v>52</v>
      </c>
      <c r="E164" s="10" t="s">
        <v>100</v>
      </c>
      <c r="F164" s="709" t="s">
        <v>88</v>
      </c>
      <c r="G164" s="710" t="s">
        <v>45</v>
      </c>
      <c r="H164" s="710" t="s">
        <v>37</v>
      </c>
      <c r="I164" s="711" t="s">
        <v>586</v>
      </c>
      <c r="J164" s="10"/>
      <c r="K164" s="24">
        <f>K165</f>
        <v>36708.400000000001</v>
      </c>
      <c r="L164" s="24">
        <f>L165</f>
        <v>0</v>
      </c>
      <c r="M164" s="24">
        <f>M165</f>
        <v>36708.400000000001</v>
      </c>
    </row>
    <row r="165" spans="1:13" s="7" customFormat="1" ht="54" customHeight="1" x14ac:dyDescent="0.35">
      <c r="A165" s="11"/>
      <c r="B165" s="510" t="s">
        <v>55</v>
      </c>
      <c r="C165" s="23" t="s">
        <v>1</v>
      </c>
      <c r="D165" s="10" t="s">
        <v>52</v>
      </c>
      <c r="E165" s="10" t="s">
        <v>100</v>
      </c>
      <c r="F165" s="709" t="s">
        <v>88</v>
      </c>
      <c r="G165" s="710" t="s">
        <v>45</v>
      </c>
      <c r="H165" s="710" t="s">
        <v>37</v>
      </c>
      <c r="I165" s="711" t="s">
        <v>586</v>
      </c>
      <c r="J165" s="10" t="s">
        <v>56</v>
      </c>
      <c r="K165" s="24">
        <v>36708.400000000001</v>
      </c>
      <c r="L165" s="24">
        <f>M165-K165</f>
        <v>0</v>
      </c>
      <c r="M165" s="24">
        <v>36708.400000000001</v>
      </c>
    </row>
    <row r="166" spans="1:13" s="7" customFormat="1" ht="54" customHeight="1" x14ac:dyDescent="0.35">
      <c r="A166" s="11"/>
      <c r="B166" s="510" t="s">
        <v>40</v>
      </c>
      <c r="C166" s="23" t="s">
        <v>1</v>
      </c>
      <c r="D166" s="10" t="s">
        <v>52</v>
      </c>
      <c r="E166" s="10" t="s">
        <v>100</v>
      </c>
      <c r="F166" s="709" t="s">
        <v>41</v>
      </c>
      <c r="G166" s="710" t="s">
        <v>42</v>
      </c>
      <c r="H166" s="710" t="s">
        <v>43</v>
      </c>
      <c r="I166" s="711" t="s">
        <v>44</v>
      </c>
      <c r="J166" s="10"/>
      <c r="K166" s="24">
        <f t="shared" ref="K166:M166" si="22">K167</f>
        <v>13231.7</v>
      </c>
      <c r="L166" s="24">
        <f t="shared" si="22"/>
        <v>-68.799999999999955</v>
      </c>
      <c r="M166" s="24">
        <f t="shared" si="22"/>
        <v>13162.900000000001</v>
      </c>
    </row>
    <row r="167" spans="1:13" s="7" customFormat="1" ht="36" customHeight="1" x14ac:dyDescent="0.35">
      <c r="A167" s="11"/>
      <c r="B167" s="510" t="s">
        <v>339</v>
      </c>
      <c r="C167" s="23" t="s">
        <v>1</v>
      </c>
      <c r="D167" s="10" t="s">
        <v>52</v>
      </c>
      <c r="E167" s="10" t="s">
        <v>100</v>
      </c>
      <c r="F167" s="709" t="s">
        <v>41</v>
      </c>
      <c r="G167" s="710" t="s">
        <v>45</v>
      </c>
      <c r="H167" s="710" t="s">
        <v>43</v>
      </c>
      <c r="I167" s="711" t="s">
        <v>44</v>
      </c>
      <c r="J167" s="10"/>
      <c r="K167" s="24">
        <f>K168+K175</f>
        <v>13231.7</v>
      </c>
      <c r="L167" s="24">
        <f>L168+L175</f>
        <v>-68.799999999999955</v>
      </c>
      <c r="M167" s="24">
        <f>M168+M175</f>
        <v>13162.900000000001</v>
      </c>
    </row>
    <row r="168" spans="1:13" s="7" customFormat="1" ht="54" customHeight="1" x14ac:dyDescent="0.35">
      <c r="A168" s="11"/>
      <c r="B168" s="510" t="s">
        <v>331</v>
      </c>
      <c r="C168" s="23" t="s">
        <v>1</v>
      </c>
      <c r="D168" s="10" t="s">
        <v>52</v>
      </c>
      <c r="E168" s="10" t="s">
        <v>100</v>
      </c>
      <c r="F168" s="709" t="s">
        <v>41</v>
      </c>
      <c r="G168" s="710" t="s">
        <v>45</v>
      </c>
      <c r="H168" s="710" t="s">
        <v>88</v>
      </c>
      <c r="I168" s="711" t="s">
        <v>44</v>
      </c>
      <c r="J168" s="10"/>
      <c r="K168" s="24">
        <f>K171+K169+K173</f>
        <v>12114.7</v>
      </c>
      <c r="L168" s="24">
        <f>L171+L169+L173</f>
        <v>0</v>
      </c>
      <c r="M168" s="24">
        <f>M171+M169+M173</f>
        <v>12114.7</v>
      </c>
    </row>
    <row r="169" spans="1:13" s="7" customFormat="1" ht="54" customHeight="1" x14ac:dyDescent="0.35">
      <c r="A169" s="11"/>
      <c r="B169" s="510" t="s">
        <v>565</v>
      </c>
      <c r="C169" s="23" t="s">
        <v>1</v>
      </c>
      <c r="D169" s="10" t="s">
        <v>52</v>
      </c>
      <c r="E169" s="10" t="s">
        <v>100</v>
      </c>
      <c r="F169" s="709" t="s">
        <v>41</v>
      </c>
      <c r="G169" s="710" t="s">
        <v>45</v>
      </c>
      <c r="H169" s="710" t="s">
        <v>88</v>
      </c>
      <c r="I169" s="711" t="s">
        <v>566</v>
      </c>
      <c r="J169" s="10"/>
      <c r="K169" s="24">
        <f>K170</f>
        <v>471.7</v>
      </c>
      <c r="L169" s="24">
        <f>L170</f>
        <v>0</v>
      </c>
      <c r="M169" s="24">
        <f>M170</f>
        <v>471.7</v>
      </c>
    </row>
    <row r="170" spans="1:13" s="7" customFormat="1" ht="54" customHeight="1" x14ac:dyDescent="0.35">
      <c r="A170" s="11"/>
      <c r="B170" s="510" t="s">
        <v>55</v>
      </c>
      <c r="C170" s="23" t="s">
        <v>1</v>
      </c>
      <c r="D170" s="10" t="s">
        <v>52</v>
      </c>
      <c r="E170" s="10" t="s">
        <v>100</v>
      </c>
      <c r="F170" s="709" t="s">
        <v>41</v>
      </c>
      <c r="G170" s="710" t="s">
        <v>45</v>
      </c>
      <c r="H170" s="710" t="s">
        <v>88</v>
      </c>
      <c r="I170" s="711" t="s">
        <v>566</v>
      </c>
      <c r="J170" s="10" t="s">
        <v>56</v>
      </c>
      <c r="K170" s="24">
        <v>471.7</v>
      </c>
      <c r="L170" s="24">
        <f>M170-K170</f>
        <v>0</v>
      </c>
      <c r="M170" s="24">
        <v>471.7</v>
      </c>
    </row>
    <row r="171" spans="1:13" s="7" customFormat="1" ht="54" customHeight="1" x14ac:dyDescent="0.35">
      <c r="A171" s="11"/>
      <c r="B171" s="510" t="s">
        <v>538</v>
      </c>
      <c r="C171" s="23" t="s">
        <v>1</v>
      </c>
      <c r="D171" s="10" t="s">
        <v>52</v>
      </c>
      <c r="E171" s="10" t="s">
        <v>100</v>
      </c>
      <c r="F171" s="709" t="s">
        <v>41</v>
      </c>
      <c r="G171" s="710" t="s">
        <v>45</v>
      </c>
      <c r="H171" s="710" t="s">
        <v>88</v>
      </c>
      <c r="I171" s="711" t="s">
        <v>537</v>
      </c>
      <c r="J171" s="10"/>
      <c r="K171" s="24">
        <f>K172</f>
        <v>1743</v>
      </c>
      <c r="L171" s="24">
        <f>L172</f>
        <v>0</v>
      </c>
      <c r="M171" s="24">
        <f>M172</f>
        <v>1743</v>
      </c>
    </row>
    <row r="172" spans="1:13" s="7" customFormat="1" ht="54" customHeight="1" x14ac:dyDescent="0.35">
      <c r="A172" s="11"/>
      <c r="B172" s="510" t="s">
        <v>55</v>
      </c>
      <c r="C172" s="23" t="s">
        <v>1</v>
      </c>
      <c r="D172" s="10" t="s">
        <v>52</v>
      </c>
      <c r="E172" s="10" t="s">
        <v>100</v>
      </c>
      <c r="F172" s="709" t="s">
        <v>41</v>
      </c>
      <c r="G172" s="710" t="s">
        <v>45</v>
      </c>
      <c r="H172" s="710" t="s">
        <v>88</v>
      </c>
      <c r="I172" s="711" t="s">
        <v>537</v>
      </c>
      <c r="J172" s="10" t="s">
        <v>56</v>
      </c>
      <c r="K172" s="24">
        <f>1690.7+52.3</f>
        <v>1743</v>
      </c>
      <c r="L172" s="24">
        <f>M172-K172</f>
        <v>0</v>
      </c>
      <c r="M172" s="24">
        <f>1690.7+52.3</f>
        <v>1743</v>
      </c>
    </row>
    <row r="173" spans="1:13" s="7" customFormat="1" ht="54" customHeight="1" x14ac:dyDescent="0.35">
      <c r="A173" s="11"/>
      <c r="B173" s="510" t="s">
        <v>725</v>
      </c>
      <c r="C173" s="23" t="s">
        <v>1</v>
      </c>
      <c r="D173" s="10" t="s">
        <v>52</v>
      </c>
      <c r="E173" s="10" t="s">
        <v>100</v>
      </c>
      <c r="F173" s="709" t="s">
        <v>41</v>
      </c>
      <c r="G173" s="710" t="s">
        <v>45</v>
      </c>
      <c r="H173" s="710" t="s">
        <v>88</v>
      </c>
      <c r="I173" s="711" t="s">
        <v>724</v>
      </c>
      <c r="J173" s="10"/>
      <c r="K173" s="24">
        <f>K174</f>
        <v>9900</v>
      </c>
      <c r="L173" s="24">
        <f>L174</f>
        <v>0</v>
      </c>
      <c r="M173" s="24">
        <f>M174</f>
        <v>9900</v>
      </c>
    </row>
    <row r="174" spans="1:13" s="7" customFormat="1" ht="54" customHeight="1" x14ac:dyDescent="0.35">
      <c r="A174" s="11"/>
      <c r="B174" s="510" t="s">
        <v>55</v>
      </c>
      <c r="C174" s="23" t="s">
        <v>1</v>
      </c>
      <c r="D174" s="10" t="s">
        <v>52</v>
      </c>
      <c r="E174" s="10" t="s">
        <v>100</v>
      </c>
      <c r="F174" s="709" t="s">
        <v>41</v>
      </c>
      <c r="G174" s="710" t="s">
        <v>45</v>
      </c>
      <c r="H174" s="710" t="s">
        <v>88</v>
      </c>
      <c r="I174" s="711" t="s">
        <v>724</v>
      </c>
      <c r="J174" s="10" t="s">
        <v>56</v>
      </c>
      <c r="K174" s="24">
        <f>9603+297</f>
        <v>9900</v>
      </c>
      <c r="L174" s="24">
        <f>M174-K174</f>
        <v>0</v>
      </c>
      <c r="M174" s="24">
        <f>9603+297</f>
        <v>9900</v>
      </c>
    </row>
    <row r="175" spans="1:13" s="7" customFormat="1" ht="36" customHeight="1" x14ac:dyDescent="0.35">
      <c r="A175" s="11"/>
      <c r="B175" s="593" t="s">
        <v>374</v>
      </c>
      <c r="C175" s="23" t="s">
        <v>1</v>
      </c>
      <c r="D175" s="10" t="s">
        <v>52</v>
      </c>
      <c r="E175" s="10" t="s">
        <v>100</v>
      </c>
      <c r="F175" s="709" t="s">
        <v>41</v>
      </c>
      <c r="G175" s="710" t="s">
        <v>45</v>
      </c>
      <c r="H175" s="710" t="s">
        <v>672</v>
      </c>
      <c r="I175" s="711" t="s">
        <v>44</v>
      </c>
      <c r="J175" s="10"/>
      <c r="K175" s="24">
        <f t="shared" ref="K175:M176" si="23">K176</f>
        <v>1117</v>
      </c>
      <c r="L175" s="24">
        <f t="shared" si="23"/>
        <v>-68.799999999999955</v>
      </c>
      <c r="M175" s="24">
        <f t="shared" si="23"/>
        <v>1048.2</v>
      </c>
    </row>
    <row r="176" spans="1:13" s="7" customFormat="1" ht="36" customHeight="1" x14ac:dyDescent="0.35">
      <c r="A176" s="11"/>
      <c r="B176" s="593" t="s">
        <v>372</v>
      </c>
      <c r="C176" s="23" t="s">
        <v>1</v>
      </c>
      <c r="D176" s="10" t="s">
        <v>52</v>
      </c>
      <c r="E176" s="10" t="s">
        <v>100</v>
      </c>
      <c r="F176" s="709" t="s">
        <v>41</v>
      </c>
      <c r="G176" s="710" t="s">
        <v>45</v>
      </c>
      <c r="H176" s="710" t="s">
        <v>672</v>
      </c>
      <c r="I176" s="711" t="s">
        <v>371</v>
      </c>
      <c r="J176" s="10"/>
      <c r="K176" s="24">
        <f t="shared" si="23"/>
        <v>1117</v>
      </c>
      <c r="L176" s="24">
        <f t="shared" si="23"/>
        <v>-68.799999999999955</v>
      </c>
      <c r="M176" s="24">
        <f t="shared" si="23"/>
        <v>1048.2</v>
      </c>
    </row>
    <row r="177" spans="1:13" s="7" customFormat="1" ht="54" customHeight="1" x14ac:dyDescent="0.35">
      <c r="A177" s="11"/>
      <c r="B177" s="593" t="s">
        <v>55</v>
      </c>
      <c r="C177" s="23" t="s">
        <v>1</v>
      </c>
      <c r="D177" s="10" t="s">
        <v>52</v>
      </c>
      <c r="E177" s="10" t="s">
        <v>100</v>
      </c>
      <c r="F177" s="709" t="s">
        <v>41</v>
      </c>
      <c r="G177" s="710" t="s">
        <v>45</v>
      </c>
      <c r="H177" s="710" t="s">
        <v>672</v>
      </c>
      <c r="I177" s="711" t="s">
        <v>371</v>
      </c>
      <c r="J177" s="10" t="s">
        <v>56</v>
      </c>
      <c r="K177" s="24">
        <v>1117</v>
      </c>
      <c r="L177" s="24">
        <f>M177-K177</f>
        <v>-68.799999999999955</v>
      </c>
      <c r="M177" s="24">
        <f>1117-68.8</f>
        <v>1048.2</v>
      </c>
    </row>
    <row r="178" spans="1:13" s="7" customFormat="1" ht="18" customHeight="1" x14ac:dyDescent="0.35">
      <c r="A178" s="11"/>
      <c r="B178" s="510" t="s">
        <v>177</v>
      </c>
      <c r="C178" s="23" t="s">
        <v>1</v>
      </c>
      <c r="D178" s="10" t="s">
        <v>65</v>
      </c>
      <c r="E178" s="10"/>
      <c r="F178" s="709"/>
      <c r="G178" s="710"/>
      <c r="H178" s="710"/>
      <c r="I178" s="711"/>
      <c r="J178" s="10"/>
      <c r="K178" s="261">
        <f>K179+K189</f>
        <v>41446.800000000003</v>
      </c>
      <c r="L178" s="261">
        <f>L179+L189</f>
        <v>26329.500000000004</v>
      </c>
      <c r="M178" s="261">
        <f>M179+M189</f>
        <v>67776.3</v>
      </c>
    </row>
    <row r="179" spans="1:13" s="7" customFormat="1" ht="18" customHeight="1" x14ac:dyDescent="0.35">
      <c r="A179" s="11"/>
      <c r="B179" s="510" t="s">
        <v>477</v>
      </c>
      <c r="C179" s="23" t="s">
        <v>1</v>
      </c>
      <c r="D179" s="10" t="s">
        <v>65</v>
      </c>
      <c r="E179" s="10" t="s">
        <v>37</v>
      </c>
      <c r="F179" s="709"/>
      <c r="G179" s="710"/>
      <c r="H179" s="710"/>
      <c r="I179" s="711"/>
      <c r="J179" s="10"/>
      <c r="K179" s="261">
        <f>K180</f>
        <v>34361.1</v>
      </c>
      <c r="L179" s="261">
        <f>L180</f>
        <v>26329.500000000004</v>
      </c>
      <c r="M179" s="261">
        <f>M180</f>
        <v>60690.600000000006</v>
      </c>
    </row>
    <row r="180" spans="1:13" s="7" customFormat="1" ht="72" customHeight="1" x14ac:dyDescent="0.35">
      <c r="A180" s="11"/>
      <c r="B180" s="561" t="s">
        <v>332</v>
      </c>
      <c r="C180" s="23" t="s">
        <v>1</v>
      </c>
      <c r="D180" s="10" t="s">
        <v>65</v>
      </c>
      <c r="E180" s="10" t="s">
        <v>37</v>
      </c>
      <c r="F180" s="709" t="s">
        <v>104</v>
      </c>
      <c r="G180" s="710" t="s">
        <v>42</v>
      </c>
      <c r="H180" s="710" t="s">
        <v>43</v>
      </c>
      <c r="I180" s="711" t="s">
        <v>44</v>
      </c>
      <c r="J180" s="10"/>
      <c r="K180" s="24">
        <f>K182</f>
        <v>34361.1</v>
      </c>
      <c r="L180" s="24">
        <f>L182</f>
        <v>26329.500000000004</v>
      </c>
      <c r="M180" s="24">
        <f>M182</f>
        <v>60690.600000000006</v>
      </c>
    </row>
    <row r="181" spans="1:13" s="7" customFormat="1" ht="36" customHeight="1" x14ac:dyDescent="0.35">
      <c r="A181" s="11"/>
      <c r="B181" s="541" t="s">
        <v>479</v>
      </c>
      <c r="C181" s="23" t="s">
        <v>1</v>
      </c>
      <c r="D181" s="10" t="s">
        <v>65</v>
      </c>
      <c r="E181" s="10" t="s">
        <v>37</v>
      </c>
      <c r="F181" s="709" t="s">
        <v>104</v>
      </c>
      <c r="G181" s="710" t="s">
        <v>480</v>
      </c>
      <c r="H181" s="710" t="s">
        <v>43</v>
      </c>
      <c r="I181" s="711" t="s">
        <v>44</v>
      </c>
      <c r="J181" s="10"/>
      <c r="K181" s="24">
        <f>K182</f>
        <v>34361.1</v>
      </c>
      <c r="L181" s="24">
        <f>L182</f>
        <v>26329.500000000004</v>
      </c>
      <c r="M181" s="24">
        <f>M182</f>
        <v>60690.600000000006</v>
      </c>
    </row>
    <row r="182" spans="1:13" s="7" customFormat="1" ht="54" customHeight="1" x14ac:dyDescent="0.35">
      <c r="A182" s="11"/>
      <c r="B182" s="510" t="s">
        <v>475</v>
      </c>
      <c r="C182" s="23" t="s">
        <v>1</v>
      </c>
      <c r="D182" s="10" t="s">
        <v>65</v>
      </c>
      <c r="E182" s="10" t="s">
        <v>37</v>
      </c>
      <c r="F182" s="709" t="s">
        <v>104</v>
      </c>
      <c r="G182" s="710" t="s">
        <v>480</v>
      </c>
      <c r="H182" s="710" t="s">
        <v>474</v>
      </c>
      <c r="I182" s="711" t="s">
        <v>44</v>
      </c>
      <c r="J182" s="10"/>
      <c r="K182" s="24">
        <f>K187+K183+K185</f>
        <v>34361.1</v>
      </c>
      <c r="L182" s="24">
        <f>L187+L183+L185</f>
        <v>26329.500000000004</v>
      </c>
      <c r="M182" s="24">
        <f>M187+M183+M185</f>
        <v>60690.600000000006</v>
      </c>
    </row>
    <row r="183" spans="1:13" s="7" customFormat="1" ht="108" customHeight="1" x14ac:dyDescent="0.35">
      <c r="A183" s="11"/>
      <c r="B183" s="593" t="s">
        <v>476</v>
      </c>
      <c r="C183" s="23" t="s">
        <v>1</v>
      </c>
      <c r="D183" s="10" t="s">
        <v>65</v>
      </c>
      <c r="E183" s="10" t="s">
        <v>37</v>
      </c>
      <c r="F183" s="709" t="s">
        <v>104</v>
      </c>
      <c r="G183" s="710" t="s">
        <v>480</v>
      </c>
      <c r="H183" s="710" t="s">
        <v>474</v>
      </c>
      <c r="I183" s="711" t="s">
        <v>625</v>
      </c>
      <c r="J183" s="10"/>
      <c r="K183" s="24">
        <f>K184</f>
        <v>13125.3</v>
      </c>
      <c r="L183" s="24">
        <f>L184</f>
        <v>7864.6000000000022</v>
      </c>
      <c r="M183" s="24">
        <f>M184</f>
        <v>20989.9</v>
      </c>
    </row>
    <row r="184" spans="1:13" s="7" customFormat="1" ht="54" customHeight="1" x14ac:dyDescent="0.35">
      <c r="A184" s="11"/>
      <c r="B184" s="593" t="s">
        <v>203</v>
      </c>
      <c r="C184" s="23" t="s">
        <v>1</v>
      </c>
      <c r="D184" s="10" t="s">
        <v>65</v>
      </c>
      <c r="E184" s="10" t="s">
        <v>37</v>
      </c>
      <c r="F184" s="709" t="s">
        <v>104</v>
      </c>
      <c r="G184" s="710" t="s">
        <v>480</v>
      </c>
      <c r="H184" s="710" t="s">
        <v>474</v>
      </c>
      <c r="I184" s="711" t="s">
        <v>625</v>
      </c>
      <c r="J184" s="10" t="s">
        <v>204</v>
      </c>
      <c r="K184" s="24">
        <v>13125.3</v>
      </c>
      <c r="L184" s="24">
        <f>M184-K184</f>
        <v>7864.6000000000022</v>
      </c>
      <c r="M184" s="24">
        <f>13125.3+7864.6</f>
        <v>20989.9</v>
      </c>
    </row>
    <row r="185" spans="1:13" s="7" customFormat="1" ht="108" customHeight="1" x14ac:dyDescent="0.35">
      <c r="A185" s="11"/>
      <c r="B185" s="593" t="s">
        <v>476</v>
      </c>
      <c r="C185" s="23" t="s">
        <v>1</v>
      </c>
      <c r="D185" s="10" t="s">
        <v>65</v>
      </c>
      <c r="E185" s="10" t="s">
        <v>37</v>
      </c>
      <c r="F185" s="709" t="s">
        <v>104</v>
      </c>
      <c r="G185" s="710" t="s">
        <v>480</v>
      </c>
      <c r="H185" s="710" t="s">
        <v>474</v>
      </c>
      <c r="I185" s="711" t="s">
        <v>624</v>
      </c>
      <c r="J185" s="10"/>
      <c r="K185" s="24">
        <f>K186</f>
        <v>18201</v>
      </c>
      <c r="L185" s="24">
        <f>L186</f>
        <v>18464.900000000001</v>
      </c>
      <c r="M185" s="24">
        <f>M186</f>
        <v>36665.9</v>
      </c>
    </row>
    <row r="186" spans="1:13" s="7" customFormat="1" ht="54" customHeight="1" x14ac:dyDescent="0.35">
      <c r="A186" s="11"/>
      <c r="B186" s="594" t="s">
        <v>203</v>
      </c>
      <c r="C186" s="23" t="s">
        <v>1</v>
      </c>
      <c r="D186" s="10" t="s">
        <v>65</v>
      </c>
      <c r="E186" s="10" t="s">
        <v>37</v>
      </c>
      <c r="F186" s="709" t="s">
        <v>104</v>
      </c>
      <c r="G186" s="710" t="s">
        <v>480</v>
      </c>
      <c r="H186" s="710" t="s">
        <v>474</v>
      </c>
      <c r="I186" s="711" t="s">
        <v>624</v>
      </c>
      <c r="J186" s="10" t="s">
        <v>204</v>
      </c>
      <c r="K186" s="24">
        <v>18201</v>
      </c>
      <c r="L186" s="24">
        <f>M186-K186</f>
        <v>18464.900000000001</v>
      </c>
      <c r="M186" s="24">
        <f>18201+18464.9</f>
        <v>36665.9</v>
      </c>
    </row>
    <row r="187" spans="1:13" s="7" customFormat="1" ht="108" customHeight="1" x14ac:dyDescent="0.35">
      <c r="A187" s="11"/>
      <c r="B187" s="510" t="s">
        <v>476</v>
      </c>
      <c r="C187" s="23" t="s">
        <v>1</v>
      </c>
      <c r="D187" s="10" t="s">
        <v>65</v>
      </c>
      <c r="E187" s="10" t="s">
        <v>37</v>
      </c>
      <c r="F187" s="709" t="s">
        <v>104</v>
      </c>
      <c r="G187" s="710" t="s">
        <v>480</v>
      </c>
      <c r="H187" s="710" t="s">
        <v>474</v>
      </c>
      <c r="I187" s="711" t="s">
        <v>518</v>
      </c>
      <c r="J187" s="10"/>
      <c r="K187" s="24">
        <f>K188</f>
        <v>3034.8</v>
      </c>
      <c r="L187" s="24">
        <f>L188</f>
        <v>0</v>
      </c>
      <c r="M187" s="24">
        <f>M188</f>
        <v>3034.8</v>
      </c>
    </row>
    <row r="188" spans="1:13" s="7" customFormat="1" ht="54" customHeight="1" x14ac:dyDescent="0.35">
      <c r="A188" s="11"/>
      <c r="B188" s="510" t="s">
        <v>203</v>
      </c>
      <c r="C188" s="23" t="s">
        <v>1</v>
      </c>
      <c r="D188" s="10" t="s">
        <v>65</v>
      </c>
      <c r="E188" s="10" t="s">
        <v>37</v>
      </c>
      <c r="F188" s="709" t="s">
        <v>104</v>
      </c>
      <c r="G188" s="710" t="s">
        <v>480</v>
      </c>
      <c r="H188" s="710" t="s">
        <v>474</v>
      </c>
      <c r="I188" s="711" t="s">
        <v>518</v>
      </c>
      <c r="J188" s="10" t="s">
        <v>204</v>
      </c>
      <c r="K188" s="24">
        <f>1649+1385.8</f>
        <v>3034.8</v>
      </c>
      <c r="L188" s="24">
        <f>M188-K188</f>
        <v>0</v>
      </c>
      <c r="M188" s="24">
        <f>1649+1385.8</f>
        <v>3034.8</v>
      </c>
    </row>
    <row r="189" spans="1:13" s="7" customFormat="1" ht="18" customHeight="1" x14ac:dyDescent="0.35">
      <c r="A189" s="11"/>
      <c r="B189" s="593" t="s">
        <v>635</v>
      </c>
      <c r="C189" s="23" t="s">
        <v>1</v>
      </c>
      <c r="D189" s="10" t="s">
        <v>65</v>
      </c>
      <c r="E189" s="10" t="s">
        <v>63</v>
      </c>
      <c r="F189" s="709"/>
      <c r="G189" s="710"/>
      <c r="H189" s="710"/>
      <c r="I189" s="711"/>
      <c r="J189" s="10"/>
      <c r="K189" s="24">
        <f t="shared" ref="K189:M193" si="24">K190</f>
        <v>7085.7000000000007</v>
      </c>
      <c r="L189" s="24">
        <f t="shared" si="24"/>
        <v>0</v>
      </c>
      <c r="M189" s="24">
        <f t="shared" si="24"/>
        <v>7085.7000000000007</v>
      </c>
    </row>
    <row r="190" spans="1:13" s="7" customFormat="1" ht="72" customHeight="1" x14ac:dyDescent="0.35">
      <c r="A190" s="11"/>
      <c r="B190" s="593" t="s">
        <v>636</v>
      </c>
      <c r="C190" s="23" t="s">
        <v>1</v>
      </c>
      <c r="D190" s="10" t="s">
        <v>65</v>
      </c>
      <c r="E190" s="10" t="s">
        <v>63</v>
      </c>
      <c r="F190" s="709" t="s">
        <v>104</v>
      </c>
      <c r="G190" s="710" t="s">
        <v>42</v>
      </c>
      <c r="H190" s="710" t="s">
        <v>43</v>
      </c>
      <c r="I190" s="711" t="s">
        <v>44</v>
      </c>
      <c r="J190" s="10"/>
      <c r="K190" s="24">
        <f t="shared" si="24"/>
        <v>7085.7000000000007</v>
      </c>
      <c r="L190" s="24">
        <f t="shared" si="24"/>
        <v>0</v>
      </c>
      <c r="M190" s="24">
        <f t="shared" si="24"/>
        <v>7085.7000000000007</v>
      </c>
    </row>
    <row r="191" spans="1:13" s="7" customFormat="1" ht="54" customHeight="1" x14ac:dyDescent="0.35">
      <c r="A191" s="11"/>
      <c r="B191" s="593" t="s">
        <v>631</v>
      </c>
      <c r="C191" s="23" t="s">
        <v>1</v>
      </c>
      <c r="D191" s="10" t="s">
        <v>65</v>
      </c>
      <c r="E191" s="10" t="s">
        <v>63</v>
      </c>
      <c r="F191" s="709" t="s">
        <v>104</v>
      </c>
      <c r="G191" s="710" t="s">
        <v>34</v>
      </c>
      <c r="H191" s="710" t="s">
        <v>43</v>
      </c>
      <c r="I191" s="711" t="s">
        <v>44</v>
      </c>
      <c r="J191" s="10"/>
      <c r="K191" s="24">
        <f t="shared" si="24"/>
        <v>7085.7000000000007</v>
      </c>
      <c r="L191" s="24">
        <f t="shared" si="24"/>
        <v>0</v>
      </c>
      <c r="M191" s="24">
        <f t="shared" si="24"/>
        <v>7085.7000000000007</v>
      </c>
    </row>
    <row r="192" spans="1:13" s="7" customFormat="1" ht="54" customHeight="1" x14ac:dyDescent="0.35">
      <c r="A192" s="11"/>
      <c r="B192" s="593" t="s">
        <v>632</v>
      </c>
      <c r="C192" s="23" t="s">
        <v>1</v>
      </c>
      <c r="D192" s="10" t="s">
        <v>65</v>
      </c>
      <c r="E192" s="10" t="s">
        <v>63</v>
      </c>
      <c r="F192" s="709" t="s">
        <v>104</v>
      </c>
      <c r="G192" s="710" t="s">
        <v>34</v>
      </c>
      <c r="H192" s="710" t="s">
        <v>37</v>
      </c>
      <c r="I192" s="711" t="s">
        <v>44</v>
      </c>
      <c r="J192" s="10"/>
      <c r="K192" s="24">
        <f t="shared" si="24"/>
        <v>7085.7000000000007</v>
      </c>
      <c r="L192" s="24">
        <f t="shared" si="24"/>
        <v>0</v>
      </c>
      <c r="M192" s="24">
        <f t="shared" si="24"/>
        <v>7085.7000000000007</v>
      </c>
    </row>
    <row r="193" spans="1:13" s="7" customFormat="1" ht="36" customHeight="1" x14ac:dyDescent="0.35">
      <c r="A193" s="11"/>
      <c r="B193" s="593" t="s">
        <v>633</v>
      </c>
      <c r="C193" s="23" t="s">
        <v>1</v>
      </c>
      <c r="D193" s="10" t="s">
        <v>65</v>
      </c>
      <c r="E193" s="10" t="s">
        <v>63</v>
      </c>
      <c r="F193" s="709" t="s">
        <v>104</v>
      </c>
      <c r="G193" s="710" t="s">
        <v>34</v>
      </c>
      <c r="H193" s="710" t="s">
        <v>37</v>
      </c>
      <c r="I193" s="711" t="s">
        <v>634</v>
      </c>
      <c r="J193" s="10"/>
      <c r="K193" s="24">
        <f t="shared" si="24"/>
        <v>7085.7000000000007</v>
      </c>
      <c r="L193" s="24">
        <f t="shared" si="24"/>
        <v>0</v>
      </c>
      <c r="M193" s="24">
        <f t="shared" si="24"/>
        <v>7085.7000000000007</v>
      </c>
    </row>
    <row r="194" spans="1:13" s="7" customFormat="1" ht="54" customHeight="1" x14ac:dyDescent="0.35">
      <c r="A194" s="11"/>
      <c r="B194" s="593" t="s">
        <v>55</v>
      </c>
      <c r="C194" s="23" t="s">
        <v>1</v>
      </c>
      <c r="D194" s="10" t="s">
        <v>65</v>
      </c>
      <c r="E194" s="10" t="s">
        <v>63</v>
      </c>
      <c r="F194" s="709" t="s">
        <v>104</v>
      </c>
      <c r="G194" s="710" t="s">
        <v>34</v>
      </c>
      <c r="H194" s="710" t="s">
        <v>37</v>
      </c>
      <c r="I194" s="711" t="s">
        <v>634</v>
      </c>
      <c r="J194" s="10" t="s">
        <v>56</v>
      </c>
      <c r="K194" s="24">
        <f>5758.6+1327.1</f>
        <v>7085.7000000000007</v>
      </c>
      <c r="L194" s="24">
        <f>M194-K194</f>
        <v>0</v>
      </c>
      <c r="M194" s="24">
        <f>5758.6+1327.1</f>
        <v>7085.7000000000007</v>
      </c>
    </row>
    <row r="195" spans="1:13" s="7" customFormat="1" ht="18" customHeight="1" x14ac:dyDescent="0.35">
      <c r="A195" s="11"/>
      <c r="B195" s="510" t="s">
        <v>179</v>
      </c>
      <c r="C195" s="23" t="s">
        <v>1</v>
      </c>
      <c r="D195" s="10" t="s">
        <v>224</v>
      </c>
      <c r="E195" s="10"/>
      <c r="F195" s="709"/>
      <c r="G195" s="710"/>
      <c r="H195" s="710"/>
      <c r="I195" s="711"/>
      <c r="J195" s="10"/>
      <c r="K195" s="24">
        <f>K196</f>
        <v>130.9</v>
      </c>
      <c r="L195" s="24">
        <f>L196</f>
        <v>0</v>
      </c>
      <c r="M195" s="24">
        <f>M196</f>
        <v>130.9</v>
      </c>
    </row>
    <row r="196" spans="1:13" s="7" customFormat="1" ht="36" customHeight="1" x14ac:dyDescent="0.35">
      <c r="A196" s="11"/>
      <c r="B196" s="510" t="s">
        <v>530</v>
      </c>
      <c r="C196" s="23" t="s">
        <v>1</v>
      </c>
      <c r="D196" s="10" t="s">
        <v>224</v>
      </c>
      <c r="E196" s="10" t="s">
        <v>65</v>
      </c>
      <c r="F196" s="709"/>
      <c r="G196" s="710"/>
      <c r="H196" s="710"/>
      <c r="I196" s="711"/>
      <c r="J196" s="10"/>
      <c r="K196" s="24">
        <f t="shared" ref="K196:M200" si="25">K197</f>
        <v>130.9</v>
      </c>
      <c r="L196" s="24">
        <f t="shared" si="25"/>
        <v>0</v>
      </c>
      <c r="M196" s="24">
        <f t="shared" si="25"/>
        <v>130.9</v>
      </c>
    </row>
    <row r="197" spans="1:13" s="7" customFormat="1" ht="54" customHeight="1" x14ac:dyDescent="0.35">
      <c r="A197" s="11"/>
      <c r="B197" s="510" t="s">
        <v>40</v>
      </c>
      <c r="C197" s="23" t="s">
        <v>1</v>
      </c>
      <c r="D197" s="10" t="s">
        <v>224</v>
      </c>
      <c r="E197" s="10" t="s">
        <v>65</v>
      </c>
      <c r="F197" s="709" t="s">
        <v>41</v>
      </c>
      <c r="G197" s="710" t="s">
        <v>42</v>
      </c>
      <c r="H197" s="710" t="s">
        <v>43</v>
      </c>
      <c r="I197" s="711" t="s">
        <v>44</v>
      </c>
      <c r="J197" s="10"/>
      <c r="K197" s="24">
        <f t="shared" si="25"/>
        <v>130.9</v>
      </c>
      <c r="L197" s="24">
        <f t="shared" si="25"/>
        <v>0</v>
      </c>
      <c r="M197" s="24">
        <f t="shared" si="25"/>
        <v>130.9</v>
      </c>
    </row>
    <row r="198" spans="1:13" s="7" customFormat="1" ht="36" customHeight="1" x14ac:dyDescent="0.35">
      <c r="A198" s="11"/>
      <c r="B198" s="510" t="s">
        <v>339</v>
      </c>
      <c r="C198" s="23" t="s">
        <v>1</v>
      </c>
      <c r="D198" s="10" t="s">
        <v>224</v>
      </c>
      <c r="E198" s="10" t="s">
        <v>65</v>
      </c>
      <c r="F198" s="709" t="s">
        <v>41</v>
      </c>
      <c r="G198" s="710" t="s">
        <v>45</v>
      </c>
      <c r="H198" s="710" t="s">
        <v>43</v>
      </c>
      <c r="I198" s="711" t="s">
        <v>44</v>
      </c>
      <c r="J198" s="10"/>
      <c r="K198" s="24">
        <f t="shared" si="25"/>
        <v>130.9</v>
      </c>
      <c r="L198" s="24">
        <f t="shared" si="25"/>
        <v>0</v>
      </c>
      <c r="M198" s="24">
        <f t="shared" si="25"/>
        <v>130.9</v>
      </c>
    </row>
    <row r="199" spans="1:13" s="7" customFormat="1" ht="18" customHeight="1" x14ac:dyDescent="0.35">
      <c r="A199" s="11"/>
      <c r="B199" s="510" t="s">
        <v>62</v>
      </c>
      <c r="C199" s="23" t="s">
        <v>1</v>
      </c>
      <c r="D199" s="10" t="s">
        <v>224</v>
      </c>
      <c r="E199" s="10" t="s">
        <v>65</v>
      </c>
      <c r="F199" s="709" t="s">
        <v>41</v>
      </c>
      <c r="G199" s="710" t="s">
        <v>45</v>
      </c>
      <c r="H199" s="710" t="s">
        <v>63</v>
      </c>
      <c r="I199" s="711" t="s">
        <v>44</v>
      </c>
      <c r="J199" s="10"/>
      <c r="K199" s="24">
        <f t="shared" si="25"/>
        <v>130.9</v>
      </c>
      <c r="L199" s="24">
        <f t="shared" si="25"/>
        <v>0</v>
      </c>
      <c r="M199" s="24">
        <f t="shared" si="25"/>
        <v>130.9</v>
      </c>
    </row>
    <row r="200" spans="1:13" s="7" customFormat="1" ht="36" customHeight="1" x14ac:dyDescent="0.35">
      <c r="A200" s="11"/>
      <c r="B200" s="510" t="s">
        <v>532</v>
      </c>
      <c r="C200" s="23" t="s">
        <v>1</v>
      </c>
      <c r="D200" s="10" t="s">
        <v>224</v>
      </c>
      <c r="E200" s="10" t="s">
        <v>65</v>
      </c>
      <c r="F200" s="709" t="s">
        <v>41</v>
      </c>
      <c r="G200" s="710" t="s">
        <v>45</v>
      </c>
      <c r="H200" s="710" t="s">
        <v>63</v>
      </c>
      <c r="I200" s="711" t="s">
        <v>531</v>
      </c>
      <c r="J200" s="10"/>
      <c r="K200" s="24">
        <f t="shared" si="25"/>
        <v>130.9</v>
      </c>
      <c r="L200" s="24">
        <f t="shared" si="25"/>
        <v>0</v>
      </c>
      <c r="M200" s="24">
        <f t="shared" si="25"/>
        <v>130.9</v>
      </c>
    </row>
    <row r="201" spans="1:13" s="7" customFormat="1" ht="54" customHeight="1" x14ac:dyDescent="0.35">
      <c r="A201" s="11"/>
      <c r="B201" s="510" t="s">
        <v>55</v>
      </c>
      <c r="C201" s="23" t="s">
        <v>1</v>
      </c>
      <c r="D201" s="10" t="s">
        <v>224</v>
      </c>
      <c r="E201" s="10" t="s">
        <v>65</v>
      </c>
      <c r="F201" s="709" t="s">
        <v>41</v>
      </c>
      <c r="G201" s="710" t="s">
        <v>45</v>
      </c>
      <c r="H201" s="710" t="s">
        <v>63</v>
      </c>
      <c r="I201" s="711" t="s">
        <v>531</v>
      </c>
      <c r="J201" s="10" t="s">
        <v>56</v>
      </c>
      <c r="K201" s="24">
        <f>91.9+39</f>
        <v>130.9</v>
      </c>
      <c r="L201" s="24">
        <f>M201-K201</f>
        <v>0</v>
      </c>
      <c r="M201" s="24">
        <f>91.9+39</f>
        <v>130.9</v>
      </c>
    </row>
    <row r="202" spans="1:13" s="116" customFormat="1" ht="18" customHeight="1" x14ac:dyDescent="0.35">
      <c r="A202" s="11"/>
      <c r="B202" s="510" t="s">
        <v>119</v>
      </c>
      <c r="C202" s="23" t="s">
        <v>1</v>
      </c>
      <c r="D202" s="10" t="s">
        <v>104</v>
      </c>
      <c r="E202" s="10"/>
      <c r="F202" s="709"/>
      <c r="G202" s="710"/>
      <c r="H202" s="710"/>
      <c r="I202" s="711"/>
      <c r="J202" s="10"/>
      <c r="K202" s="24">
        <f>K203+K209+K215</f>
        <v>5455.1</v>
      </c>
      <c r="L202" s="24">
        <f>L203+L209+L215</f>
        <v>0</v>
      </c>
      <c r="M202" s="24">
        <f>M203+M209+M215</f>
        <v>5455.1</v>
      </c>
    </row>
    <row r="203" spans="1:13" s="116" customFormat="1" ht="18" customHeight="1" x14ac:dyDescent="0.35">
      <c r="A203" s="11"/>
      <c r="B203" s="510" t="s">
        <v>355</v>
      </c>
      <c r="C203" s="23" t="s">
        <v>1</v>
      </c>
      <c r="D203" s="10" t="s">
        <v>104</v>
      </c>
      <c r="E203" s="10" t="s">
        <v>37</v>
      </c>
      <c r="F203" s="709"/>
      <c r="G203" s="710"/>
      <c r="H203" s="710"/>
      <c r="I203" s="711"/>
      <c r="J203" s="10"/>
      <c r="K203" s="24">
        <f t="shared" ref="K203:M207" si="26">K204</f>
        <v>1539.6</v>
      </c>
      <c r="L203" s="24">
        <f>L204</f>
        <v>0</v>
      </c>
      <c r="M203" s="24">
        <f t="shared" si="26"/>
        <v>1539.6</v>
      </c>
    </row>
    <row r="204" spans="1:13" s="116" customFormat="1" ht="54" customHeight="1" x14ac:dyDescent="0.35">
      <c r="A204" s="11"/>
      <c r="B204" s="562" t="s">
        <v>295</v>
      </c>
      <c r="C204" s="23" t="s">
        <v>1</v>
      </c>
      <c r="D204" s="10" t="s">
        <v>104</v>
      </c>
      <c r="E204" s="10" t="s">
        <v>37</v>
      </c>
      <c r="F204" s="709" t="s">
        <v>79</v>
      </c>
      <c r="G204" s="710" t="s">
        <v>42</v>
      </c>
      <c r="H204" s="710" t="s">
        <v>43</v>
      </c>
      <c r="I204" s="711" t="s">
        <v>44</v>
      </c>
      <c r="J204" s="10"/>
      <c r="K204" s="24">
        <f t="shared" si="26"/>
        <v>1539.6</v>
      </c>
      <c r="L204" s="24">
        <f t="shared" si="26"/>
        <v>0</v>
      </c>
      <c r="M204" s="24">
        <f t="shared" si="26"/>
        <v>1539.6</v>
      </c>
    </row>
    <row r="205" spans="1:13" s="116" customFormat="1" ht="36" customHeight="1" x14ac:dyDescent="0.35">
      <c r="A205" s="11"/>
      <c r="B205" s="510" t="s">
        <v>339</v>
      </c>
      <c r="C205" s="23" t="s">
        <v>1</v>
      </c>
      <c r="D205" s="10" t="s">
        <v>104</v>
      </c>
      <c r="E205" s="10" t="s">
        <v>37</v>
      </c>
      <c r="F205" s="709" t="s">
        <v>79</v>
      </c>
      <c r="G205" s="710" t="s">
        <v>45</v>
      </c>
      <c r="H205" s="710" t="s">
        <v>43</v>
      </c>
      <c r="I205" s="711" t="s">
        <v>44</v>
      </c>
      <c r="J205" s="10"/>
      <c r="K205" s="24">
        <f t="shared" si="26"/>
        <v>1539.6</v>
      </c>
      <c r="L205" s="24">
        <f t="shared" si="26"/>
        <v>0</v>
      </c>
      <c r="M205" s="24">
        <f t="shared" si="26"/>
        <v>1539.6</v>
      </c>
    </row>
    <row r="206" spans="1:13" s="116" customFormat="1" ht="90" customHeight="1" x14ac:dyDescent="0.35">
      <c r="A206" s="11"/>
      <c r="B206" s="543" t="s">
        <v>447</v>
      </c>
      <c r="C206" s="23" t="s">
        <v>1</v>
      </c>
      <c r="D206" s="10" t="s">
        <v>104</v>
      </c>
      <c r="E206" s="10" t="s">
        <v>37</v>
      </c>
      <c r="F206" s="709" t="s">
        <v>79</v>
      </c>
      <c r="G206" s="710" t="s">
        <v>45</v>
      </c>
      <c r="H206" s="710" t="s">
        <v>52</v>
      </c>
      <c r="I206" s="711" t="s">
        <v>44</v>
      </c>
      <c r="J206" s="10"/>
      <c r="K206" s="24">
        <f t="shared" si="26"/>
        <v>1539.6</v>
      </c>
      <c r="L206" s="24">
        <f t="shared" si="26"/>
        <v>0</v>
      </c>
      <c r="M206" s="24">
        <f t="shared" si="26"/>
        <v>1539.6</v>
      </c>
    </row>
    <row r="207" spans="1:13" s="116" customFormat="1" ht="72" customHeight="1" x14ac:dyDescent="0.35">
      <c r="A207" s="11"/>
      <c r="B207" s="543" t="s">
        <v>442</v>
      </c>
      <c r="C207" s="23" t="s">
        <v>1</v>
      </c>
      <c r="D207" s="10" t="s">
        <v>104</v>
      </c>
      <c r="E207" s="10" t="s">
        <v>37</v>
      </c>
      <c r="F207" s="709" t="s">
        <v>79</v>
      </c>
      <c r="G207" s="710" t="s">
        <v>45</v>
      </c>
      <c r="H207" s="710" t="s">
        <v>52</v>
      </c>
      <c r="I207" s="711" t="s">
        <v>356</v>
      </c>
      <c r="J207" s="10"/>
      <c r="K207" s="24">
        <f t="shared" si="26"/>
        <v>1539.6</v>
      </c>
      <c r="L207" s="24">
        <f t="shared" si="26"/>
        <v>0</v>
      </c>
      <c r="M207" s="24">
        <f t="shared" si="26"/>
        <v>1539.6</v>
      </c>
    </row>
    <row r="208" spans="1:13" s="116" customFormat="1" ht="36" customHeight="1" x14ac:dyDescent="0.35">
      <c r="A208" s="11"/>
      <c r="B208" s="517" t="s">
        <v>120</v>
      </c>
      <c r="C208" s="23" t="s">
        <v>1</v>
      </c>
      <c r="D208" s="10" t="s">
        <v>104</v>
      </c>
      <c r="E208" s="10" t="s">
        <v>37</v>
      </c>
      <c r="F208" s="709" t="s">
        <v>79</v>
      </c>
      <c r="G208" s="710" t="s">
        <v>45</v>
      </c>
      <c r="H208" s="710" t="s">
        <v>52</v>
      </c>
      <c r="I208" s="711" t="s">
        <v>356</v>
      </c>
      <c r="J208" s="10" t="s">
        <v>121</v>
      </c>
      <c r="K208" s="24">
        <f>1260+60+137.3+30+52.3</f>
        <v>1539.6</v>
      </c>
      <c r="L208" s="24">
        <f>M208-K208</f>
        <v>0</v>
      </c>
      <c r="M208" s="24">
        <f>1260+60+137.3+30+52.3</f>
        <v>1539.6</v>
      </c>
    </row>
    <row r="209" spans="1:13" s="116" customFormat="1" ht="18" x14ac:dyDescent="0.35">
      <c r="A209" s="11"/>
      <c r="B209" s="510" t="s">
        <v>733</v>
      </c>
      <c r="C209" s="23" t="s">
        <v>1</v>
      </c>
      <c r="D209" s="10" t="s">
        <v>104</v>
      </c>
      <c r="E209" s="10" t="s">
        <v>63</v>
      </c>
      <c r="F209" s="709"/>
      <c r="G209" s="710"/>
      <c r="H209" s="710"/>
      <c r="I209" s="711"/>
      <c r="J209" s="10"/>
      <c r="K209" s="24">
        <f>K210</f>
        <v>1150</v>
      </c>
      <c r="L209" s="24">
        <f>L210</f>
        <v>0</v>
      </c>
      <c r="M209" s="24">
        <f>M210</f>
        <v>1150</v>
      </c>
    </row>
    <row r="210" spans="1:13" s="116" customFormat="1" ht="52.8" customHeight="1" x14ac:dyDescent="0.35">
      <c r="A210" s="11"/>
      <c r="B210" s="562" t="s">
        <v>295</v>
      </c>
      <c r="C210" s="23" t="s">
        <v>1</v>
      </c>
      <c r="D210" s="10" t="s">
        <v>104</v>
      </c>
      <c r="E210" s="10" t="s">
        <v>63</v>
      </c>
      <c r="F210" s="709" t="s">
        <v>79</v>
      </c>
      <c r="G210" s="710" t="s">
        <v>42</v>
      </c>
      <c r="H210" s="710" t="s">
        <v>43</v>
      </c>
      <c r="I210" s="711" t="s">
        <v>44</v>
      </c>
      <c r="J210" s="10"/>
      <c r="K210" s="24">
        <f t="shared" ref="K210:M213" si="27">K211</f>
        <v>1150</v>
      </c>
      <c r="L210" s="24">
        <f t="shared" si="27"/>
        <v>0</v>
      </c>
      <c r="M210" s="24">
        <f t="shared" si="27"/>
        <v>1150</v>
      </c>
    </row>
    <row r="211" spans="1:13" s="116" customFormat="1" ht="36" customHeight="1" x14ac:dyDescent="0.35">
      <c r="A211" s="11"/>
      <c r="B211" s="510" t="s">
        <v>339</v>
      </c>
      <c r="C211" s="23" t="s">
        <v>1</v>
      </c>
      <c r="D211" s="10" t="s">
        <v>104</v>
      </c>
      <c r="E211" s="10" t="s">
        <v>63</v>
      </c>
      <c r="F211" s="709" t="s">
        <v>79</v>
      </c>
      <c r="G211" s="710" t="s">
        <v>45</v>
      </c>
      <c r="H211" s="710" t="s">
        <v>43</v>
      </c>
      <c r="I211" s="711" t="s">
        <v>44</v>
      </c>
      <c r="J211" s="10"/>
      <c r="K211" s="24">
        <f t="shared" si="27"/>
        <v>1150</v>
      </c>
      <c r="L211" s="24">
        <f t="shared" si="27"/>
        <v>0</v>
      </c>
      <c r="M211" s="24">
        <f t="shared" si="27"/>
        <v>1150</v>
      </c>
    </row>
    <row r="212" spans="1:13" s="116" customFormat="1" ht="36" customHeight="1" x14ac:dyDescent="0.35">
      <c r="A212" s="11"/>
      <c r="B212" s="510" t="s">
        <v>727</v>
      </c>
      <c r="C212" s="23" t="s">
        <v>1</v>
      </c>
      <c r="D212" s="10" t="s">
        <v>104</v>
      </c>
      <c r="E212" s="10" t="s">
        <v>63</v>
      </c>
      <c r="F212" s="709" t="s">
        <v>79</v>
      </c>
      <c r="G212" s="710" t="s">
        <v>45</v>
      </c>
      <c r="H212" s="710" t="s">
        <v>65</v>
      </c>
      <c r="I212" s="711" t="s">
        <v>44</v>
      </c>
      <c r="J212" s="10"/>
      <c r="K212" s="24">
        <f t="shared" si="27"/>
        <v>1150</v>
      </c>
      <c r="L212" s="24">
        <f t="shared" si="27"/>
        <v>0</v>
      </c>
      <c r="M212" s="24">
        <f t="shared" si="27"/>
        <v>1150</v>
      </c>
    </row>
    <row r="213" spans="1:13" s="116" customFormat="1" ht="54" x14ac:dyDescent="0.35">
      <c r="A213" s="11"/>
      <c r="B213" s="510" t="s">
        <v>728</v>
      </c>
      <c r="C213" s="23" t="s">
        <v>1</v>
      </c>
      <c r="D213" s="10" t="s">
        <v>104</v>
      </c>
      <c r="E213" s="10" t="s">
        <v>63</v>
      </c>
      <c r="F213" s="709" t="s">
        <v>79</v>
      </c>
      <c r="G213" s="710" t="s">
        <v>45</v>
      </c>
      <c r="H213" s="710" t="s">
        <v>65</v>
      </c>
      <c r="I213" s="711" t="s">
        <v>726</v>
      </c>
      <c r="J213" s="10"/>
      <c r="K213" s="24">
        <f t="shared" si="27"/>
        <v>1150</v>
      </c>
      <c r="L213" s="24">
        <f t="shared" si="27"/>
        <v>0</v>
      </c>
      <c r="M213" s="24">
        <f t="shared" si="27"/>
        <v>1150</v>
      </c>
    </row>
    <row r="214" spans="1:13" s="116" customFormat="1" ht="36" customHeight="1" x14ac:dyDescent="0.35">
      <c r="A214" s="11"/>
      <c r="B214" s="509" t="s">
        <v>120</v>
      </c>
      <c r="C214" s="23" t="s">
        <v>1</v>
      </c>
      <c r="D214" s="10" t="s">
        <v>104</v>
      </c>
      <c r="E214" s="10" t="s">
        <v>63</v>
      </c>
      <c r="F214" s="709" t="s">
        <v>79</v>
      </c>
      <c r="G214" s="710" t="s">
        <v>45</v>
      </c>
      <c r="H214" s="710" t="s">
        <v>65</v>
      </c>
      <c r="I214" s="711" t="s">
        <v>726</v>
      </c>
      <c r="J214" s="10" t="s">
        <v>121</v>
      </c>
      <c r="K214" s="24">
        <v>1150</v>
      </c>
      <c r="L214" s="24">
        <f>M214-K214</f>
        <v>0</v>
      </c>
      <c r="M214" s="24">
        <v>1150</v>
      </c>
    </row>
    <row r="215" spans="1:13" s="116" customFormat="1" ht="36" customHeight="1" x14ac:dyDescent="0.35">
      <c r="A215" s="11"/>
      <c r="B215" s="510" t="s">
        <v>122</v>
      </c>
      <c r="C215" s="23" t="s">
        <v>1</v>
      </c>
      <c r="D215" s="10" t="s">
        <v>104</v>
      </c>
      <c r="E215" s="10" t="s">
        <v>81</v>
      </c>
      <c r="F215" s="709"/>
      <c r="G215" s="710"/>
      <c r="H215" s="710"/>
      <c r="I215" s="711"/>
      <c r="J215" s="10"/>
      <c r="K215" s="24">
        <f>K216</f>
        <v>2765.5000000000005</v>
      </c>
      <c r="L215" s="24">
        <f>L216</f>
        <v>0</v>
      </c>
      <c r="M215" s="24">
        <f>M216</f>
        <v>2765.5000000000005</v>
      </c>
    </row>
    <row r="216" spans="1:13" s="116" customFormat="1" ht="72" customHeight="1" x14ac:dyDescent="0.35">
      <c r="A216" s="11"/>
      <c r="B216" s="510" t="s">
        <v>72</v>
      </c>
      <c r="C216" s="23" t="s">
        <v>1</v>
      </c>
      <c r="D216" s="10" t="s">
        <v>104</v>
      </c>
      <c r="E216" s="10" t="s">
        <v>81</v>
      </c>
      <c r="F216" s="709" t="s">
        <v>73</v>
      </c>
      <c r="G216" s="710" t="s">
        <v>42</v>
      </c>
      <c r="H216" s="710" t="s">
        <v>43</v>
      </c>
      <c r="I216" s="711" t="s">
        <v>44</v>
      </c>
      <c r="J216" s="10"/>
      <c r="K216" s="24">
        <f t="shared" ref="K216:M219" si="28">K217</f>
        <v>2765.5000000000005</v>
      </c>
      <c r="L216" s="24">
        <f t="shared" si="28"/>
        <v>0</v>
      </c>
      <c r="M216" s="24">
        <f t="shared" si="28"/>
        <v>2765.5000000000005</v>
      </c>
    </row>
    <row r="217" spans="1:13" s="116" customFormat="1" ht="36" customHeight="1" x14ac:dyDescent="0.35">
      <c r="A217" s="11"/>
      <c r="B217" s="510" t="s">
        <v>339</v>
      </c>
      <c r="C217" s="23" t="s">
        <v>1</v>
      </c>
      <c r="D217" s="10" t="s">
        <v>104</v>
      </c>
      <c r="E217" s="10" t="s">
        <v>81</v>
      </c>
      <c r="F217" s="709" t="s">
        <v>73</v>
      </c>
      <c r="G217" s="710" t="s">
        <v>45</v>
      </c>
      <c r="H217" s="710" t="s">
        <v>43</v>
      </c>
      <c r="I217" s="711" t="s">
        <v>44</v>
      </c>
      <c r="J217" s="10"/>
      <c r="K217" s="24">
        <f t="shared" si="28"/>
        <v>2765.5000000000005</v>
      </c>
      <c r="L217" s="24">
        <f t="shared" si="28"/>
        <v>0</v>
      </c>
      <c r="M217" s="24">
        <f t="shared" si="28"/>
        <v>2765.5000000000005</v>
      </c>
    </row>
    <row r="218" spans="1:13" s="116" customFormat="1" ht="54" customHeight="1" x14ac:dyDescent="0.35">
      <c r="A218" s="11"/>
      <c r="B218" s="543" t="s">
        <v>266</v>
      </c>
      <c r="C218" s="23" t="s">
        <v>1</v>
      </c>
      <c r="D218" s="10" t="s">
        <v>104</v>
      </c>
      <c r="E218" s="10" t="s">
        <v>81</v>
      </c>
      <c r="F218" s="709" t="s">
        <v>73</v>
      </c>
      <c r="G218" s="710" t="s">
        <v>45</v>
      </c>
      <c r="H218" s="710" t="s">
        <v>37</v>
      </c>
      <c r="I218" s="711" t="s">
        <v>44</v>
      </c>
      <c r="J218" s="10"/>
      <c r="K218" s="24">
        <f t="shared" si="28"/>
        <v>2765.5000000000005</v>
      </c>
      <c r="L218" s="24">
        <f t="shared" si="28"/>
        <v>0</v>
      </c>
      <c r="M218" s="24">
        <f t="shared" si="28"/>
        <v>2765.5000000000005</v>
      </c>
    </row>
    <row r="219" spans="1:13" s="116" customFormat="1" ht="54" customHeight="1" x14ac:dyDescent="0.35">
      <c r="A219" s="11"/>
      <c r="B219" s="543" t="s">
        <v>74</v>
      </c>
      <c r="C219" s="23" t="s">
        <v>1</v>
      </c>
      <c r="D219" s="10" t="s">
        <v>104</v>
      </c>
      <c r="E219" s="10" t="s">
        <v>81</v>
      </c>
      <c r="F219" s="709" t="s">
        <v>73</v>
      </c>
      <c r="G219" s="710" t="s">
        <v>45</v>
      </c>
      <c r="H219" s="710" t="s">
        <v>37</v>
      </c>
      <c r="I219" s="711" t="s">
        <v>75</v>
      </c>
      <c r="J219" s="10"/>
      <c r="K219" s="24">
        <f t="shared" si="28"/>
        <v>2765.5000000000005</v>
      </c>
      <c r="L219" s="24">
        <f t="shared" si="28"/>
        <v>0</v>
      </c>
      <c r="M219" s="24">
        <f t="shared" si="28"/>
        <v>2765.5000000000005</v>
      </c>
    </row>
    <row r="220" spans="1:13" s="116" customFormat="1" ht="54" customHeight="1" x14ac:dyDescent="0.35">
      <c r="A220" s="11"/>
      <c r="B220" s="517" t="s">
        <v>76</v>
      </c>
      <c r="C220" s="23" t="s">
        <v>1</v>
      </c>
      <c r="D220" s="10" t="s">
        <v>104</v>
      </c>
      <c r="E220" s="10" t="s">
        <v>81</v>
      </c>
      <c r="F220" s="709" t="s">
        <v>73</v>
      </c>
      <c r="G220" s="710" t="s">
        <v>45</v>
      </c>
      <c r="H220" s="710" t="s">
        <v>37</v>
      </c>
      <c r="I220" s="711" t="s">
        <v>75</v>
      </c>
      <c r="J220" s="10" t="s">
        <v>77</v>
      </c>
      <c r="K220" s="24">
        <f>1111.2+100.9+108+63+1200+182.4</f>
        <v>2765.5000000000005</v>
      </c>
      <c r="L220" s="24">
        <f>M220-K220</f>
        <v>0</v>
      </c>
      <c r="M220" s="24">
        <f>1111.2+100.9+108+63+1200+182.4</f>
        <v>2765.5000000000005</v>
      </c>
    </row>
    <row r="221" spans="1:13" s="116" customFormat="1" ht="54" customHeight="1" x14ac:dyDescent="0.35">
      <c r="A221" s="11"/>
      <c r="B221" s="593" t="s">
        <v>200</v>
      </c>
      <c r="C221" s="23" t="s">
        <v>1</v>
      </c>
      <c r="D221" s="10" t="s">
        <v>88</v>
      </c>
      <c r="E221" s="10"/>
      <c r="F221" s="709"/>
      <c r="G221" s="710"/>
      <c r="H221" s="710"/>
      <c r="I221" s="711"/>
      <c r="J221" s="10"/>
      <c r="K221" s="24">
        <f t="shared" ref="K221:M229" si="29">K222</f>
        <v>51229.899999999994</v>
      </c>
      <c r="L221" s="24">
        <f t="shared" si="29"/>
        <v>-682.29999999999927</v>
      </c>
      <c r="M221" s="24">
        <f t="shared" si="29"/>
        <v>50547.6</v>
      </c>
    </row>
    <row r="222" spans="1:13" s="116" customFormat="1" ht="36" customHeight="1" x14ac:dyDescent="0.35">
      <c r="A222" s="11"/>
      <c r="B222" s="657" t="s">
        <v>679</v>
      </c>
      <c r="C222" s="23" t="s">
        <v>1</v>
      </c>
      <c r="D222" s="10" t="s">
        <v>88</v>
      </c>
      <c r="E222" s="10" t="s">
        <v>63</v>
      </c>
      <c r="F222" s="709"/>
      <c r="G222" s="710"/>
      <c r="H222" s="710"/>
      <c r="I222" s="711"/>
      <c r="J222" s="10"/>
      <c r="K222" s="24">
        <f>K223+K261</f>
        <v>51229.899999999994</v>
      </c>
      <c r="L222" s="24">
        <f>L223+L261</f>
        <v>-682.29999999999927</v>
      </c>
      <c r="M222" s="24">
        <f>M223+M261</f>
        <v>50547.6</v>
      </c>
    </row>
    <row r="223" spans="1:13" s="116" customFormat="1" ht="108" customHeight="1" x14ac:dyDescent="0.35">
      <c r="A223" s="11"/>
      <c r="B223" s="657" t="s">
        <v>680</v>
      </c>
      <c r="C223" s="23" t="s">
        <v>1</v>
      </c>
      <c r="D223" s="10" t="s">
        <v>88</v>
      </c>
      <c r="E223" s="10" t="s">
        <v>63</v>
      </c>
      <c r="F223" s="709" t="s">
        <v>681</v>
      </c>
      <c r="G223" s="710" t="s">
        <v>42</v>
      </c>
      <c r="H223" s="710" t="s">
        <v>43</v>
      </c>
      <c r="I223" s="711" t="s">
        <v>44</v>
      </c>
      <c r="J223" s="10"/>
      <c r="K223" s="24">
        <f t="shared" si="29"/>
        <v>29468.3</v>
      </c>
      <c r="L223" s="24">
        <f t="shared" si="29"/>
        <v>-682.29999999999927</v>
      </c>
      <c r="M223" s="24">
        <f t="shared" si="29"/>
        <v>28786</v>
      </c>
    </row>
    <row r="224" spans="1:13" s="116" customFormat="1" ht="108" customHeight="1" x14ac:dyDescent="0.35">
      <c r="A224" s="11"/>
      <c r="B224" s="657" t="s">
        <v>682</v>
      </c>
      <c r="C224" s="23" t="s">
        <v>1</v>
      </c>
      <c r="D224" s="10" t="s">
        <v>88</v>
      </c>
      <c r="E224" s="10" t="s">
        <v>63</v>
      </c>
      <c r="F224" s="709" t="s">
        <v>681</v>
      </c>
      <c r="G224" s="710" t="s">
        <v>89</v>
      </c>
      <c r="H224" s="710" t="s">
        <v>43</v>
      </c>
      <c r="I224" s="711" t="s">
        <v>44</v>
      </c>
      <c r="J224" s="10"/>
      <c r="K224" s="24">
        <f>K225+K228+K231+K234+K237+K240+K243+K246</f>
        <v>29468.3</v>
      </c>
      <c r="L224" s="24">
        <f>L225+L228+L231+L234+L237+L240+L243+L246+L249+L252+L255+L258</f>
        <v>-682.29999999999927</v>
      </c>
      <c r="M224" s="24">
        <f>M225+M228+M231+M234+M237+M240+M243+M246+M249+M252+M255+M258</f>
        <v>28786</v>
      </c>
    </row>
    <row r="225" spans="1:13" s="116" customFormat="1" ht="126" customHeight="1" x14ac:dyDescent="0.35">
      <c r="A225" s="11"/>
      <c r="B225" s="517" t="s">
        <v>685</v>
      </c>
      <c r="C225" s="23" t="s">
        <v>1</v>
      </c>
      <c r="D225" s="10" t="s">
        <v>88</v>
      </c>
      <c r="E225" s="10" t="s">
        <v>63</v>
      </c>
      <c r="F225" s="709" t="s">
        <v>681</v>
      </c>
      <c r="G225" s="710" t="s">
        <v>89</v>
      </c>
      <c r="H225" s="710" t="s">
        <v>37</v>
      </c>
      <c r="I225" s="711" t="s">
        <v>44</v>
      </c>
      <c r="J225" s="10"/>
      <c r="K225" s="24">
        <f t="shared" si="29"/>
        <v>18635.2</v>
      </c>
      <c r="L225" s="24">
        <f t="shared" si="29"/>
        <v>-6882.2999999999993</v>
      </c>
      <c r="M225" s="24">
        <f t="shared" si="29"/>
        <v>11752.900000000001</v>
      </c>
    </row>
    <row r="226" spans="1:13" s="116" customFormat="1" ht="72" customHeight="1" x14ac:dyDescent="0.35">
      <c r="A226" s="11"/>
      <c r="B226" s="517" t="s">
        <v>684</v>
      </c>
      <c r="C226" s="23" t="s">
        <v>1</v>
      </c>
      <c r="D226" s="10" t="s">
        <v>88</v>
      </c>
      <c r="E226" s="10" t="s">
        <v>63</v>
      </c>
      <c r="F226" s="709" t="s">
        <v>681</v>
      </c>
      <c r="G226" s="710" t="s">
        <v>89</v>
      </c>
      <c r="H226" s="710" t="s">
        <v>37</v>
      </c>
      <c r="I226" s="711" t="s">
        <v>683</v>
      </c>
      <c r="J226" s="10"/>
      <c r="K226" s="24">
        <f t="shared" si="29"/>
        <v>18635.2</v>
      </c>
      <c r="L226" s="24">
        <f t="shared" si="29"/>
        <v>-6882.2999999999993</v>
      </c>
      <c r="M226" s="24">
        <f t="shared" si="29"/>
        <v>11752.900000000001</v>
      </c>
    </row>
    <row r="227" spans="1:13" s="116" customFormat="1" ht="18" customHeight="1" x14ac:dyDescent="0.35">
      <c r="A227" s="11"/>
      <c r="B227" s="657" t="s">
        <v>123</v>
      </c>
      <c r="C227" s="23" t="s">
        <v>1</v>
      </c>
      <c r="D227" s="10" t="s">
        <v>88</v>
      </c>
      <c r="E227" s="10" t="s">
        <v>63</v>
      </c>
      <c r="F227" s="709" t="s">
        <v>681</v>
      </c>
      <c r="G227" s="710" t="s">
        <v>89</v>
      </c>
      <c r="H227" s="710" t="s">
        <v>37</v>
      </c>
      <c r="I227" s="711" t="s">
        <v>683</v>
      </c>
      <c r="J227" s="10" t="s">
        <v>124</v>
      </c>
      <c r="K227" s="24">
        <v>18635.2</v>
      </c>
      <c r="L227" s="24">
        <f>M227-K227</f>
        <v>-6882.2999999999993</v>
      </c>
      <c r="M227" s="24">
        <f>18635.2-6882.3</f>
        <v>11752.900000000001</v>
      </c>
    </row>
    <row r="228" spans="1:13" s="116" customFormat="1" ht="54" x14ac:dyDescent="0.35">
      <c r="A228" s="11"/>
      <c r="B228" s="657" t="s">
        <v>708</v>
      </c>
      <c r="C228" s="23" t="s">
        <v>1</v>
      </c>
      <c r="D228" s="10" t="s">
        <v>88</v>
      </c>
      <c r="E228" s="10" t="s">
        <v>63</v>
      </c>
      <c r="F228" s="709" t="s">
        <v>681</v>
      </c>
      <c r="G228" s="710" t="s">
        <v>89</v>
      </c>
      <c r="H228" s="710" t="s">
        <v>39</v>
      </c>
      <c r="I228" s="711" t="s">
        <v>44</v>
      </c>
      <c r="J228" s="10"/>
      <c r="K228" s="24">
        <f t="shared" si="29"/>
        <v>2699</v>
      </c>
      <c r="L228" s="24">
        <f>L229</f>
        <v>0</v>
      </c>
      <c r="M228" s="24">
        <f t="shared" si="29"/>
        <v>2699</v>
      </c>
    </row>
    <row r="229" spans="1:13" s="116" customFormat="1" ht="72" x14ac:dyDescent="0.35">
      <c r="A229" s="11"/>
      <c r="B229" s="657" t="s">
        <v>684</v>
      </c>
      <c r="C229" s="23" t="s">
        <v>1</v>
      </c>
      <c r="D229" s="10" t="s">
        <v>88</v>
      </c>
      <c r="E229" s="10" t="s">
        <v>63</v>
      </c>
      <c r="F229" s="709" t="s">
        <v>681</v>
      </c>
      <c r="G229" s="710" t="s">
        <v>89</v>
      </c>
      <c r="H229" s="710" t="s">
        <v>39</v>
      </c>
      <c r="I229" s="711" t="s">
        <v>683</v>
      </c>
      <c r="J229" s="10"/>
      <c r="K229" s="24">
        <f t="shared" si="29"/>
        <v>2699</v>
      </c>
      <c r="L229" s="24">
        <f t="shared" si="29"/>
        <v>0</v>
      </c>
      <c r="M229" s="24">
        <f t="shared" si="29"/>
        <v>2699</v>
      </c>
    </row>
    <row r="230" spans="1:13" ht="18" customHeight="1" x14ac:dyDescent="0.35">
      <c r="A230" s="11"/>
      <c r="B230" s="510" t="s">
        <v>123</v>
      </c>
      <c r="C230" s="23" t="s">
        <v>1</v>
      </c>
      <c r="D230" s="10" t="s">
        <v>88</v>
      </c>
      <c r="E230" s="10" t="s">
        <v>63</v>
      </c>
      <c r="F230" s="709" t="s">
        <v>681</v>
      </c>
      <c r="G230" s="710" t="s">
        <v>89</v>
      </c>
      <c r="H230" s="710" t="s">
        <v>39</v>
      </c>
      <c r="I230" s="711" t="s">
        <v>683</v>
      </c>
      <c r="J230" s="276" t="s">
        <v>124</v>
      </c>
      <c r="K230" s="24">
        <v>2699</v>
      </c>
      <c r="L230" s="24">
        <f>M230-K230</f>
        <v>0</v>
      </c>
      <c r="M230" s="24">
        <v>2699</v>
      </c>
    </row>
    <row r="231" spans="1:13" ht="144" x14ac:dyDescent="0.35">
      <c r="A231" s="11"/>
      <c r="B231" s="510" t="s">
        <v>719</v>
      </c>
      <c r="C231" s="23" t="s">
        <v>1</v>
      </c>
      <c r="D231" s="10" t="s">
        <v>88</v>
      </c>
      <c r="E231" s="10" t="s">
        <v>63</v>
      </c>
      <c r="F231" s="709" t="s">
        <v>681</v>
      </c>
      <c r="G231" s="710" t="s">
        <v>89</v>
      </c>
      <c r="H231" s="710" t="s">
        <v>63</v>
      </c>
      <c r="I231" s="711" t="s">
        <v>44</v>
      </c>
      <c r="J231" s="276"/>
      <c r="K231" s="24">
        <f t="shared" ref="K231:M232" si="30">K232</f>
        <v>250</v>
      </c>
      <c r="L231" s="24">
        <f t="shared" si="30"/>
        <v>0</v>
      </c>
      <c r="M231" s="24">
        <f t="shared" si="30"/>
        <v>250</v>
      </c>
    </row>
    <row r="232" spans="1:13" ht="75.599999999999994" customHeight="1" x14ac:dyDescent="0.35">
      <c r="A232" s="11"/>
      <c r="B232" s="657" t="s">
        <v>684</v>
      </c>
      <c r="C232" s="23" t="s">
        <v>1</v>
      </c>
      <c r="D232" s="10" t="s">
        <v>88</v>
      </c>
      <c r="E232" s="10" t="s">
        <v>63</v>
      </c>
      <c r="F232" s="709" t="s">
        <v>681</v>
      </c>
      <c r="G232" s="710" t="s">
        <v>89</v>
      </c>
      <c r="H232" s="710" t="s">
        <v>63</v>
      </c>
      <c r="I232" s="711" t="s">
        <v>683</v>
      </c>
      <c r="J232" s="276"/>
      <c r="K232" s="24">
        <f t="shared" si="30"/>
        <v>250</v>
      </c>
      <c r="L232" s="24">
        <f t="shared" si="30"/>
        <v>0</v>
      </c>
      <c r="M232" s="24">
        <f t="shared" si="30"/>
        <v>250</v>
      </c>
    </row>
    <row r="233" spans="1:13" ht="18" customHeight="1" x14ac:dyDescent="0.35">
      <c r="A233" s="11"/>
      <c r="B233" s="510" t="s">
        <v>123</v>
      </c>
      <c r="C233" s="23" t="s">
        <v>1</v>
      </c>
      <c r="D233" s="10" t="s">
        <v>88</v>
      </c>
      <c r="E233" s="10" t="s">
        <v>63</v>
      </c>
      <c r="F233" s="709" t="s">
        <v>681</v>
      </c>
      <c r="G233" s="710" t="s">
        <v>89</v>
      </c>
      <c r="H233" s="710" t="s">
        <v>63</v>
      </c>
      <c r="I233" s="711" t="s">
        <v>683</v>
      </c>
      <c r="J233" s="276">
        <v>500</v>
      </c>
      <c r="K233" s="24">
        <f>170+80</f>
        <v>250</v>
      </c>
      <c r="L233" s="24">
        <f>M233-K233</f>
        <v>0</v>
      </c>
      <c r="M233" s="24">
        <f>170+80</f>
        <v>250</v>
      </c>
    </row>
    <row r="234" spans="1:13" ht="90" x14ac:dyDescent="0.35">
      <c r="A234" s="11"/>
      <c r="B234" s="510" t="s">
        <v>722</v>
      </c>
      <c r="C234" s="23" t="s">
        <v>1</v>
      </c>
      <c r="D234" s="10" t="s">
        <v>88</v>
      </c>
      <c r="E234" s="10" t="s">
        <v>63</v>
      </c>
      <c r="F234" s="709" t="s">
        <v>681</v>
      </c>
      <c r="G234" s="710" t="s">
        <v>89</v>
      </c>
      <c r="H234" s="710" t="s">
        <v>52</v>
      </c>
      <c r="I234" s="711" t="s">
        <v>44</v>
      </c>
      <c r="J234" s="276"/>
      <c r="K234" s="24">
        <f t="shared" ref="K234:M235" si="31">K235</f>
        <v>5950</v>
      </c>
      <c r="L234" s="24">
        <f t="shared" si="31"/>
        <v>0</v>
      </c>
      <c r="M234" s="24">
        <f t="shared" si="31"/>
        <v>5950</v>
      </c>
    </row>
    <row r="235" spans="1:13" ht="84" customHeight="1" x14ac:dyDescent="0.35">
      <c r="A235" s="11"/>
      <c r="B235" s="657" t="s">
        <v>684</v>
      </c>
      <c r="C235" s="23" t="s">
        <v>1</v>
      </c>
      <c r="D235" s="10" t="s">
        <v>88</v>
      </c>
      <c r="E235" s="10" t="s">
        <v>63</v>
      </c>
      <c r="F235" s="709" t="s">
        <v>681</v>
      </c>
      <c r="G235" s="710" t="s">
        <v>89</v>
      </c>
      <c r="H235" s="710" t="s">
        <v>52</v>
      </c>
      <c r="I235" s="711" t="s">
        <v>683</v>
      </c>
      <c r="J235" s="276"/>
      <c r="K235" s="24">
        <f t="shared" si="31"/>
        <v>5950</v>
      </c>
      <c r="L235" s="24">
        <f t="shared" si="31"/>
        <v>0</v>
      </c>
      <c r="M235" s="24">
        <f t="shared" si="31"/>
        <v>5950</v>
      </c>
    </row>
    <row r="236" spans="1:13" ht="18" customHeight="1" x14ac:dyDescent="0.35">
      <c r="A236" s="11"/>
      <c r="B236" s="510" t="s">
        <v>123</v>
      </c>
      <c r="C236" s="23" t="s">
        <v>1</v>
      </c>
      <c r="D236" s="10" t="s">
        <v>88</v>
      </c>
      <c r="E236" s="10" t="s">
        <v>63</v>
      </c>
      <c r="F236" s="709" t="s">
        <v>681</v>
      </c>
      <c r="G236" s="710" t="s">
        <v>89</v>
      </c>
      <c r="H236" s="710" t="s">
        <v>52</v>
      </c>
      <c r="I236" s="711" t="s">
        <v>683</v>
      </c>
      <c r="J236" s="276">
        <v>500</v>
      </c>
      <c r="K236" s="24">
        <v>5950</v>
      </c>
      <c r="L236" s="24">
        <f>M236-K236</f>
        <v>0</v>
      </c>
      <c r="M236" s="24">
        <v>5950</v>
      </c>
    </row>
    <row r="237" spans="1:13" ht="72" x14ac:dyDescent="0.35">
      <c r="A237" s="11"/>
      <c r="B237" s="510" t="s">
        <v>735</v>
      </c>
      <c r="C237" s="23" t="s">
        <v>1</v>
      </c>
      <c r="D237" s="10" t="s">
        <v>88</v>
      </c>
      <c r="E237" s="10" t="s">
        <v>63</v>
      </c>
      <c r="F237" s="709" t="s">
        <v>681</v>
      </c>
      <c r="G237" s="710" t="s">
        <v>89</v>
      </c>
      <c r="H237" s="710" t="s">
        <v>65</v>
      </c>
      <c r="I237" s="711" t="s">
        <v>44</v>
      </c>
      <c r="J237" s="276"/>
      <c r="K237" s="24">
        <f t="shared" ref="K237:M238" si="32">K238</f>
        <v>590</v>
      </c>
      <c r="L237" s="24">
        <f t="shared" si="32"/>
        <v>0</v>
      </c>
      <c r="M237" s="24">
        <f t="shared" si="32"/>
        <v>590</v>
      </c>
    </row>
    <row r="238" spans="1:13" ht="72" x14ac:dyDescent="0.35">
      <c r="A238" s="11"/>
      <c r="B238" s="657" t="s">
        <v>684</v>
      </c>
      <c r="C238" s="23" t="s">
        <v>1</v>
      </c>
      <c r="D238" s="10" t="s">
        <v>88</v>
      </c>
      <c r="E238" s="10" t="s">
        <v>63</v>
      </c>
      <c r="F238" s="709" t="s">
        <v>681</v>
      </c>
      <c r="G238" s="710" t="s">
        <v>89</v>
      </c>
      <c r="H238" s="710" t="s">
        <v>65</v>
      </c>
      <c r="I238" s="711" t="s">
        <v>683</v>
      </c>
      <c r="J238" s="276"/>
      <c r="K238" s="24">
        <f t="shared" si="32"/>
        <v>590</v>
      </c>
      <c r="L238" s="24">
        <f t="shared" si="32"/>
        <v>0</v>
      </c>
      <c r="M238" s="24">
        <f t="shared" si="32"/>
        <v>590</v>
      </c>
    </row>
    <row r="239" spans="1:13" ht="18" customHeight="1" x14ac:dyDescent="0.35">
      <c r="A239" s="11"/>
      <c r="B239" s="510" t="s">
        <v>123</v>
      </c>
      <c r="C239" s="23" t="s">
        <v>1</v>
      </c>
      <c r="D239" s="10" t="s">
        <v>88</v>
      </c>
      <c r="E239" s="10" t="s">
        <v>63</v>
      </c>
      <c r="F239" s="709" t="s">
        <v>681</v>
      </c>
      <c r="G239" s="710" t="s">
        <v>89</v>
      </c>
      <c r="H239" s="710" t="s">
        <v>65</v>
      </c>
      <c r="I239" s="711" t="s">
        <v>683</v>
      </c>
      <c r="J239" s="276">
        <v>500</v>
      </c>
      <c r="K239" s="24">
        <v>590</v>
      </c>
      <c r="L239" s="24">
        <f>M239-K239</f>
        <v>0</v>
      </c>
      <c r="M239" s="24">
        <v>590</v>
      </c>
    </row>
    <row r="240" spans="1:13" ht="90" x14ac:dyDescent="0.35">
      <c r="A240" s="11"/>
      <c r="B240" s="510" t="s">
        <v>742</v>
      </c>
      <c r="C240" s="23" t="s">
        <v>1</v>
      </c>
      <c r="D240" s="10" t="s">
        <v>88</v>
      </c>
      <c r="E240" s="10" t="s">
        <v>63</v>
      </c>
      <c r="F240" s="709" t="s">
        <v>681</v>
      </c>
      <c r="G240" s="710" t="s">
        <v>89</v>
      </c>
      <c r="H240" s="710" t="s">
        <v>224</v>
      </c>
      <c r="I240" s="711" t="s">
        <v>44</v>
      </c>
      <c r="J240" s="276"/>
      <c r="K240" s="24">
        <f t="shared" ref="K240:M241" si="33">K241</f>
        <v>569.1</v>
      </c>
      <c r="L240" s="24">
        <f t="shared" si="33"/>
        <v>0</v>
      </c>
      <c r="M240" s="24">
        <f t="shared" si="33"/>
        <v>569.1</v>
      </c>
    </row>
    <row r="241" spans="1:13" ht="72" x14ac:dyDescent="0.35">
      <c r="A241" s="11"/>
      <c r="B241" s="657" t="s">
        <v>684</v>
      </c>
      <c r="C241" s="23" t="s">
        <v>1</v>
      </c>
      <c r="D241" s="10" t="s">
        <v>88</v>
      </c>
      <c r="E241" s="10" t="s">
        <v>63</v>
      </c>
      <c r="F241" s="709" t="s">
        <v>681</v>
      </c>
      <c r="G241" s="710" t="s">
        <v>89</v>
      </c>
      <c r="H241" s="710" t="s">
        <v>224</v>
      </c>
      <c r="I241" s="711" t="s">
        <v>683</v>
      </c>
      <c r="J241" s="276"/>
      <c r="K241" s="24">
        <f t="shared" si="33"/>
        <v>569.1</v>
      </c>
      <c r="L241" s="24">
        <f t="shared" si="33"/>
        <v>0</v>
      </c>
      <c r="M241" s="24">
        <f t="shared" si="33"/>
        <v>569.1</v>
      </c>
    </row>
    <row r="242" spans="1:13" ht="18" customHeight="1" x14ac:dyDescent="0.35">
      <c r="A242" s="11"/>
      <c r="B242" s="510" t="s">
        <v>123</v>
      </c>
      <c r="C242" s="23" t="s">
        <v>1</v>
      </c>
      <c r="D242" s="10" t="s">
        <v>88</v>
      </c>
      <c r="E242" s="10" t="s">
        <v>63</v>
      </c>
      <c r="F242" s="709" t="s">
        <v>681</v>
      </c>
      <c r="G242" s="710" t="s">
        <v>89</v>
      </c>
      <c r="H242" s="710" t="s">
        <v>224</v>
      </c>
      <c r="I242" s="711" t="s">
        <v>683</v>
      </c>
      <c r="J242" s="276">
        <v>500</v>
      </c>
      <c r="K242" s="24">
        <v>569.1</v>
      </c>
      <c r="L242" s="24">
        <f>M242-K242</f>
        <v>0</v>
      </c>
      <c r="M242" s="24">
        <v>569.1</v>
      </c>
    </row>
    <row r="243" spans="1:13" ht="54" x14ac:dyDescent="0.35">
      <c r="A243" s="11"/>
      <c r="B243" s="510" t="s">
        <v>746</v>
      </c>
      <c r="C243" s="23" t="s">
        <v>1</v>
      </c>
      <c r="D243" s="10" t="s">
        <v>88</v>
      </c>
      <c r="E243" s="10" t="s">
        <v>63</v>
      </c>
      <c r="F243" s="709" t="s">
        <v>681</v>
      </c>
      <c r="G243" s="710" t="s">
        <v>89</v>
      </c>
      <c r="H243" s="710" t="s">
        <v>226</v>
      </c>
      <c r="I243" s="711" t="s">
        <v>44</v>
      </c>
      <c r="J243" s="276"/>
      <c r="K243" s="24">
        <f t="shared" ref="K243:M244" si="34">K244</f>
        <v>245</v>
      </c>
      <c r="L243" s="24">
        <f t="shared" si="34"/>
        <v>0</v>
      </c>
      <c r="M243" s="24">
        <f t="shared" si="34"/>
        <v>245</v>
      </c>
    </row>
    <row r="244" spans="1:13" ht="18" customHeight="1" x14ac:dyDescent="0.35">
      <c r="A244" s="11"/>
      <c r="B244" s="657" t="s">
        <v>684</v>
      </c>
      <c r="C244" s="23" t="s">
        <v>1</v>
      </c>
      <c r="D244" s="10" t="s">
        <v>88</v>
      </c>
      <c r="E244" s="10" t="s">
        <v>63</v>
      </c>
      <c r="F244" s="709" t="s">
        <v>681</v>
      </c>
      <c r="G244" s="710" t="s">
        <v>89</v>
      </c>
      <c r="H244" s="710" t="s">
        <v>226</v>
      </c>
      <c r="I244" s="711" t="s">
        <v>683</v>
      </c>
      <c r="J244" s="276"/>
      <c r="K244" s="24">
        <f t="shared" si="34"/>
        <v>245</v>
      </c>
      <c r="L244" s="24">
        <f t="shared" si="34"/>
        <v>0</v>
      </c>
      <c r="M244" s="24">
        <f t="shared" si="34"/>
        <v>245</v>
      </c>
    </row>
    <row r="245" spans="1:13" ht="18" customHeight="1" x14ac:dyDescent="0.35">
      <c r="A245" s="11"/>
      <c r="B245" s="510" t="s">
        <v>123</v>
      </c>
      <c r="C245" s="23" t="s">
        <v>1</v>
      </c>
      <c r="D245" s="10" t="s">
        <v>88</v>
      </c>
      <c r="E245" s="10" t="s">
        <v>63</v>
      </c>
      <c r="F245" s="709" t="s">
        <v>681</v>
      </c>
      <c r="G245" s="710" t="s">
        <v>89</v>
      </c>
      <c r="H245" s="710" t="s">
        <v>226</v>
      </c>
      <c r="I245" s="711" t="s">
        <v>683</v>
      </c>
      <c r="J245" s="276">
        <v>500</v>
      </c>
      <c r="K245" s="24">
        <v>245</v>
      </c>
      <c r="L245" s="24">
        <f>M245-K245</f>
        <v>0</v>
      </c>
      <c r="M245" s="24">
        <v>245</v>
      </c>
    </row>
    <row r="246" spans="1:13" ht="90" x14ac:dyDescent="0.35">
      <c r="A246" s="11"/>
      <c r="B246" s="510" t="s">
        <v>747</v>
      </c>
      <c r="C246" s="23" t="s">
        <v>1</v>
      </c>
      <c r="D246" s="10" t="s">
        <v>88</v>
      </c>
      <c r="E246" s="10" t="s">
        <v>63</v>
      </c>
      <c r="F246" s="709" t="s">
        <v>681</v>
      </c>
      <c r="G246" s="710" t="s">
        <v>89</v>
      </c>
      <c r="H246" s="710" t="s">
        <v>79</v>
      </c>
      <c r="I246" s="711" t="s">
        <v>44</v>
      </c>
      <c r="J246" s="276"/>
      <c r="K246" s="24">
        <f t="shared" ref="K246:M247" si="35">K247</f>
        <v>530</v>
      </c>
      <c r="L246" s="24">
        <f t="shared" si="35"/>
        <v>0</v>
      </c>
      <c r="M246" s="24">
        <f t="shared" si="35"/>
        <v>530</v>
      </c>
    </row>
    <row r="247" spans="1:13" ht="18" customHeight="1" x14ac:dyDescent="0.35">
      <c r="A247" s="11"/>
      <c r="B247" s="657" t="s">
        <v>684</v>
      </c>
      <c r="C247" s="23" t="s">
        <v>1</v>
      </c>
      <c r="D247" s="10" t="s">
        <v>88</v>
      </c>
      <c r="E247" s="10" t="s">
        <v>63</v>
      </c>
      <c r="F247" s="709" t="s">
        <v>681</v>
      </c>
      <c r="G247" s="710" t="s">
        <v>89</v>
      </c>
      <c r="H247" s="710" t="s">
        <v>79</v>
      </c>
      <c r="I247" s="711" t="s">
        <v>683</v>
      </c>
      <c r="J247" s="276"/>
      <c r="K247" s="24">
        <f t="shared" si="35"/>
        <v>530</v>
      </c>
      <c r="L247" s="24">
        <f t="shared" si="35"/>
        <v>0</v>
      </c>
      <c r="M247" s="24">
        <f t="shared" si="35"/>
        <v>530</v>
      </c>
    </row>
    <row r="248" spans="1:13" ht="18" customHeight="1" x14ac:dyDescent="0.35">
      <c r="A248" s="11"/>
      <c r="B248" s="510" t="s">
        <v>123</v>
      </c>
      <c r="C248" s="23" t="s">
        <v>1</v>
      </c>
      <c r="D248" s="10" t="s">
        <v>88</v>
      </c>
      <c r="E248" s="10" t="s">
        <v>63</v>
      </c>
      <c r="F248" s="709" t="s">
        <v>681</v>
      </c>
      <c r="G248" s="710" t="s">
        <v>89</v>
      </c>
      <c r="H248" s="710" t="s">
        <v>79</v>
      </c>
      <c r="I248" s="711" t="s">
        <v>683</v>
      </c>
      <c r="J248" s="276">
        <v>500</v>
      </c>
      <c r="K248" s="24">
        <v>530</v>
      </c>
      <c r="L248" s="24">
        <f>M248-K248</f>
        <v>0</v>
      </c>
      <c r="M248" s="24">
        <v>530</v>
      </c>
    </row>
    <row r="249" spans="1:13" ht="54" x14ac:dyDescent="0.35">
      <c r="A249" s="11"/>
      <c r="B249" s="510" t="s">
        <v>750</v>
      </c>
      <c r="C249" s="23" t="s">
        <v>1</v>
      </c>
      <c r="D249" s="10" t="s">
        <v>88</v>
      </c>
      <c r="E249" s="10" t="s">
        <v>63</v>
      </c>
      <c r="F249" s="709" t="s">
        <v>681</v>
      </c>
      <c r="G249" s="710" t="s">
        <v>89</v>
      </c>
      <c r="H249" s="710" t="s">
        <v>104</v>
      </c>
      <c r="I249" s="711" t="s">
        <v>44</v>
      </c>
      <c r="J249" s="276"/>
      <c r="K249" s="24"/>
      <c r="L249" s="24">
        <f>L250</f>
        <v>1400</v>
      </c>
      <c r="M249" s="24">
        <f>M250</f>
        <v>1400</v>
      </c>
    </row>
    <row r="250" spans="1:13" ht="18" customHeight="1" x14ac:dyDescent="0.35">
      <c r="A250" s="11"/>
      <c r="B250" s="657" t="s">
        <v>684</v>
      </c>
      <c r="C250" s="23" t="s">
        <v>1</v>
      </c>
      <c r="D250" s="10" t="s">
        <v>88</v>
      </c>
      <c r="E250" s="10" t="s">
        <v>63</v>
      </c>
      <c r="F250" s="709" t="s">
        <v>681</v>
      </c>
      <c r="G250" s="710" t="s">
        <v>89</v>
      </c>
      <c r="H250" s="710" t="s">
        <v>104</v>
      </c>
      <c r="I250" s="711" t="s">
        <v>683</v>
      </c>
      <c r="J250" s="276"/>
      <c r="K250" s="24"/>
      <c r="L250" s="24">
        <f>L251</f>
        <v>1400</v>
      </c>
      <c r="M250" s="24">
        <f>M251</f>
        <v>1400</v>
      </c>
    </row>
    <row r="251" spans="1:13" ht="18" customHeight="1" x14ac:dyDescent="0.35">
      <c r="A251" s="11"/>
      <c r="B251" s="510" t="s">
        <v>123</v>
      </c>
      <c r="C251" s="23" t="s">
        <v>1</v>
      </c>
      <c r="D251" s="10" t="s">
        <v>88</v>
      </c>
      <c r="E251" s="10" t="s">
        <v>63</v>
      </c>
      <c r="F251" s="709" t="s">
        <v>681</v>
      </c>
      <c r="G251" s="710" t="s">
        <v>89</v>
      </c>
      <c r="H251" s="710" t="s">
        <v>104</v>
      </c>
      <c r="I251" s="711" t="s">
        <v>683</v>
      </c>
      <c r="J251" s="276">
        <v>500</v>
      </c>
      <c r="K251" s="24"/>
      <c r="L251" s="24">
        <f>M251-K251</f>
        <v>1400</v>
      </c>
      <c r="M251" s="24">
        <v>1400</v>
      </c>
    </row>
    <row r="252" spans="1:13" ht="90" x14ac:dyDescent="0.35">
      <c r="A252" s="11"/>
      <c r="B252" s="510" t="s">
        <v>751</v>
      </c>
      <c r="C252" s="23" t="s">
        <v>1</v>
      </c>
      <c r="D252" s="10" t="s">
        <v>88</v>
      </c>
      <c r="E252" s="10" t="s">
        <v>63</v>
      </c>
      <c r="F252" s="709" t="s">
        <v>681</v>
      </c>
      <c r="G252" s="710" t="s">
        <v>89</v>
      </c>
      <c r="H252" s="710" t="s">
        <v>67</v>
      </c>
      <c r="I252" s="711" t="s">
        <v>44</v>
      </c>
      <c r="J252" s="276"/>
      <c r="K252" s="24"/>
      <c r="L252" s="24">
        <f>L253</f>
        <v>2800</v>
      </c>
      <c r="M252" s="24">
        <f>M253</f>
        <v>2800</v>
      </c>
    </row>
    <row r="253" spans="1:13" ht="18" customHeight="1" x14ac:dyDescent="0.35">
      <c r="A253" s="11"/>
      <c r="B253" s="657" t="s">
        <v>684</v>
      </c>
      <c r="C253" s="23" t="s">
        <v>1</v>
      </c>
      <c r="D253" s="10" t="s">
        <v>88</v>
      </c>
      <c r="E253" s="10" t="s">
        <v>63</v>
      </c>
      <c r="F253" s="709" t="s">
        <v>681</v>
      </c>
      <c r="G253" s="710" t="s">
        <v>89</v>
      </c>
      <c r="H253" s="710" t="s">
        <v>67</v>
      </c>
      <c r="I253" s="711" t="s">
        <v>683</v>
      </c>
      <c r="J253" s="276"/>
      <c r="K253" s="24"/>
      <c r="L253" s="24">
        <f>L254</f>
        <v>2800</v>
      </c>
      <c r="M253" s="24">
        <f>M254</f>
        <v>2800</v>
      </c>
    </row>
    <row r="254" spans="1:13" ht="18" customHeight="1" x14ac:dyDescent="0.35">
      <c r="A254" s="11"/>
      <c r="B254" s="510" t="s">
        <v>123</v>
      </c>
      <c r="C254" s="23" t="s">
        <v>1</v>
      </c>
      <c r="D254" s="10" t="s">
        <v>88</v>
      </c>
      <c r="E254" s="10" t="s">
        <v>63</v>
      </c>
      <c r="F254" s="709" t="s">
        <v>681</v>
      </c>
      <c r="G254" s="710" t="s">
        <v>89</v>
      </c>
      <c r="H254" s="710" t="s">
        <v>67</v>
      </c>
      <c r="I254" s="711" t="s">
        <v>683</v>
      </c>
      <c r="J254" s="276">
        <v>500</v>
      </c>
      <c r="K254" s="24"/>
      <c r="L254" s="24">
        <f>M254-K254</f>
        <v>2800</v>
      </c>
      <c r="M254" s="24">
        <v>2800</v>
      </c>
    </row>
    <row r="255" spans="1:13" ht="70.2" customHeight="1" x14ac:dyDescent="0.35">
      <c r="A255" s="11"/>
      <c r="B255" s="510" t="s">
        <v>758</v>
      </c>
      <c r="C255" s="23" t="s">
        <v>1</v>
      </c>
      <c r="D255" s="10" t="s">
        <v>88</v>
      </c>
      <c r="E255" s="10" t="s">
        <v>63</v>
      </c>
      <c r="F255" s="709" t="s">
        <v>681</v>
      </c>
      <c r="G255" s="710" t="s">
        <v>89</v>
      </c>
      <c r="H255" s="710" t="s">
        <v>100</v>
      </c>
      <c r="I255" s="711" t="s">
        <v>44</v>
      </c>
      <c r="J255" s="276"/>
      <c r="K255" s="24"/>
      <c r="L255" s="24">
        <f>L256</f>
        <v>1100</v>
      </c>
      <c r="M255" s="24">
        <f>M256</f>
        <v>1100</v>
      </c>
    </row>
    <row r="256" spans="1:13" ht="18" customHeight="1" x14ac:dyDescent="0.35">
      <c r="A256" s="11"/>
      <c r="B256" s="657" t="s">
        <v>684</v>
      </c>
      <c r="C256" s="23" t="s">
        <v>1</v>
      </c>
      <c r="D256" s="10" t="s">
        <v>88</v>
      </c>
      <c r="E256" s="10" t="s">
        <v>63</v>
      </c>
      <c r="F256" s="709" t="s">
        <v>681</v>
      </c>
      <c r="G256" s="710" t="s">
        <v>89</v>
      </c>
      <c r="H256" s="710" t="s">
        <v>100</v>
      </c>
      <c r="I256" s="711" t="s">
        <v>683</v>
      </c>
      <c r="J256" s="276"/>
      <c r="K256" s="24"/>
      <c r="L256" s="24">
        <f>L257</f>
        <v>1100</v>
      </c>
      <c r="M256" s="24">
        <f>M257</f>
        <v>1100</v>
      </c>
    </row>
    <row r="257" spans="1:13" ht="18" customHeight="1" x14ac:dyDescent="0.35">
      <c r="A257" s="11"/>
      <c r="B257" s="510" t="s">
        <v>123</v>
      </c>
      <c r="C257" s="23" t="s">
        <v>1</v>
      </c>
      <c r="D257" s="10" t="s">
        <v>88</v>
      </c>
      <c r="E257" s="10" t="s">
        <v>63</v>
      </c>
      <c r="F257" s="709" t="s">
        <v>681</v>
      </c>
      <c r="G257" s="710" t="s">
        <v>89</v>
      </c>
      <c r="H257" s="710" t="s">
        <v>100</v>
      </c>
      <c r="I257" s="711" t="s">
        <v>683</v>
      </c>
      <c r="J257" s="276">
        <v>500</v>
      </c>
      <c r="K257" s="24"/>
      <c r="L257" s="24">
        <f>M257-K257</f>
        <v>1100</v>
      </c>
      <c r="M257" s="24">
        <v>1100</v>
      </c>
    </row>
    <row r="258" spans="1:13" ht="126" x14ac:dyDescent="0.35">
      <c r="A258" s="11"/>
      <c r="B258" s="510" t="s">
        <v>759</v>
      </c>
      <c r="C258" s="23" t="s">
        <v>1</v>
      </c>
      <c r="D258" s="10" t="s">
        <v>88</v>
      </c>
      <c r="E258" s="10" t="s">
        <v>63</v>
      </c>
      <c r="F258" s="709" t="s">
        <v>681</v>
      </c>
      <c r="G258" s="710" t="s">
        <v>89</v>
      </c>
      <c r="H258" s="710" t="s">
        <v>71</v>
      </c>
      <c r="I258" s="711" t="s">
        <v>44</v>
      </c>
      <c r="J258" s="276"/>
      <c r="K258" s="24"/>
      <c r="L258" s="24">
        <f>L259</f>
        <v>900</v>
      </c>
      <c r="M258" s="24">
        <f>M259</f>
        <v>900</v>
      </c>
    </row>
    <row r="259" spans="1:13" ht="18" customHeight="1" x14ac:dyDescent="0.35">
      <c r="A259" s="11"/>
      <c r="B259" s="657" t="s">
        <v>684</v>
      </c>
      <c r="C259" s="23" t="s">
        <v>1</v>
      </c>
      <c r="D259" s="10" t="s">
        <v>88</v>
      </c>
      <c r="E259" s="10" t="s">
        <v>63</v>
      </c>
      <c r="F259" s="709" t="s">
        <v>681</v>
      </c>
      <c r="G259" s="710" t="s">
        <v>89</v>
      </c>
      <c r="H259" s="710" t="s">
        <v>71</v>
      </c>
      <c r="I259" s="711" t="s">
        <v>683</v>
      </c>
      <c r="J259" s="276"/>
      <c r="K259" s="24"/>
      <c r="L259" s="24">
        <f>L260</f>
        <v>900</v>
      </c>
      <c r="M259" s="24">
        <f>M260</f>
        <v>900</v>
      </c>
    </row>
    <row r="260" spans="1:13" ht="18" customHeight="1" x14ac:dyDescent="0.35">
      <c r="A260" s="11"/>
      <c r="B260" s="510" t="s">
        <v>123</v>
      </c>
      <c r="C260" s="23" t="s">
        <v>1</v>
      </c>
      <c r="D260" s="10" t="s">
        <v>88</v>
      </c>
      <c r="E260" s="10" t="s">
        <v>63</v>
      </c>
      <c r="F260" s="709" t="s">
        <v>681</v>
      </c>
      <c r="G260" s="710" t="s">
        <v>89</v>
      </c>
      <c r="H260" s="710" t="s">
        <v>71</v>
      </c>
      <c r="I260" s="711" t="s">
        <v>683</v>
      </c>
      <c r="J260" s="276">
        <v>500</v>
      </c>
      <c r="K260" s="24"/>
      <c r="L260" s="24">
        <f>M260-K260</f>
        <v>900</v>
      </c>
      <c r="M260" s="24">
        <v>900</v>
      </c>
    </row>
    <row r="261" spans="1:13" ht="36" x14ac:dyDescent="0.35">
      <c r="A261" s="11"/>
      <c r="B261" s="510" t="s">
        <v>445</v>
      </c>
      <c r="C261" s="23" t="s">
        <v>1</v>
      </c>
      <c r="D261" s="10" t="s">
        <v>88</v>
      </c>
      <c r="E261" s="10" t="s">
        <v>63</v>
      </c>
      <c r="F261" s="709" t="s">
        <v>68</v>
      </c>
      <c r="G261" s="710" t="s">
        <v>42</v>
      </c>
      <c r="H261" s="710" t="s">
        <v>43</v>
      </c>
      <c r="I261" s="711" t="s">
        <v>44</v>
      </c>
      <c r="J261" s="276"/>
      <c r="K261" s="24">
        <f t="shared" ref="K261:M263" si="36">K262</f>
        <v>21761.599999999999</v>
      </c>
      <c r="L261" s="24">
        <f t="shared" si="36"/>
        <v>0</v>
      </c>
      <c r="M261" s="24">
        <f t="shared" si="36"/>
        <v>21761.599999999999</v>
      </c>
    </row>
    <row r="262" spans="1:13" ht="18" customHeight="1" x14ac:dyDescent="0.35">
      <c r="A262" s="11"/>
      <c r="B262" s="510" t="s">
        <v>446</v>
      </c>
      <c r="C262" s="23" t="s">
        <v>1</v>
      </c>
      <c r="D262" s="10" t="s">
        <v>88</v>
      </c>
      <c r="E262" s="10" t="s">
        <v>63</v>
      </c>
      <c r="F262" s="709" t="s">
        <v>68</v>
      </c>
      <c r="G262" s="710" t="s">
        <v>45</v>
      </c>
      <c r="H262" s="710" t="s">
        <v>43</v>
      </c>
      <c r="I262" s="711" t="s">
        <v>44</v>
      </c>
      <c r="J262" s="276"/>
      <c r="K262" s="24">
        <f t="shared" si="36"/>
        <v>21761.599999999999</v>
      </c>
      <c r="L262" s="24">
        <f t="shared" si="36"/>
        <v>0</v>
      </c>
      <c r="M262" s="24">
        <f t="shared" si="36"/>
        <v>21761.599999999999</v>
      </c>
    </row>
    <row r="263" spans="1:13" ht="36" x14ac:dyDescent="0.35">
      <c r="A263" s="11"/>
      <c r="B263" s="510" t="s">
        <v>709</v>
      </c>
      <c r="C263" s="23" t="s">
        <v>1</v>
      </c>
      <c r="D263" s="10" t="s">
        <v>88</v>
      </c>
      <c r="E263" s="10" t="s">
        <v>63</v>
      </c>
      <c r="F263" s="709" t="s">
        <v>68</v>
      </c>
      <c r="G263" s="710" t="s">
        <v>45</v>
      </c>
      <c r="H263" s="710" t="s">
        <v>43</v>
      </c>
      <c r="I263" s="711" t="s">
        <v>710</v>
      </c>
      <c r="J263" s="276"/>
      <c r="K263" s="24">
        <f t="shared" si="36"/>
        <v>21761.599999999999</v>
      </c>
      <c r="L263" s="24">
        <f t="shared" si="36"/>
        <v>0</v>
      </c>
      <c r="M263" s="24">
        <f t="shared" si="36"/>
        <v>21761.599999999999</v>
      </c>
    </row>
    <row r="264" spans="1:13" ht="18" customHeight="1" x14ac:dyDescent="0.35">
      <c r="A264" s="11"/>
      <c r="B264" s="510" t="s">
        <v>123</v>
      </c>
      <c r="C264" s="23" t="s">
        <v>1</v>
      </c>
      <c r="D264" s="10" t="s">
        <v>88</v>
      </c>
      <c r="E264" s="10" t="s">
        <v>63</v>
      </c>
      <c r="F264" s="709" t="s">
        <v>68</v>
      </c>
      <c r="G264" s="710" t="s">
        <v>45</v>
      </c>
      <c r="H264" s="710" t="s">
        <v>43</v>
      </c>
      <c r="I264" s="711" t="s">
        <v>710</v>
      </c>
      <c r="J264" s="276">
        <v>500</v>
      </c>
      <c r="K264" s="24">
        <f>11161.2+10600.4</f>
        <v>21761.599999999999</v>
      </c>
      <c r="L264" s="24">
        <f>M264-K264</f>
        <v>0</v>
      </c>
      <c r="M264" s="24">
        <f>11161.2+10600.4</f>
        <v>21761.599999999999</v>
      </c>
    </row>
    <row r="265" spans="1:13" ht="18" customHeight="1" x14ac:dyDescent="0.35">
      <c r="A265" s="11"/>
      <c r="B265" s="510"/>
      <c r="C265" s="23"/>
      <c r="D265" s="10"/>
      <c r="E265" s="10"/>
      <c r="F265" s="709"/>
      <c r="G265" s="710"/>
      <c r="H265" s="710"/>
      <c r="I265" s="711"/>
      <c r="J265" s="276"/>
      <c r="K265" s="24"/>
      <c r="L265" s="24"/>
      <c r="M265" s="24"/>
    </row>
    <row r="266" spans="1:13" ht="52.2" customHeight="1" x14ac:dyDescent="0.3">
      <c r="A266" s="115">
        <v>2</v>
      </c>
      <c r="B266" s="557" t="s">
        <v>2</v>
      </c>
      <c r="C266" s="18" t="s">
        <v>302</v>
      </c>
      <c r="D266" s="19"/>
      <c r="E266" s="19"/>
      <c r="F266" s="20"/>
      <c r="G266" s="21"/>
      <c r="H266" s="21"/>
      <c r="I266" s="22"/>
      <c r="J266" s="19"/>
      <c r="K266" s="32">
        <f>K267+K297+K290</f>
        <v>49643.299999999996</v>
      </c>
      <c r="L266" s="32">
        <f>L267+L297+L290</f>
        <v>3429.3999999999983</v>
      </c>
      <c r="M266" s="32">
        <f>M267+M297+M290</f>
        <v>53072.7</v>
      </c>
    </row>
    <row r="267" spans="1:13" s="120" customFormat="1" ht="18" customHeight="1" x14ac:dyDescent="0.35">
      <c r="A267" s="11"/>
      <c r="B267" s="510" t="s">
        <v>36</v>
      </c>
      <c r="C267" s="23" t="s">
        <v>302</v>
      </c>
      <c r="D267" s="10" t="s">
        <v>37</v>
      </c>
      <c r="E267" s="10"/>
      <c r="F267" s="709"/>
      <c r="G267" s="710"/>
      <c r="H267" s="710"/>
      <c r="I267" s="711"/>
      <c r="J267" s="10"/>
      <c r="K267" s="24">
        <f>K268+K281</f>
        <v>34527.699999999997</v>
      </c>
      <c r="L267" s="24">
        <f>L268+L281</f>
        <v>49.999999999998522</v>
      </c>
      <c r="M267" s="24">
        <f>M268+M281</f>
        <v>34577.699999999997</v>
      </c>
    </row>
    <row r="268" spans="1:13" s="121" customFormat="1" ht="72" customHeight="1" x14ac:dyDescent="0.35">
      <c r="A268" s="11"/>
      <c r="B268" s="510" t="s">
        <v>129</v>
      </c>
      <c r="C268" s="23" t="s">
        <v>302</v>
      </c>
      <c r="D268" s="10" t="s">
        <v>37</v>
      </c>
      <c r="E268" s="10" t="s">
        <v>81</v>
      </c>
      <c r="F268" s="709"/>
      <c r="G268" s="710"/>
      <c r="H268" s="710"/>
      <c r="I268" s="711"/>
      <c r="J268" s="10"/>
      <c r="K268" s="24">
        <f t="shared" ref="K268:M271" si="37">K269</f>
        <v>31082.6</v>
      </c>
      <c r="L268" s="24">
        <f t="shared" si="37"/>
        <v>343.99999999999852</v>
      </c>
      <c r="M268" s="24">
        <f t="shared" si="37"/>
        <v>31426.6</v>
      </c>
    </row>
    <row r="269" spans="1:13" s="116" customFormat="1" ht="54" customHeight="1" x14ac:dyDescent="0.35">
      <c r="A269" s="11"/>
      <c r="B269" s="510" t="s">
        <v>223</v>
      </c>
      <c r="C269" s="23" t="s">
        <v>302</v>
      </c>
      <c r="D269" s="10" t="s">
        <v>37</v>
      </c>
      <c r="E269" s="10" t="s">
        <v>81</v>
      </c>
      <c r="F269" s="709" t="s">
        <v>224</v>
      </c>
      <c r="G269" s="710" t="s">
        <v>42</v>
      </c>
      <c r="H269" s="710" t="s">
        <v>43</v>
      </c>
      <c r="I269" s="711" t="s">
        <v>44</v>
      </c>
      <c r="J269" s="10"/>
      <c r="K269" s="24">
        <f t="shared" si="37"/>
        <v>31082.6</v>
      </c>
      <c r="L269" s="24">
        <f t="shared" si="37"/>
        <v>343.99999999999852</v>
      </c>
      <c r="M269" s="24">
        <f t="shared" si="37"/>
        <v>31426.6</v>
      </c>
    </row>
    <row r="270" spans="1:13" s="116" customFormat="1" ht="36" customHeight="1" x14ac:dyDescent="0.35">
      <c r="A270" s="11"/>
      <c r="B270" s="510" t="s">
        <v>339</v>
      </c>
      <c r="C270" s="23" t="s">
        <v>302</v>
      </c>
      <c r="D270" s="10" t="s">
        <v>37</v>
      </c>
      <c r="E270" s="10" t="s">
        <v>81</v>
      </c>
      <c r="F270" s="25" t="s">
        <v>224</v>
      </c>
      <c r="G270" s="26" t="s">
        <v>45</v>
      </c>
      <c r="H270" s="710" t="s">
        <v>43</v>
      </c>
      <c r="I270" s="711" t="s">
        <v>44</v>
      </c>
      <c r="J270" s="10"/>
      <c r="K270" s="24">
        <f>K271+K278</f>
        <v>31082.6</v>
      </c>
      <c r="L270" s="24">
        <f>L271+L278</f>
        <v>343.99999999999852</v>
      </c>
      <c r="M270" s="24">
        <f>M271+M278</f>
        <v>31426.6</v>
      </c>
    </row>
    <row r="271" spans="1:13" s="116" customFormat="1" ht="54" customHeight="1" x14ac:dyDescent="0.35">
      <c r="A271" s="11"/>
      <c r="B271" s="510" t="s">
        <v>303</v>
      </c>
      <c r="C271" s="23" t="s">
        <v>302</v>
      </c>
      <c r="D271" s="10" t="s">
        <v>37</v>
      </c>
      <c r="E271" s="10" t="s">
        <v>81</v>
      </c>
      <c r="F271" s="25" t="s">
        <v>224</v>
      </c>
      <c r="G271" s="26" t="s">
        <v>45</v>
      </c>
      <c r="H271" s="710" t="s">
        <v>37</v>
      </c>
      <c r="I271" s="711" t="s">
        <v>44</v>
      </c>
      <c r="J271" s="10"/>
      <c r="K271" s="24">
        <f t="shared" si="37"/>
        <v>30356.399999999998</v>
      </c>
      <c r="L271" s="24">
        <f>L272+L276</f>
        <v>343.99999999999852</v>
      </c>
      <c r="M271" s="24">
        <f>M272+M276</f>
        <v>30700.399999999998</v>
      </c>
    </row>
    <row r="272" spans="1:13" s="116" customFormat="1" ht="36" customHeight="1" x14ac:dyDescent="0.35">
      <c r="A272" s="11"/>
      <c r="B272" s="510" t="s">
        <v>47</v>
      </c>
      <c r="C272" s="23" t="s">
        <v>302</v>
      </c>
      <c r="D272" s="10" t="s">
        <v>37</v>
      </c>
      <c r="E272" s="10" t="s">
        <v>81</v>
      </c>
      <c r="F272" s="25" t="s">
        <v>224</v>
      </c>
      <c r="G272" s="26" t="s">
        <v>45</v>
      </c>
      <c r="H272" s="710" t="s">
        <v>37</v>
      </c>
      <c r="I272" s="711" t="s">
        <v>48</v>
      </c>
      <c r="J272" s="10"/>
      <c r="K272" s="24">
        <f>SUM(K273:K275)</f>
        <v>30356.399999999998</v>
      </c>
      <c r="L272" s="24">
        <f>SUM(L273:L275)</f>
        <v>87.999999999998522</v>
      </c>
      <c r="M272" s="24">
        <f>SUM(M273:M275)</f>
        <v>30444.399999999998</v>
      </c>
    </row>
    <row r="273" spans="1:13" s="116" customFormat="1" ht="108" customHeight="1" x14ac:dyDescent="0.35">
      <c r="A273" s="11"/>
      <c r="B273" s="510" t="s">
        <v>49</v>
      </c>
      <c r="C273" s="23" t="s">
        <v>302</v>
      </c>
      <c r="D273" s="10" t="s">
        <v>37</v>
      </c>
      <c r="E273" s="10" t="s">
        <v>81</v>
      </c>
      <c r="F273" s="25" t="s">
        <v>224</v>
      </c>
      <c r="G273" s="26" t="s">
        <v>45</v>
      </c>
      <c r="H273" s="710" t="s">
        <v>37</v>
      </c>
      <c r="I273" s="711" t="s">
        <v>48</v>
      </c>
      <c r="J273" s="10" t="s">
        <v>50</v>
      </c>
      <c r="K273" s="24">
        <f>29637.3-280.5+280.5</f>
        <v>29637.3</v>
      </c>
      <c r="L273" s="24">
        <f>M273-K273</f>
        <v>-40.400000000001455</v>
      </c>
      <c r="M273" s="24">
        <f>29637.3-280.5+280.5-40.4</f>
        <v>29596.899999999998</v>
      </c>
    </row>
    <row r="274" spans="1:13" s="116" customFormat="1" ht="54" customHeight="1" x14ac:dyDescent="0.35">
      <c r="A274" s="11"/>
      <c r="B274" s="510" t="s">
        <v>55</v>
      </c>
      <c r="C274" s="23" t="s">
        <v>302</v>
      </c>
      <c r="D274" s="10" t="s">
        <v>37</v>
      </c>
      <c r="E274" s="10" t="s">
        <v>81</v>
      </c>
      <c r="F274" s="25" t="s">
        <v>224</v>
      </c>
      <c r="G274" s="26" t="s">
        <v>45</v>
      </c>
      <c r="H274" s="710" t="s">
        <v>37</v>
      </c>
      <c r="I274" s="711" t="s">
        <v>48</v>
      </c>
      <c r="J274" s="10" t="s">
        <v>56</v>
      </c>
      <c r="K274" s="24">
        <v>714.5</v>
      </c>
      <c r="L274" s="24">
        <f>M274-K274</f>
        <v>128.39999999999998</v>
      </c>
      <c r="M274" s="24">
        <f>714.5+40.4+88</f>
        <v>842.9</v>
      </c>
    </row>
    <row r="275" spans="1:13" s="121" customFormat="1" ht="18" customHeight="1" x14ac:dyDescent="0.35">
      <c r="A275" s="11"/>
      <c r="B275" s="510" t="s">
        <v>57</v>
      </c>
      <c r="C275" s="23" t="s">
        <v>302</v>
      </c>
      <c r="D275" s="10" t="s">
        <v>37</v>
      </c>
      <c r="E275" s="10" t="s">
        <v>81</v>
      </c>
      <c r="F275" s="25" t="s">
        <v>224</v>
      </c>
      <c r="G275" s="26" t="s">
        <v>45</v>
      </c>
      <c r="H275" s="710" t="s">
        <v>37</v>
      </c>
      <c r="I275" s="711" t="s">
        <v>48</v>
      </c>
      <c r="J275" s="10" t="s">
        <v>58</v>
      </c>
      <c r="K275" s="24">
        <v>4.5999999999999996</v>
      </c>
      <c r="L275" s="24">
        <f>M275-K275</f>
        <v>0</v>
      </c>
      <c r="M275" s="24">
        <v>4.5999999999999996</v>
      </c>
    </row>
    <row r="276" spans="1:13" s="121" customFormat="1" ht="18" customHeight="1" x14ac:dyDescent="0.35">
      <c r="A276" s="11"/>
      <c r="B276" s="510" t="s">
        <v>465</v>
      </c>
      <c r="C276" s="23" t="s">
        <v>302</v>
      </c>
      <c r="D276" s="10" t="s">
        <v>37</v>
      </c>
      <c r="E276" s="10" t="s">
        <v>81</v>
      </c>
      <c r="F276" s="25" t="s">
        <v>224</v>
      </c>
      <c r="G276" s="26" t="s">
        <v>45</v>
      </c>
      <c r="H276" s="710" t="s">
        <v>37</v>
      </c>
      <c r="I276" s="711" t="s">
        <v>380</v>
      </c>
      <c r="J276" s="10"/>
      <c r="K276" s="24"/>
      <c r="L276" s="24">
        <f>L277</f>
        <v>256</v>
      </c>
      <c r="M276" s="24">
        <f>M277</f>
        <v>256</v>
      </c>
    </row>
    <row r="277" spans="1:13" s="121" customFormat="1" ht="54" x14ac:dyDescent="0.35">
      <c r="A277" s="11"/>
      <c r="B277" s="510" t="s">
        <v>55</v>
      </c>
      <c r="C277" s="23" t="s">
        <v>302</v>
      </c>
      <c r="D277" s="10" t="s">
        <v>37</v>
      </c>
      <c r="E277" s="10" t="s">
        <v>81</v>
      </c>
      <c r="F277" s="25" t="s">
        <v>224</v>
      </c>
      <c r="G277" s="26" t="s">
        <v>45</v>
      </c>
      <c r="H277" s="710" t="s">
        <v>37</v>
      </c>
      <c r="I277" s="711" t="s">
        <v>380</v>
      </c>
      <c r="J277" s="10" t="s">
        <v>56</v>
      </c>
      <c r="K277" s="24"/>
      <c r="L277" s="24">
        <f>M277-K277</f>
        <v>256</v>
      </c>
      <c r="M277" s="24">
        <v>256</v>
      </c>
    </row>
    <row r="278" spans="1:13" s="121" customFormat="1" ht="54" customHeight="1" x14ac:dyDescent="0.35">
      <c r="A278" s="11"/>
      <c r="B278" s="593" t="s">
        <v>659</v>
      </c>
      <c r="C278" s="23" t="s">
        <v>302</v>
      </c>
      <c r="D278" s="10" t="s">
        <v>37</v>
      </c>
      <c r="E278" s="10" t="s">
        <v>81</v>
      </c>
      <c r="F278" s="25" t="s">
        <v>224</v>
      </c>
      <c r="G278" s="26" t="s">
        <v>45</v>
      </c>
      <c r="H278" s="710" t="s">
        <v>52</v>
      </c>
      <c r="I278" s="711" t="s">
        <v>44</v>
      </c>
      <c r="J278" s="10"/>
      <c r="K278" s="24">
        <f t="shared" ref="K278:M279" si="38">K279</f>
        <v>726.2</v>
      </c>
      <c r="L278" s="24">
        <f t="shared" si="38"/>
        <v>0</v>
      </c>
      <c r="M278" s="24">
        <f t="shared" si="38"/>
        <v>726.2</v>
      </c>
    </row>
    <row r="279" spans="1:13" s="121" customFormat="1" ht="36" customHeight="1" x14ac:dyDescent="0.35">
      <c r="A279" s="11"/>
      <c r="B279" s="593" t="s">
        <v>658</v>
      </c>
      <c r="C279" s="23" t="s">
        <v>302</v>
      </c>
      <c r="D279" s="10" t="s">
        <v>37</v>
      </c>
      <c r="E279" s="10" t="s">
        <v>81</v>
      </c>
      <c r="F279" s="25" t="s">
        <v>224</v>
      </c>
      <c r="G279" s="26" t="s">
        <v>45</v>
      </c>
      <c r="H279" s="710" t="s">
        <v>52</v>
      </c>
      <c r="I279" s="711" t="s">
        <v>660</v>
      </c>
      <c r="J279" s="10"/>
      <c r="K279" s="24">
        <f t="shared" si="38"/>
        <v>726.2</v>
      </c>
      <c r="L279" s="24">
        <f t="shared" si="38"/>
        <v>0</v>
      </c>
      <c r="M279" s="24">
        <f t="shared" si="38"/>
        <v>726.2</v>
      </c>
    </row>
    <row r="280" spans="1:13" s="121" customFormat="1" ht="108" customHeight="1" x14ac:dyDescent="0.35">
      <c r="A280" s="11"/>
      <c r="B280" s="593" t="s">
        <v>49</v>
      </c>
      <c r="C280" s="23" t="s">
        <v>302</v>
      </c>
      <c r="D280" s="10" t="s">
        <v>37</v>
      </c>
      <c r="E280" s="10" t="s">
        <v>81</v>
      </c>
      <c r="F280" s="25" t="s">
        <v>224</v>
      </c>
      <c r="G280" s="26" t="s">
        <v>45</v>
      </c>
      <c r="H280" s="710" t="s">
        <v>52</v>
      </c>
      <c r="I280" s="711" t="s">
        <v>660</v>
      </c>
      <c r="J280" s="10" t="s">
        <v>50</v>
      </c>
      <c r="K280" s="24">
        <f>280.5+445.7</f>
        <v>726.2</v>
      </c>
      <c r="L280" s="24">
        <f>M280-K280</f>
        <v>0</v>
      </c>
      <c r="M280" s="24">
        <f>280.5+445.7</f>
        <v>726.2</v>
      </c>
    </row>
    <row r="281" spans="1:13" s="116" customFormat="1" ht="18" customHeight="1" x14ac:dyDescent="0.35">
      <c r="A281" s="11"/>
      <c r="B281" s="510" t="s">
        <v>70</v>
      </c>
      <c r="C281" s="23" t="s">
        <v>302</v>
      </c>
      <c r="D281" s="10" t="s">
        <v>37</v>
      </c>
      <c r="E281" s="10" t="s">
        <v>71</v>
      </c>
      <c r="F281" s="25"/>
      <c r="G281" s="26"/>
      <c r="H281" s="710"/>
      <c r="I281" s="711"/>
      <c r="J281" s="10"/>
      <c r="K281" s="24">
        <f t="shared" ref="K281:M285" si="39">K282</f>
        <v>3445.1</v>
      </c>
      <c r="L281" s="24">
        <f t="shared" si="39"/>
        <v>-294</v>
      </c>
      <c r="M281" s="24">
        <f t="shared" si="39"/>
        <v>3151.1</v>
      </c>
    </row>
    <row r="282" spans="1:13" s="116" customFormat="1" ht="54" customHeight="1" x14ac:dyDescent="0.35">
      <c r="A282" s="11"/>
      <c r="B282" s="510" t="s">
        <v>223</v>
      </c>
      <c r="C282" s="23" t="s">
        <v>302</v>
      </c>
      <c r="D282" s="10" t="s">
        <v>37</v>
      </c>
      <c r="E282" s="10" t="s">
        <v>71</v>
      </c>
      <c r="F282" s="25" t="s">
        <v>224</v>
      </c>
      <c r="G282" s="26" t="s">
        <v>42</v>
      </c>
      <c r="H282" s="710" t="s">
        <v>43</v>
      </c>
      <c r="I282" s="711" t="s">
        <v>44</v>
      </c>
      <c r="J282" s="10"/>
      <c r="K282" s="24">
        <f t="shared" si="39"/>
        <v>3445.1</v>
      </c>
      <c r="L282" s="24">
        <f t="shared" si="39"/>
        <v>-294</v>
      </c>
      <c r="M282" s="24">
        <f t="shared" si="39"/>
        <v>3151.1</v>
      </c>
    </row>
    <row r="283" spans="1:13" s="7" customFormat="1" ht="36" customHeight="1" x14ac:dyDescent="0.35">
      <c r="A283" s="11"/>
      <c r="B283" s="510" t="s">
        <v>339</v>
      </c>
      <c r="C283" s="23" t="s">
        <v>302</v>
      </c>
      <c r="D283" s="10" t="s">
        <v>37</v>
      </c>
      <c r="E283" s="10" t="s">
        <v>71</v>
      </c>
      <c r="F283" s="25" t="s">
        <v>224</v>
      </c>
      <c r="G283" s="26" t="s">
        <v>45</v>
      </c>
      <c r="H283" s="710" t="s">
        <v>43</v>
      </c>
      <c r="I283" s="711" t="s">
        <v>44</v>
      </c>
      <c r="J283" s="10"/>
      <c r="K283" s="24">
        <f>K284+K287</f>
        <v>3445.1</v>
      </c>
      <c r="L283" s="24">
        <f>L284+L287</f>
        <v>-294</v>
      </c>
      <c r="M283" s="24">
        <f>M284+M287</f>
        <v>3151.1</v>
      </c>
    </row>
    <row r="284" spans="1:13" s="116" customFormat="1" ht="36" customHeight="1" x14ac:dyDescent="0.35">
      <c r="A284" s="11"/>
      <c r="B284" s="510" t="s">
        <v>351</v>
      </c>
      <c r="C284" s="23" t="s">
        <v>302</v>
      </c>
      <c r="D284" s="10" t="s">
        <v>37</v>
      </c>
      <c r="E284" s="10" t="s">
        <v>71</v>
      </c>
      <c r="F284" s="25" t="s">
        <v>224</v>
      </c>
      <c r="G284" s="26" t="s">
        <v>45</v>
      </c>
      <c r="H284" s="710" t="s">
        <v>63</v>
      </c>
      <c r="I284" s="711" t="s">
        <v>44</v>
      </c>
      <c r="J284" s="10"/>
      <c r="K284" s="24">
        <f>K285</f>
        <v>3427.9</v>
      </c>
      <c r="L284" s="24">
        <f>L285</f>
        <v>-294</v>
      </c>
      <c r="M284" s="24">
        <f>M285</f>
        <v>3133.9</v>
      </c>
    </row>
    <row r="285" spans="1:13" s="121" customFormat="1" ht="54" customHeight="1" x14ac:dyDescent="0.35">
      <c r="A285" s="11"/>
      <c r="B285" s="510" t="s">
        <v>352</v>
      </c>
      <c r="C285" s="23" t="s">
        <v>302</v>
      </c>
      <c r="D285" s="10" t="s">
        <v>37</v>
      </c>
      <c r="E285" s="10" t="s">
        <v>71</v>
      </c>
      <c r="F285" s="25" t="s">
        <v>224</v>
      </c>
      <c r="G285" s="26" t="s">
        <v>45</v>
      </c>
      <c r="H285" s="710" t="s">
        <v>63</v>
      </c>
      <c r="I285" s="711" t="s">
        <v>105</v>
      </c>
      <c r="J285" s="10"/>
      <c r="K285" s="24">
        <f t="shared" si="39"/>
        <v>3427.9</v>
      </c>
      <c r="L285" s="24">
        <f t="shared" si="39"/>
        <v>-294</v>
      </c>
      <c r="M285" s="24">
        <f t="shared" si="39"/>
        <v>3133.9</v>
      </c>
    </row>
    <row r="286" spans="1:13" s="121" customFormat="1" ht="54" customHeight="1" x14ac:dyDescent="0.35">
      <c r="A286" s="11"/>
      <c r="B286" s="510" t="s">
        <v>55</v>
      </c>
      <c r="C286" s="23" t="s">
        <v>302</v>
      </c>
      <c r="D286" s="10" t="s">
        <v>37</v>
      </c>
      <c r="E286" s="10" t="s">
        <v>71</v>
      </c>
      <c r="F286" s="25" t="s">
        <v>224</v>
      </c>
      <c r="G286" s="26" t="s">
        <v>45</v>
      </c>
      <c r="H286" s="710" t="s">
        <v>63</v>
      </c>
      <c r="I286" s="711" t="s">
        <v>105</v>
      </c>
      <c r="J286" s="10" t="s">
        <v>56</v>
      </c>
      <c r="K286" s="24">
        <v>3427.9</v>
      </c>
      <c r="L286" s="24">
        <f>M286-K286</f>
        <v>-294</v>
      </c>
      <c r="M286" s="24">
        <f>3427.9-256-38</f>
        <v>3133.9</v>
      </c>
    </row>
    <row r="287" spans="1:13" s="121" customFormat="1" ht="36" customHeight="1" x14ac:dyDescent="0.35">
      <c r="A287" s="11"/>
      <c r="B287" s="510" t="s">
        <v>468</v>
      </c>
      <c r="C287" s="23" t="s">
        <v>302</v>
      </c>
      <c r="D287" s="10" t="s">
        <v>37</v>
      </c>
      <c r="E287" s="10" t="s">
        <v>71</v>
      </c>
      <c r="F287" s="25" t="s">
        <v>224</v>
      </c>
      <c r="G287" s="26" t="s">
        <v>45</v>
      </c>
      <c r="H287" s="710" t="s">
        <v>65</v>
      </c>
      <c r="I287" s="711" t="s">
        <v>44</v>
      </c>
      <c r="J287" s="10"/>
      <c r="K287" s="24">
        <f t="shared" ref="K287:M288" si="40">K288</f>
        <v>17.2</v>
      </c>
      <c r="L287" s="24">
        <f t="shared" si="40"/>
        <v>0</v>
      </c>
      <c r="M287" s="24">
        <f t="shared" si="40"/>
        <v>17.2</v>
      </c>
    </row>
    <row r="288" spans="1:13" s="121" customFormat="1" ht="18" customHeight="1" x14ac:dyDescent="0.35">
      <c r="A288" s="11"/>
      <c r="B288" s="510" t="s">
        <v>466</v>
      </c>
      <c r="C288" s="23" t="s">
        <v>302</v>
      </c>
      <c r="D288" s="10" t="s">
        <v>37</v>
      </c>
      <c r="E288" s="10" t="s">
        <v>71</v>
      </c>
      <c r="F288" s="25" t="s">
        <v>224</v>
      </c>
      <c r="G288" s="26" t="s">
        <v>45</v>
      </c>
      <c r="H288" s="710" t="s">
        <v>65</v>
      </c>
      <c r="I288" s="711" t="s">
        <v>467</v>
      </c>
      <c r="J288" s="10"/>
      <c r="K288" s="24">
        <f t="shared" si="40"/>
        <v>17.2</v>
      </c>
      <c r="L288" s="24">
        <f t="shared" si="40"/>
        <v>0</v>
      </c>
      <c r="M288" s="24">
        <f t="shared" si="40"/>
        <v>17.2</v>
      </c>
    </row>
    <row r="289" spans="1:13" s="121" customFormat="1" ht="54" customHeight="1" x14ac:dyDescent="0.35">
      <c r="A289" s="11"/>
      <c r="B289" s="510" t="s">
        <v>55</v>
      </c>
      <c r="C289" s="23" t="s">
        <v>302</v>
      </c>
      <c r="D289" s="10" t="s">
        <v>37</v>
      </c>
      <c r="E289" s="10" t="s">
        <v>71</v>
      </c>
      <c r="F289" s="25" t="s">
        <v>224</v>
      </c>
      <c r="G289" s="26" t="s">
        <v>45</v>
      </c>
      <c r="H289" s="710" t="s">
        <v>65</v>
      </c>
      <c r="I289" s="711" t="s">
        <v>467</v>
      </c>
      <c r="J289" s="10" t="s">
        <v>56</v>
      </c>
      <c r="K289" s="24">
        <v>17.2</v>
      </c>
      <c r="L289" s="24">
        <f>M289-K289</f>
        <v>0</v>
      </c>
      <c r="M289" s="24">
        <v>17.2</v>
      </c>
    </row>
    <row r="290" spans="1:13" s="121" customFormat="1" ht="18" customHeight="1" x14ac:dyDescent="0.35">
      <c r="A290" s="11"/>
      <c r="B290" s="510" t="s">
        <v>179</v>
      </c>
      <c r="C290" s="23" t="s">
        <v>302</v>
      </c>
      <c r="D290" s="10" t="s">
        <v>224</v>
      </c>
      <c r="E290" s="10"/>
      <c r="F290" s="25"/>
      <c r="G290" s="26"/>
      <c r="H290" s="710"/>
      <c r="I290" s="711"/>
      <c r="J290" s="10"/>
      <c r="K290" s="24">
        <f t="shared" ref="K290:M295" si="41">K291</f>
        <v>115.6</v>
      </c>
      <c r="L290" s="24">
        <f t="shared" si="41"/>
        <v>-50</v>
      </c>
      <c r="M290" s="24">
        <f t="shared" si="41"/>
        <v>65.599999999999994</v>
      </c>
    </row>
    <row r="291" spans="1:13" s="121" customFormat="1" ht="36" customHeight="1" x14ac:dyDescent="0.35">
      <c r="A291" s="11"/>
      <c r="B291" s="510" t="s">
        <v>530</v>
      </c>
      <c r="C291" s="23" t="s">
        <v>302</v>
      </c>
      <c r="D291" s="10" t="s">
        <v>224</v>
      </c>
      <c r="E291" s="10" t="s">
        <v>65</v>
      </c>
      <c r="F291" s="25"/>
      <c r="G291" s="26"/>
      <c r="H291" s="710"/>
      <c r="I291" s="711"/>
      <c r="J291" s="10"/>
      <c r="K291" s="24">
        <f t="shared" si="41"/>
        <v>115.6</v>
      </c>
      <c r="L291" s="24">
        <f t="shared" si="41"/>
        <v>-50</v>
      </c>
      <c r="M291" s="24">
        <f t="shared" si="41"/>
        <v>65.599999999999994</v>
      </c>
    </row>
    <row r="292" spans="1:13" s="121" customFormat="1" ht="54" customHeight="1" x14ac:dyDescent="0.35">
      <c r="A292" s="11"/>
      <c r="B292" s="510" t="s">
        <v>223</v>
      </c>
      <c r="C292" s="23" t="s">
        <v>302</v>
      </c>
      <c r="D292" s="10" t="s">
        <v>224</v>
      </c>
      <c r="E292" s="10" t="s">
        <v>65</v>
      </c>
      <c r="F292" s="25" t="s">
        <v>224</v>
      </c>
      <c r="G292" s="26" t="s">
        <v>42</v>
      </c>
      <c r="H292" s="710" t="s">
        <v>43</v>
      </c>
      <c r="I292" s="711" t="s">
        <v>44</v>
      </c>
      <c r="J292" s="10"/>
      <c r="K292" s="24">
        <f t="shared" si="41"/>
        <v>115.6</v>
      </c>
      <c r="L292" s="24">
        <f t="shared" si="41"/>
        <v>-50</v>
      </c>
      <c r="M292" s="24">
        <f t="shared" si="41"/>
        <v>65.599999999999994</v>
      </c>
    </row>
    <row r="293" spans="1:13" s="121" customFormat="1" ht="36" customHeight="1" x14ac:dyDescent="0.35">
      <c r="A293" s="11"/>
      <c r="B293" s="510" t="s">
        <v>339</v>
      </c>
      <c r="C293" s="23" t="s">
        <v>302</v>
      </c>
      <c r="D293" s="10" t="s">
        <v>224</v>
      </c>
      <c r="E293" s="10" t="s">
        <v>65</v>
      </c>
      <c r="F293" s="25" t="s">
        <v>224</v>
      </c>
      <c r="G293" s="26" t="s">
        <v>45</v>
      </c>
      <c r="H293" s="710" t="s">
        <v>43</v>
      </c>
      <c r="I293" s="711" t="s">
        <v>44</v>
      </c>
      <c r="J293" s="10"/>
      <c r="K293" s="24">
        <f t="shared" si="41"/>
        <v>115.6</v>
      </c>
      <c r="L293" s="24">
        <f t="shared" si="41"/>
        <v>-50</v>
      </c>
      <c r="M293" s="24">
        <f t="shared" si="41"/>
        <v>65.599999999999994</v>
      </c>
    </row>
    <row r="294" spans="1:13" s="121" customFormat="1" ht="54" customHeight="1" x14ac:dyDescent="0.35">
      <c r="A294" s="11"/>
      <c r="B294" s="510" t="s">
        <v>303</v>
      </c>
      <c r="C294" s="23" t="s">
        <v>302</v>
      </c>
      <c r="D294" s="10" t="s">
        <v>224</v>
      </c>
      <c r="E294" s="10" t="s">
        <v>65</v>
      </c>
      <c r="F294" s="25" t="s">
        <v>224</v>
      </c>
      <c r="G294" s="26" t="s">
        <v>45</v>
      </c>
      <c r="H294" s="710" t="s">
        <v>37</v>
      </c>
      <c r="I294" s="711" t="s">
        <v>44</v>
      </c>
      <c r="J294" s="10"/>
      <c r="K294" s="24">
        <f t="shared" si="41"/>
        <v>115.6</v>
      </c>
      <c r="L294" s="24">
        <f t="shared" si="41"/>
        <v>-50</v>
      </c>
      <c r="M294" s="24">
        <f t="shared" si="41"/>
        <v>65.599999999999994</v>
      </c>
    </row>
    <row r="295" spans="1:13" s="121" customFormat="1" ht="36" customHeight="1" x14ac:dyDescent="0.35">
      <c r="A295" s="11"/>
      <c r="B295" s="510" t="s">
        <v>532</v>
      </c>
      <c r="C295" s="23" t="s">
        <v>302</v>
      </c>
      <c r="D295" s="10" t="s">
        <v>224</v>
      </c>
      <c r="E295" s="10" t="s">
        <v>65</v>
      </c>
      <c r="F295" s="25" t="s">
        <v>224</v>
      </c>
      <c r="G295" s="26" t="s">
        <v>45</v>
      </c>
      <c r="H295" s="710" t="s">
        <v>37</v>
      </c>
      <c r="I295" s="711" t="s">
        <v>531</v>
      </c>
      <c r="J295" s="10"/>
      <c r="K295" s="24">
        <f t="shared" si="41"/>
        <v>115.6</v>
      </c>
      <c r="L295" s="24">
        <f t="shared" si="41"/>
        <v>-50</v>
      </c>
      <c r="M295" s="24">
        <f t="shared" si="41"/>
        <v>65.599999999999994</v>
      </c>
    </row>
    <row r="296" spans="1:13" s="121" customFormat="1" ht="54" customHeight="1" x14ac:dyDescent="0.35">
      <c r="A296" s="11"/>
      <c r="B296" s="510" t="s">
        <v>55</v>
      </c>
      <c r="C296" s="23" t="s">
        <v>302</v>
      </c>
      <c r="D296" s="10" t="s">
        <v>224</v>
      </c>
      <c r="E296" s="10" t="s">
        <v>65</v>
      </c>
      <c r="F296" s="25" t="s">
        <v>224</v>
      </c>
      <c r="G296" s="26" t="s">
        <v>45</v>
      </c>
      <c r="H296" s="710" t="s">
        <v>37</v>
      </c>
      <c r="I296" s="711" t="s">
        <v>531</v>
      </c>
      <c r="J296" s="10" t="s">
        <v>56</v>
      </c>
      <c r="K296" s="24">
        <v>115.6</v>
      </c>
      <c r="L296" s="24">
        <f>M296-K296</f>
        <v>-50</v>
      </c>
      <c r="M296" s="24">
        <f>115.6-50</f>
        <v>65.599999999999994</v>
      </c>
    </row>
    <row r="297" spans="1:13" s="121" customFormat="1" ht="54" customHeight="1" x14ac:dyDescent="0.35">
      <c r="A297" s="11"/>
      <c r="B297" s="510" t="s">
        <v>200</v>
      </c>
      <c r="C297" s="23" t="s">
        <v>302</v>
      </c>
      <c r="D297" s="10" t="s">
        <v>88</v>
      </c>
      <c r="E297" s="10"/>
      <c r="F297" s="25"/>
      <c r="G297" s="26"/>
      <c r="H297" s="710"/>
      <c r="I297" s="711"/>
      <c r="J297" s="10"/>
      <c r="K297" s="24">
        <f>K298+K304</f>
        <v>15000</v>
      </c>
      <c r="L297" s="24">
        <f>L298+L304</f>
        <v>3429.3999999999996</v>
      </c>
      <c r="M297" s="24">
        <f>M298+M304</f>
        <v>18429.400000000001</v>
      </c>
    </row>
    <row r="298" spans="1:13" s="121" customFormat="1" ht="54" customHeight="1" x14ac:dyDescent="0.35">
      <c r="A298" s="11"/>
      <c r="B298" s="560" t="s">
        <v>201</v>
      </c>
      <c r="C298" s="23" t="s">
        <v>302</v>
      </c>
      <c r="D298" s="10" t="s">
        <v>88</v>
      </c>
      <c r="E298" s="10" t="s">
        <v>37</v>
      </c>
      <c r="F298" s="25"/>
      <c r="G298" s="26"/>
      <c r="H298" s="710"/>
      <c r="I298" s="711"/>
      <c r="J298" s="10"/>
      <c r="K298" s="24">
        <f t="shared" ref="K298:M300" si="42">K299</f>
        <v>7500</v>
      </c>
      <c r="L298" s="24">
        <f t="shared" si="42"/>
        <v>0</v>
      </c>
      <c r="M298" s="24">
        <f t="shared" si="42"/>
        <v>7500</v>
      </c>
    </row>
    <row r="299" spans="1:13" s="121" customFormat="1" ht="54" customHeight="1" x14ac:dyDescent="0.35">
      <c r="A299" s="11"/>
      <c r="B299" s="510" t="s">
        <v>223</v>
      </c>
      <c r="C299" s="23" t="s">
        <v>302</v>
      </c>
      <c r="D299" s="10" t="s">
        <v>88</v>
      </c>
      <c r="E299" s="10" t="s">
        <v>37</v>
      </c>
      <c r="F299" s="25" t="s">
        <v>224</v>
      </c>
      <c r="G299" s="26" t="s">
        <v>42</v>
      </c>
      <c r="H299" s="710" t="s">
        <v>43</v>
      </c>
      <c r="I299" s="711" t="s">
        <v>44</v>
      </c>
      <c r="J299" s="10"/>
      <c r="K299" s="24">
        <f t="shared" si="42"/>
        <v>7500</v>
      </c>
      <c r="L299" s="24">
        <f t="shared" si="42"/>
        <v>0</v>
      </c>
      <c r="M299" s="24">
        <f t="shared" si="42"/>
        <v>7500</v>
      </c>
    </row>
    <row r="300" spans="1:13" s="121" customFormat="1" ht="36" customHeight="1" x14ac:dyDescent="0.35">
      <c r="A300" s="11"/>
      <c r="B300" s="510" t="s">
        <v>339</v>
      </c>
      <c r="C300" s="23" t="s">
        <v>302</v>
      </c>
      <c r="D300" s="10" t="s">
        <v>88</v>
      </c>
      <c r="E300" s="10" t="s">
        <v>37</v>
      </c>
      <c r="F300" s="25" t="s">
        <v>224</v>
      </c>
      <c r="G300" s="26" t="s">
        <v>45</v>
      </c>
      <c r="H300" s="710" t="s">
        <v>43</v>
      </c>
      <c r="I300" s="711" t="s">
        <v>44</v>
      </c>
      <c r="J300" s="10"/>
      <c r="K300" s="24">
        <f t="shared" si="42"/>
        <v>7500</v>
      </c>
      <c r="L300" s="24">
        <f t="shared" si="42"/>
        <v>0</v>
      </c>
      <c r="M300" s="24">
        <f t="shared" si="42"/>
        <v>7500</v>
      </c>
    </row>
    <row r="301" spans="1:13" s="121" customFormat="1" ht="36" customHeight="1" x14ac:dyDescent="0.35">
      <c r="A301" s="11"/>
      <c r="B301" s="510" t="s">
        <v>304</v>
      </c>
      <c r="C301" s="23" t="s">
        <v>302</v>
      </c>
      <c r="D301" s="10" t="s">
        <v>88</v>
      </c>
      <c r="E301" s="10" t="s">
        <v>37</v>
      </c>
      <c r="F301" s="25" t="s">
        <v>224</v>
      </c>
      <c r="G301" s="26" t="s">
        <v>45</v>
      </c>
      <c r="H301" s="710" t="s">
        <v>39</v>
      </c>
      <c r="I301" s="711" t="s">
        <v>44</v>
      </c>
      <c r="J301" s="10"/>
      <c r="K301" s="24">
        <f>K302</f>
        <v>7500</v>
      </c>
      <c r="L301" s="24">
        <f>L302</f>
        <v>0</v>
      </c>
      <c r="M301" s="24">
        <f>M302</f>
        <v>7500</v>
      </c>
    </row>
    <row r="302" spans="1:13" s="121" customFormat="1" ht="36" customHeight="1" x14ac:dyDescent="0.35">
      <c r="A302" s="11"/>
      <c r="B302" s="510" t="s">
        <v>258</v>
      </c>
      <c r="C302" s="23" t="s">
        <v>302</v>
      </c>
      <c r="D302" s="10" t="s">
        <v>88</v>
      </c>
      <c r="E302" s="10" t="s">
        <v>37</v>
      </c>
      <c r="F302" s="25" t="s">
        <v>224</v>
      </c>
      <c r="G302" s="26" t="s">
        <v>45</v>
      </c>
      <c r="H302" s="710" t="s">
        <v>39</v>
      </c>
      <c r="I302" s="711" t="s">
        <v>404</v>
      </c>
      <c r="J302" s="10"/>
      <c r="K302" s="24">
        <f t="shared" ref="K302:M302" si="43">K303</f>
        <v>7500</v>
      </c>
      <c r="L302" s="24">
        <f t="shared" si="43"/>
        <v>0</v>
      </c>
      <c r="M302" s="24">
        <f t="shared" si="43"/>
        <v>7500</v>
      </c>
    </row>
    <row r="303" spans="1:13" s="121" customFormat="1" ht="18" customHeight="1" x14ac:dyDescent="0.35">
      <c r="A303" s="11"/>
      <c r="B303" s="510" t="s">
        <v>123</v>
      </c>
      <c r="C303" s="23" t="s">
        <v>302</v>
      </c>
      <c r="D303" s="10" t="s">
        <v>88</v>
      </c>
      <c r="E303" s="10" t="s">
        <v>37</v>
      </c>
      <c r="F303" s="25" t="s">
        <v>224</v>
      </c>
      <c r="G303" s="26" t="s">
        <v>45</v>
      </c>
      <c r="H303" s="710" t="s">
        <v>39</v>
      </c>
      <c r="I303" s="711" t="s">
        <v>404</v>
      </c>
      <c r="J303" s="10" t="s">
        <v>124</v>
      </c>
      <c r="K303" s="24">
        <v>7500</v>
      </c>
      <c r="L303" s="24">
        <f>M303-K303</f>
        <v>0</v>
      </c>
      <c r="M303" s="24">
        <v>7500</v>
      </c>
    </row>
    <row r="304" spans="1:13" s="121" customFormat="1" ht="36" x14ac:dyDescent="0.35">
      <c r="A304" s="11"/>
      <c r="B304" s="593" t="s">
        <v>679</v>
      </c>
      <c r="C304" s="23" t="s">
        <v>302</v>
      </c>
      <c r="D304" s="10" t="s">
        <v>88</v>
      </c>
      <c r="E304" s="10" t="s">
        <v>63</v>
      </c>
      <c r="F304" s="25"/>
      <c r="G304" s="26"/>
      <c r="H304" s="710"/>
      <c r="I304" s="711"/>
      <c r="J304" s="10"/>
      <c r="K304" s="24">
        <f t="shared" ref="K304:M308" si="44">K305</f>
        <v>7500</v>
      </c>
      <c r="L304" s="24">
        <f t="shared" si="44"/>
        <v>3429.3999999999996</v>
      </c>
      <c r="M304" s="24">
        <f t="shared" si="44"/>
        <v>10929.4</v>
      </c>
    </row>
    <row r="305" spans="1:13" s="121" customFormat="1" ht="54" x14ac:dyDescent="0.35">
      <c r="A305" s="11"/>
      <c r="B305" s="593" t="s">
        <v>223</v>
      </c>
      <c r="C305" s="23" t="s">
        <v>302</v>
      </c>
      <c r="D305" s="10" t="s">
        <v>88</v>
      </c>
      <c r="E305" s="10" t="s">
        <v>63</v>
      </c>
      <c r="F305" s="25" t="s">
        <v>224</v>
      </c>
      <c r="G305" s="26" t="s">
        <v>42</v>
      </c>
      <c r="H305" s="710" t="s">
        <v>43</v>
      </c>
      <c r="I305" s="711" t="s">
        <v>44</v>
      </c>
      <c r="J305" s="10"/>
      <c r="K305" s="24">
        <f t="shared" si="44"/>
        <v>7500</v>
      </c>
      <c r="L305" s="24">
        <f t="shared" si="44"/>
        <v>3429.3999999999996</v>
      </c>
      <c r="M305" s="24">
        <f t="shared" si="44"/>
        <v>10929.4</v>
      </c>
    </row>
    <row r="306" spans="1:13" s="121" customFormat="1" ht="36" x14ac:dyDescent="0.35">
      <c r="A306" s="11"/>
      <c r="B306" s="593" t="s">
        <v>339</v>
      </c>
      <c r="C306" s="23" t="s">
        <v>302</v>
      </c>
      <c r="D306" s="10" t="s">
        <v>88</v>
      </c>
      <c r="E306" s="10" t="s">
        <v>63</v>
      </c>
      <c r="F306" s="25" t="s">
        <v>224</v>
      </c>
      <c r="G306" s="26" t="s">
        <v>45</v>
      </c>
      <c r="H306" s="710" t="s">
        <v>43</v>
      </c>
      <c r="I306" s="711" t="s">
        <v>44</v>
      </c>
      <c r="J306" s="10"/>
      <c r="K306" s="24">
        <f t="shared" si="44"/>
        <v>7500</v>
      </c>
      <c r="L306" s="24">
        <f t="shared" si="44"/>
        <v>3429.3999999999996</v>
      </c>
      <c r="M306" s="24">
        <f t="shared" si="44"/>
        <v>10929.4</v>
      </c>
    </row>
    <row r="307" spans="1:13" s="121" customFormat="1" ht="36" x14ac:dyDescent="0.35">
      <c r="A307" s="11"/>
      <c r="B307" s="593" t="s">
        <v>304</v>
      </c>
      <c r="C307" s="23" t="s">
        <v>302</v>
      </c>
      <c r="D307" s="10" t="s">
        <v>88</v>
      </c>
      <c r="E307" s="10" t="s">
        <v>63</v>
      </c>
      <c r="F307" s="25" t="s">
        <v>224</v>
      </c>
      <c r="G307" s="26" t="s">
        <v>45</v>
      </c>
      <c r="H307" s="710" t="s">
        <v>39</v>
      </c>
      <c r="I307" s="711" t="s">
        <v>44</v>
      </c>
      <c r="J307" s="10"/>
      <c r="K307" s="24">
        <f t="shared" si="44"/>
        <v>7500</v>
      </c>
      <c r="L307" s="24">
        <f t="shared" si="44"/>
        <v>3429.3999999999996</v>
      </c>
      <c r="M307" s="24">
        <f t="shared" si="44"/>
        <v>10929.4</v>
      </c>
    </row>
    <row r="308" spans="1:13" s="121" customFormat="1" ht="54" x14ac:dyDescent="0.35">
      <c r="A308" s="11"/>
      <c r="B308" s="593" t="s">
        <v>748</v>
      </c>
      <c r="C308" s="23" t="s">
        <v>302</v>
      </c>
      <c r="D308" s="10" t="s">
        <v>88</v>
      </c>
      <c r="E308" s="10" t="s">
        <v>63</v>
      </c>
      <c r="F308" s="25" t="s">
        <v>224</v>
      </c>
      <c r="G308" s="26" t="s">
        <v>45</v>
      </c>
      <c r="H308" s="710" t="s">
        <v>39</v>
      </c>
      <c r="I308" s="711" t="s">
        <v>749</v>
      </c>
      <c r="J308" s="10"/>
      <c r="K308" s="24">
        <f t="shared" si="44"/>
        <v>7500</v>
      </c>
      <c r="L308" s="24">
        <f t="shared" si="44"/>
        <v>3429.3999999999996</v>
      </c>
      <c r="M308" s="24">
        <f t="shared" si="44"/>
        <v>10929.4</v>
      </c>
    </row>
    <row r="309" spans="1:13" s="121" customFormat="1" ht="18" x14ac:dyDescent="0.35">
      <c r="A309" s="11"/>
      <c r="B309" s="593" t="s">
        <v>123</v>
      </c>
      <c r="C309" s="23" t="s">
        <v>302</v>
      </c>
      <c r="D309" s="10" t="s">
        <v>88</v>
      </c>
      <c r="E309" s="10" t="s">
        <v>63</v>
      </c>
      <c r="F309" s="25" t="s">
        <v>224</v>
      </c>
      <c r="G309" s="26" t="s">
        <v>45</v>
      </c>
      <c r="H309" s="710" t="s">
        <v>39</v>
      </c>
      <c r="I309" s="711" t="s">
        <v>749</v>
      </c>
      <c r="J309" s="10" t="s">
        <v>124</v>
      </c>
      <c r="K309" s="24">
        <v>7500</v>
      </c>
      <c r="L309" s="24">
        <f>M309-K309</f>
        <v>3429.3999999999996</v>
      </c>
      <c r="M309" s="24">
        <f>7500+3429.4</f>
        <v>10929.4</v>
      </c>
    </row>
    <row r="310" spans="1:13" s="121" customFormat="1" ht="18" customHeight="1" x14ac:dyDescent="0.35">
      <c r="A310" s="11"/>
      <c r="B310" s="510"/>
      <c r="C310" s="23"/>
      <c r="D310" s="10"/>
      <c r="E310" s="10"/>
      <c r="F310" s="25"/>
      <c r="G310" s="26"/>
      <c r="H310" s="710"/>
      <c r="I310" s="711"/>
      <c r="J310" s="10"/>
      <c r="K310" s="24"/>
      <c r="L310" s="24"/>
      <c r="M310" s="24"/>
    </row>
    <row r="311" spans="1:13" s="122" customFormat="1" ht="52.2" customHeight="1" x14ac:dyDescent="0.3">
      <c r="A311" s="115">
        <v>3</v>
      </c>
      <c r="B311" s="557" t="s">
        <v>35</v>
      </c>
      <c r="C311" s="18" t="s">
        <v>128</v>
      </c>
      <c r="D311" s="19"/>
      <c r="E311" s="19"/>
      <c r="F311" s="20"/>
      <c r="G311" s="21"/>
      <c r="H311" s="21"/>
      <c r="I311" s="22"/>
      <c r="J311" s="19"/>
      <c r="K311" s="32">
        <f>K312+K322</f>
        <v>6802.0999999999995</v>
      </c>
      <c r="L311" s="32">
        <f>L312+L322</f>
        <v>27.699999999999427</v>
      </c>
      <c r="M311" s="32">
        <f>M312+M322</f>
        <v>6829.7999999999993</v>
      </c>
    </row>
    <row r="312" spans="1:13" s="122" customFormat="1" ht="18" customHeight="1" x14ac:dyDescent="0.35">
      <c r="A312" s="11"/>
      <c r="B312" s="510" t="s">
        <v>36</v>
      </c>
      <c r="C312" s="23" t="s">
        <v>128</v>
      </c>
      <c r="D312" s="10" t="s">
        <v>37</v>
      </c>
      <c r="E312" s="10"/>
      <c r="F312" s="709"/>
      <c r="G312" s="710"/>
      <c r="H312" s="710"/>
      <c r="I312" s="711"/>
      <c r="J312" s="10"/>
      <c r="K312" s="24">
        <f t="shared" ref="K312:M314" si="45">K313</f>
        <v>6754.2</v>
      </c>
      <c r="L312" s="24">
        <f t="shared" si="45"/>
        <v>35.706999999999425</v>
      </c>
      <c r="M312" s="24">
        <f t="shared" si="45"/>
        <v>6789.9069999999992</v>
      </c>
    </row>
    <row r="313" spans="1:13" s="122" customFormat="1" ht="72" customHeight="1" x14ac:dyDescent="0.35">
      <c r="A313" s="11"/>
      <c r="B313" s="510" t="s">
        <v>129</v>
      </c>
      <c r="C313" s="23" t="s">
        <v>128</v>
      </c>
      <c r="D313" s="10" t="s">
        <v>37</v>
      </c>
      <c r="E313" s="10" t="s">
        <v>81</v>
      </c>
      <c r="F313" s="709"/>
      <c r="G313" s="710"/>
      <c r="H313" s="710"/>
      <c r="I313" s="711"/>
      <c r="J313" s="10"/>
      <c r="K313" s="24">
        <f t="shared" si="45"/>
        <v>6754.2</v>
      </c>
      <c r="L313" s="24">
        <f t="shared" si="45"/>
        <v>35.706999999999425</v>
      </c>
      <c r="M313" s="24">
        <f t="shared" si="45"/>
        <v>6789.9069999999992</v>
      </c>
    </row>
    <row r="314" spans="1:13" s="122" customFormat="1" ht="36" customHeight="1" x14ac:dyDescent="0.35">
      <c r="A314" s="11"/>
      <c r="B314" s="543" t="s">
        <v>130</v>
      </c>
      <c r="C314" s="23" t="s">
        <v>128</v>
      </c>
      <c r="D314" s="10" t="s">
        <v>37</v>
      </c>
      <c r="E314" s="10" t="s">
        <v>81</v>
      </c>
      <c r="F314" s="709" t="s">
        <v>131</v>
      </c>
      <c r="G314" s="710" t="s">
        <v>42</v>
      </c>
      <c r="H314" s="710" t="s">
        <v>43</v>
      </c>
      <c r="I314" s="711" t="s">
        <v>44</v>
      </c>
      <c r="J314" s="10"/>
      <c r="K314" s="24">
        <f t="shared" si="45"/>
        <v>6754.2</v>
      </c>
      <c r="L314" s="24">
        <f t="shared" si="45"/>
        <v>35.706999999999425</v>
      </c>
      <c r="M314" s="24">
        <f t="shared" si="45"/>
        <v>6789.9069999999992</v>
      </c>
    </row>
    <row r="315" spans="1:13" s="122" customFormat="1" ht="36" customHeight="1" x14ac:dyDescent="0.35">
      <c r="A315" s="11"/>
      <c r="B315" s="543" t="s">
        <v>132</v>
      </c>
      <c r="C315" s="23" t="s">
        <v>128</v>
      </c>
      <c r="D315" s="10" t="s">
        <v>37</v>
      </c>
      <c r="E315" s="10" t="s">
        <v>81</v>
      </c>
      <c r="F315" s="709" t="s">
        <v>131</v>
      </c>
      <c r="G315" s="710" t="s">
        <v>45</v>
      </c>
      <c r="H315" s="710" t="s">
        <v>43</v>
      </c>
      <c r="I315" s="711" t="s">
        <v>44</v>
      </c>
      <c r="J315" s="10"/>
      <c r="K315" s="24">
        <f>K316+K320</f>
        <v>6754.2</v>
      </c>
      <c r="L315" s="24">
        <f>L316+L320</f>
        <v>35.706999999999425</v>
      </c>
      <c r="M315" s="24">
        <f>M316+M320</f>
        <v>6789.9069999999992</v>
      </c>
    </row>
    <row r="316" spans="1:13" s="122" customFormat="1" ht="36" customHeight="1" x14ac:dyDescent="0.35">
      <c r="A316" s="11"/>
      <c r="B316" s="510" t="s">
        <v>47</v>
      </c>
      <c r="C316" s="23" t="s">
        <v>128</v>
      </c>
      <c r="D316" s="10" t="s">
        <v>37</v>
      </c>
      <c r="E316" s="10" t="s">
        <v>81</v>
      </c>
      <c r="F316" s="709" t="s">
        <v>131</v>
      </c>
      <c r="G316" s="710" t="s">
        <v>45</v>
      </c>
      <c r="H316" s="710" t="s">
        <v>43</v>
      </c>
      <c r="I316" s="711" t="s">
        <v>48</v>
      </c>
      <c r="J316" s="10"/>
      <c r="K316" s="24">
        <f>K317+K318+K319</f>
        <v>5632</v>
      </c>
      <c r="L316" s="24">
        <f>L317+L318+L319</f>
        <v>35.706999999999425</v>
      </c>
      <c r="M316" s="24">
        <f>M317+M318+M319</f>
        <v>5667.7069999999994</v>
      </c>
    </row>
    <row r="317" spans="1:13" s="122" customFormat="1" ht="108" customHeight="1" x14ac:dyDescent="0.35">
      <c r="A317" s="11"/>
      <c r="B317" s="543" t="s">
        <v>49</v>
      </c>
      <c r="C317" s="23" t="s">
        <v>128</v>
      </c>
      <c r="D317" s="10" t="s">
        <v>37</v>
      </c>
      <c r="E317" s="10" t="s">
        <v>81</v>
      </c>
      <c r="F317" s="709" t="s">
        <v>131</v>
      </c>
      <c r="G317" s="710" t="s">
        <v>45</v>
      </c>
      <c r="H317" s="710" t="s">
        <v>43</v>
      </c>
      <c r="I317" s="711" t="s">
        <v>48</v>
      </c>
      <c r="J317" s="10" t="s">
        <v>50</v>
      </c>
      <c r="K317" s="24">
        <f>5210.1+20.5+36.4</f>
        <v>5267</v>
      </c>
      <c r="L317" s="24">
        <f>M317-K317</f>
        <v>35.706999999999425</v>
      </c>
      <c r="M317" s="24">
        <f>5210.1+20.5+36.4+27.7+8.007</f>
        <v>5302.7069999999994</v>
      </c>
    </row>
    <row r="318" spans="1:13" s="122" customFormat="1" ht="54" customHeight="1" x14ac:dyDescent="0.35">
      <c r="A318" s="11"/>
      <c r="B318" s="510" t="s">
        <v>55</v>
      </c>
      <c r="C318" s="23" t="s">
        <v>128</v>
      </c>
      <c r="D318" s="10" t="s">
        <v>37</v>
      </c>
      <c r="E318" s="10" t="s">
        <v>81</v>
      </c>
      <c r="F318" s="709" t="s">
        <v>131</v>
      </c>
      <c r="G318" s="710" t="s">
        <v>45</v>
      </c>
      <c r="H318" s="710" t="s">
        <v>43</v>
      </c>
      <c r="I318" s="711" t="s">
        <v>48</v>
      </c>
      <c r="J318" s="10" t="s">
        <v>56</v>
      </c>
      <c r="K318" s="24">
        <f>379.9+6.6-29.5-36.4+25.4</f>
        <v>346</v>
      </c>
      <c r="L318" s="24">
        <f>M318-K318</f>
        <v>0</v>
      </c>
      <c r="M318" s="24">
        <f>379.9+6.6-29.5-36.4+25.4</f>
        <v>346</v>
      </c>
    </row>
    <row r="319" spans="1:13" s="122" customFormat="1" ht="18" customHeight="1" x14ac:dyDescent="0.35">
      <c r="A319" s="11"/>
      <c r="B319" s="510" t="s">
        <v>57</v>
      </c>
      <c r="C319" s="23" t="s">
        <v>128</v>
      </c>
      <c r="D319" s="10" t="s">
        <v>37</v>
      </c>
      <c r="E319" s="10" t="s">
        <v>81</v>
      </c>
      <c r="F319" s="709" t="s">
        <v>131</v>
      </c>
      <c r="G319" s="710" t="s">
        <v>45</v>
      </c>
      <c r="H319" s="710" t="s">
        <v>43</v>
      </c>
      <c r="I319" s="711" t="s">
        <v>48</v>
      </c>
      <c r="J319" s="10" t="s">
        <v>58</v>
      </c>
      <c r="K319" s="24">
        <f>10+9</f>
        <v>19</v>
      </c>
      <c r="L319" s="24">
        <f>M319-K319</f>
        <v>0</v>
      </c>
      <c r="M319" s="24">
        <f>10+9</f>
        <v>19</v>
      </c>
    </row>
    <row r="320" spans="1:13" s="122" customFormat="1" ht="36" customHeight="1" x14ac:dyDescent="0.35">
      <c r="A320" s="11"/>
      <c r="B320" s="510" t="s">
        <v>236</v>
      </c>
      <c r="C320" s="23" t="s">
        <v>128</v>
      </c>
      <c r="D320" s="10" t="s">
        <v>37</v>
      </c>
      <c r="E320" s="10" t="s">
        <v>81</v>
      </c>
      <c r="F320" s="709" t="s">
        <v>131</v>
      </c>
      <c r="G320" s="710" t="s">
        <v>45</v>
      </c>
      <c r="H320" s="710" t="s">
        <v>43</v>
      </c>
      <c r="I320" s="711" t="s">
        <v>133</v>
      </c>
      <c r="J320" s="10"/>
      <c r="K320" s="24">
        <f>K321</f>
        <v>1122.2</v>
      </c>
      <c r="L320" s="24">
        <f>L321</f>
        <v>0</v>
      </c>
      <c r="M320" s="24">
        <f>M321</f>
        <v>1122.2</v>
      </c>
    </row>
    <row r="321" spans="1:13" s="122" customFormat="1" ht="108" customHeight="1" x14ac:dyDescent="0.35">
      <c r="A321" s="11"/>
      <c r="B321" s="510" t="s">
        <v>49</v>
      </c>
      <c r="C321" s="23" t="s">
        <v>128</v>
      </c>
      <c r="D321" s="10" t="s">
        <v>37</v>
      </c>
      <c r="E321" s="10" t="s">
        <v>81</v>
      </c>
      <c r="F321" s="709" t="s">
        <v>131</v>
      </c>
      <c r="G321" s="710" t="s">
        <v>45</v>
      </c>
      <c r="H321" s="710" t="s">
        <v>43</v>
      </c>
      <c r="I321" s="711" t="s">
        <v>133</v>
      </c>
      <c r="J321" s="10" t="s">
        <v>50</v>
      </c>
      <c r="K321" s="24">
        <v>1122.2</v>
      </c>
      <c r="L321" s="24">
        <f>M321-K321</f>
        <v>0</v>
      </c>
      <c r="M321" s="24">
        <v>1122.2</v>
      </c>
    </row>
    <row r="322" spans="1:13" s="122" customFormat="1" ht="18" customHeight="1" x14ac:dyDescent="0.35">
      <c r="A322" s="11"/>
      <c r="B322" s="510" t="s">
        <v>179</v>
      </c>
      <c r="C322" s="23" t="s">
        <v>128</v>
      </c>
      <c r="D322" s="10" t="s">
        <v>224</v>
      </c>
      <c r="E322" s="10"/>
      <c r="F322" s="709"/>
      <c r="G322" s="710"/>
      <c r="H322" s="710"/>
      <c r="I322" s="711"/>
      <c r="J322" s="10"/>
      <c r="K322" s="24">
        <f t="shared" ref="K322:M326" si="46">K323</f>
        <v>47.9</v>
      </c>
      <c r="L322" s="24">
        <f t="shared" si="46"/>
        <v>-8.0069999999999979</v>
      </c>
      <c r="M322" s="24">
        <f t="shared" si="46"/>
        <v>39.893000000000001</v>
      </c>
    </row>
    <row r="323" spans="1:13" s="122" customFormat="1" ht="36" customHeight="1" x14ac:dyDescent="0.35">
      <c r="A323" s="11"/>
      <c r="B323" s="507" t="s">
        <v>530</v>
      </c>
      <c r="C323" s="23" t="s">
        <v>128</v>
      </c>
      <c r="D323" s="10" t="s">
        <v>224</v>
      </c>
      <c r="E323" s="10" t="s">
        <v>65</v>
      </c>
      <c r="F323" s="709"/>
      <c r="G323" s="710"/>
      <c r="H323" s="710"/>
      <c r="I323" s="711"/>
      <c r="J323" s="10"/>
      <c r="K323" s="24">
        <f t="shared" si="46"/>
        <v>47.9</v>
      </c>
      <c r="L323" s="24">
        <f t="shared" si="46"/>
        <v>-8.0069999999999979</v>
      </c>
      <c r="M323" s="24">
        <f t="shared" si="46"/>
        <v>39.893000000000001</v>
      </c>
    </row>
    <row r="324" spans="1:13" s="122" customFormat="1" ht="36" customHeight="1" x14ac:dyDescent="0.35">
      <c r="A324" s="11"/>
      <c r="B324" s="543" t="s">
        <v>130</v>
      </c>
      <c r="C324" s="23" t="s">
        <v>128</v>
      </c>
      <c r="D324" s="10" t="s">
        <v>224</v>
      </c>
      <c r="E324" s="10" t="s">
        <v>65</v>
      </c>
      <c r="F324" s="709" t="s">
        <v>131</v>
      </c>
      <c r="G324" s="710" t="s">
        <v>42</v>
      </c>
      <c r="H324" s="710" t="s">
        <v>43</v>
      </c>
      <c r="I324" s="88" t="s">
        <v>44</v>
      </c>
      <c r="J324" s="10"/>
      <c r="K324" s="24">
        <f t="shared" si="46"/>
        <v>47.9</v>
      </c>
      <c r="L324" s="24">
        <f t="shared" si="46"/>
        <v>-8.0069999999999979</v>
      </c>
      <c r="M324" s="24">
        <f t="shared" si="46"/>
        <v>39.893000000000001</v>
      </c>
    </row>
    <row r="325" spans="1:13" s="122" customFormat="1" ht="36" customHeight="1" x14ac:dyDescent="0.35">
      <c r="A325" s="11"/>
      <c r="B325" s="543" t="s">
        <v>132</v>
      </c>
      <c r="C325" s="23" t="s">
        <v>128</v>
      </c>
      <c r="D325" s="10" t="s">
        <v>224</v>
      </c>
      <c r="E325" s="10" t="s">
        <v>65</v>
      </c>
      <c r="F325" s="709" t="s">
        <v>131</v>
      </c>
      <c r="G325" s="710" t="s">
        <v>45</v>
      </c>
      <c r="H325" s="710" t="s">
        <v>43</v>
      </c>
      <c r="I325" s="88" t="s">
        <v>44</v>
      </c>
      <c r="J325" s="10"/>
      <c r="K325" s="24">
        <f t="shared" si="46"/>
        <v>47.9</v>
      </c>
      <c r="L325" s="24">
        <f t="shared" si="46"/>
        <v>-8.0069999999999979</v>
      </c>
      <c r="M325" s="24">
        <f t="shared" si="46"/>
        <v>39.893000000000001</v>
      </c>
    </row>
    <row r="326" spans="1:13" s="122" customFormat="1" ht="36" customHeight="1" x14ac:dyDescent="0.35">
      <c r="A326" s="11"/>
      <c r="B326" s="507" t="s">
        <v>532</v>
      </c>
      <c r="C326" s="23" t="s">
        <v>128</v>
      </c>
      <c r="D326" s="10" t="s">
        <v>224</v>
      </c>
      <c r="E326" s="10" t="s">
        <v>65</v>
      </c>
      <c r="F326" s="709" t="s">
        <v>131</v>
      </c>
      <c r="G326" s="710" t="s">
        <v>45</v>
      </c>
      <c r="H326" s="710" t="s">
        <v>43</v>
      </c>
      <c r="I326" s="710" t="s">
        <v>531</v>
      </c>
      <c r="J326" s="10"/>
      <c r="K326" s="24">
        <f t="shared" si="46"/>
        <v>47.9</v>
      </c>
      <c r="L326" s="24">
        <f t="shared" si="46"/>
        <v>-8.0069999999999979</v>
      </c>
      <c r="M326" s="24">
        <f t="shared" si="46"/>
        <v>39.893000000000001</v>
      </c>
    </row>
    <row r="327" spans="1:13" s="122" customFormat="1" ht="54" customHeight="1" x14ac:dyDescent="0.35">
      <c r="A327" s="11"/>
      <c r="B327" s="507" t="s">
        <v>55</v>
      </c>
      <c r="C327" s="23" t="s">
        <v>128</v>
      </c>
      <c r="D327" s="10" t="s">
        <v>224</v>
      </c>
      <c r="E327" s="10" t="s">
        <v>65</v>
      </c>
      <c r="F327" s="709" t="s">
        <v>131</v>
      </c>
      <c r="G327" s="710" t="s">
        <v>45</v>
      </c>
      <c r="H327" s="710" t="s">
        <v>43</v>
      </c>
      <c r="I327" s="710" t="s">
        <v>531</v>
      </c>
      <c r="J327" s="496" t="s">
        <v>56</v>
      </c>
      <c r="K327" s="24">
        <v>47.9</v>
      </c>
      <c r="L327" s="24">
        <f>M327-K327</f>
        <v>-8.0069999999999979</v>
      </c>
      <c r="M327" s="24">
        <f>47.9-8.007</f>
        <v>39.893000000000001</v>
      </c>
    </row>
    <row r="328" spans="1:13" s="136" customFormat="1" ht="18" customHeight="1" x14ac:dyDescent="0.35">
      <c r="A328" s="218"/>
      <c r="B328" s="563"/>
      <c r="C328" s="492"/>
      <c r="D328" s="217"/>
      <c r="E328" s="217"/>
      <c r="F328" s="279"/>
      <c r="G328" s="279"/>
      <c r="H328" s="279"/>
      <c r="I328" s="279"/>
      <c r="J328" s="495"/>
      <c r="K328" s="263"/>
      <c r="L328" s="263"/>
      <c r="M328" s="263"/>
    </row>
    <row r="329" spans="1:13" s="130" customFormat="1" ht="52.2" customHeight="1" x14ac:dyDescent="0.3">
      <c r="A329" s="490">
        <v>4</v>
      </c>
      <c r="B329" s="564" t="s">
        <v>6</v>
      </c>
      <c r="C329" s="491" t="s">
        <v>412</v>
      </c>
      <c r="D329" s="493"/>
      <c r="E329" s="493"/>
      <c r="F329" s="126"/>
      <c r="G329" s="127"/>
      <c r="H329" s="127"/>
      <c r="I329" s="128"/>
      <c r="J329" s="493"/>
      <c r="K329" s="494">
        <f>K330+K393+K400+K382+K423+K430</f>
        <v>441700.37600000005</v>
      </c>
      <c r="L329" s="494">
        <f>L330+L393+L400+L382+L423+L430</f>
        <v>-7915.4429400000008</v>
      </c>
      <c r="M329" s="494">
        <f>M330+M393+M400+M382+M423+M430</f>
        <v>433784.93306000001</v>
      </c>
    </row>
    <row r="330" spans="1:13" s="136" customFormat="1" ht="18" customHeight="1" x14ac:dyDescent="0.35">
      <c r="A330" s="131"/>
      <c r="B330" s="554" t="s">
        <v>36</v>
      </c>
      <c r="C330" s="132" t="s">
        <v>412</v>
      </c>
      <c r="D330" s="133" t="s">
        <v>37</v>
      </c>
      <c r="E330" s="89"/>
      <c r="F330" s="134"/>
      <c r="G330" s="87"/>
      <c r="H330" s="87"/>
      <c r="I330" s="88"/>
      <c r="J330" s="89"/>
      <c r="K330" s="135">
        <f>K331</f>
        <v>62397.520030000007</v>
      </c>
      <c r="L330" s="135">
        <f>L331</f>
        <v>-6752.9429400000008</v>
      </c>
      <c r="M330" s="135">
        <f>M331</f>
        <v>55644.577089999999</v>
      </c>
    </row>
    <row r="331" spans="1:13" s="130" customFormat="1" ht="18" customHeight="1" x14ac:dyDescent="0.35">
      <c r="A331" s="131"/>
      <c r="B331" s="554" t="s">
        <v>70</v>
      </c>
      <c r="C331" s="132" t="s">
        <v>412</v>
      </c>
      <c r="D331" s="133" t="s">
        <v>37</v>
      </c>
      <c r="E331" s="133" t="s">
        <v>71</v>
      </c>
      <c r="F331" s="134"/>
      <c r="G331" s="87"/>
      <c r="H331" s="87"/>
      <c r="I331" s="88"/>
      <c r="J331" s="89"/>
      <c r="K331" s="135">
        <f>K332+K371+K366+K377</f>
        <v>62397.520030000007</v>
      </c>
      <c r="L331" s="135">
        <f>L332+L371+L366+L377</f>
        <v>-6752.9429400000008</v>
      </c>
      <c r="M331" s="135">
        <f>M332+M371+M366+M377</f>
        <v>55644.577089999999</v>
      </c>
    </row>
    <row r="332" spans="1:13" s="136" customFormat="1" ht="54" customHeight="1" x14ac:dyDescent="0.35">
      <c r="A332" s="131"/>
      <c r="B332" s="554" t="s">
        <v>225</v>
      </c>
      <c r="C332" s="132" t="s">
        <v>412</v>
      </c>
      <c r="D332" s="133" t="s">
        <v>37</v>
      </c>
      <c r="E332" s="133" t="s">
        <v>71</v>
      </c>
      <c r="F332" s="97" t="s">
        <v>226</v>
      </c>
      <c r="G332" s="87" t="s">
        <v>42</v>
      </c>
      <c r="H332" s="87" t="s">
        <v>43</v>
      </c>
      <c r="I332" s="88" t="s">
        <v>44</v>
      </c>
      <c r="J332" s="89"/>
      <c r="K332" s="135">
        <f>K333+K340+K360</f>
        <v>55474.524000000005</v>
      </c>
      <c r="L332" s="135">
        <f>L333+L340+L360</f>
        <v>-6752.9429400000008</v>
      </c>
      <c r="M332" s="135">
        <f>M333+M340+M360</f>
        <v>48721.581059999997</v>
      </c>
    </row>
    <row r="333" spans="1:13" s="136" customFormat="1" ht="36" customHeight="1" x14ac:dyDescent="0.35">
      <c r="A333" s="131"/>
      <c r="B333" s="554" t="s">
        <v>227</v>
      </c>
      <c r="C333" s="132" t="s">
        <v>412</v>
      </c>
      <c r="D333" s="133" t="s">
        <v>37</v>
      </c>
      <c r="E333" s="133" t="s">
        <v>71</v>
      </c>
      <c r="F333" s="137" t="s">
        <v>226</v>
      </c>
      <c r="G333" s="138" t="s">
        <v>45</v>
      </c>
      <c r="H333" s="138" t="s">
        <v>43</v>
      </c>
      <c r="I333" s="139" t="s">
        <v>44</v>
      </c>
      <c r="J333" s="89"/>
      <c r="K333" s="135">
        <f>K334+K337</f>
        <v>3609.598</v>
      </c>
      <c r="L333" s="135">
        <f>L334+L337</f>
        <v>-254.33300000000008</v>
      </c>
      <c r="M333" s="135">
        <f>M334+M337</f>
        <v>3355.2649999999999</v>
      </c>
    </row>
    <row r="334" spans="1:13" s="136" customFormat="1" ht="90" customHeight="1" x14ac:dyDescent="0.35">
      <c r="A334" s="131"/>
      <c r="B334" s="554" t="s">
        <v>297</v>
      </c>
      <c r="C334" s="132" t="s">
        <v>412</v>
      </c>
      <c r="D334" s="133" t="s">
        <v>37</v>
      </c>
      <c r="E334" s="133" t="s">
        <v>71</v>
      </c>
      <c r="F334" s="86" t="s">
        <v>226</v>
      </c>
      <c r="G334" s="87" t="s">
        <v>45</v>
      </c>
      <c r="H334" s="87" t="s">
        <v>37</v>
      </c>
      <c r="I334" s="88" t="s">
        <v>44</v>
      </c>
      <c r="J334" s="89"/>
      <c r="K334" s="135">
        <f t="shared" ref="K334:M335" si="47">K335</f>
        <v>798</v>
      </c>
      <c r="L334" s="135">
        <f t="shared" si="47"/>
        <v>0</v>
      </c>
      <c r="M334" s="135">
        <f t="shared" si="47"/>
        <v>798</v>
      </c>
    </row>
    <row r="335" spans="1:13" s="136" customFormat="1" ht="54" customHeight="1" x14ac:dyDescent="0.35">
      <c r="A335" s="131"/>
      <c r="B335" s="554" t="s">
        <v>228</v>
      </c>
      <c r="C335" s="132" t="s">
        <v>412</v>
      </c>
      <c r="D335" s="133" t="s">
        <v>37</v>
      </c>
      <c r="E335" s="133" t="s">
        <v>71</v>
      </c>
      <c r="F335" s="86" t="s">
        <v>226</v>
      </c>
      <c r="G335" s="87" t="s">
        <v>45</v>
      </c>
      <c r="H335" s="87" t="s">
        <v>37</v>
      </c>
      <c r="I335" s="88" t="s">
        <v>298</v>
      </c>
      <c r="J335" s="89"/>
      <c r="K335" s="135">
        <f t="shared" si="47"/>
        <v>798</v>
      </c>
      <c r="L335" s="135">
        <f t="shared" si="47"/>
        <v>0</v>
      </c>
      <c r="M335" s="135">
        <f t="shared" si="47"/>
        <v>798</v>
      </c>
    </row>
    <row r="336" spans="1:13" s="130" customFormat="1" ht="54" customHeight="1" x14ac:dyDescent="0.35">
      <c r="A336" s="131"/>
      <c r="B336" s="565" t="s">
        <v>55</v>
      </c>
      <c r="C336" s="132" t="s">
        <v>412</v>
      </c>
      <c r="D336" s="133" t="s">
        <v>37</v>
      </c>
      <c r="E336" s="133" t="s">
        <v>71</v>
      </c>
      <c r="F336" s="86" t="s">
        <v>226</v>
      </c>
      <c r="G336" s="87" t="s">
        <v>45</v>
      </c>
      <c r="H336" s="87" t="s">
        <v>37</v>
      </c>
      <c r="I336" s="88" t="s">
        <v>298</v>
      </c>
      <c r="J336" s="89" t="s">
        <v>56</v>
      </c>
      <c r="K336" s="135">
        <f>798-33+33</f>
        <v>798</v>
      </c>
      <c r="L336" s="24">
        <f>M336-K336</f>
        <v>0</v>
      </c>
      <c r="M336" s="135">
        <f>798-33+33</f>
        <v>798</v>
      </c>
    </row>
    <row r="337" spans="1:14" s="130" customFormat="1" ht="36" customHeight="1" x14ac:dyDescent="0.35">
      <c r="A337" s="131"/>
      <c r="B337" s="565" t="s">
        <v>338</v>
      </c>
      <c r="C337" s="132" t="s">
        <v>412</v>
      </c>
      <c r="D337" s="133" t="s">
        <v>37</v>
      </c>
      <c r="E337" s="133" t="s">
        <v>71</v>
      </c>
      <c r="F337" s="86" t="s">
        <v>226</v>
      </c>
      <c r="G337" s="87" t="s">
        <v>45</v>
      </c>
      <c r="H337" s="87" t="s">
        <v>39</v>
      </c>
      <c r="I337" s="88" t="s">
        <v>44</v>
      </c>
      <c r="J337" s="89"/>
      <c r="K337" s="135">
        <f>K338</f>
        <v>2811.598</v>
      </c>
      <c r="L337" s="135">
        <f>L338</f>
        <v>-254.33300000000008</v>
      </c>
      <c r="M337" s="135">
        <f>M338</f>
        <v>2557.2649999999999</v>
      </c>
    </row>
    <row r="338" spans="1:14" s="130" customFormat="1" ht="36" customHeight="1" x14ac:dyDescent="0.35">
      <c r="A338" s="131"/>
      <c r="B338" s="565" t="s">
        <v>337</v>
      </c>
      <c r="C338" s="132" t="s">
        <v>412</v>
      </c>
      <c r="D338" s="133" t="s">
        <v>37</v>
      </c>
      <c r="E338" s="133" t="s">
        <v>71</v>
      </c>
      <c r="F338" s="86" t="s">
        <v>226</v>
      </c>
      <c r="G338" s="87" t="s">
        <v>45</v>
      </c>
      <c r="H338" s="87" t="s">
        <v>39</v>
      </c>
      <c r="I338" s="88" t="s">
        <v>336</v>
      </c>
      <c r="J338" s="89"/>
      <c r="K338" s="135">
        <f>SUM(K339:K339)</f>
        <v>2811.598</v>
      </c>
      <c r="L338" s="135">
        <f>SUM(L339:L339)</f>
        <v>-254.33300000000008</v>
      </c>
      <c r="M338" s="135">
        <f>SUM(M339:M339)</f>
        <v>2557.2649999999999</v>
      </c>
    </row>
    <row r="339" spans="1:14" s="130" customFormat="1" ht="54" customHeight="1" x14ac:dyDescent="0.35">
      <c r="A339" s="131"/>
      <c r="B339" s="565" t="s">
        <v>55</v>
      </c>
      <c r="C339" s="132" t="s">
        <v>412</v>
      </c>
      <c r="D339" s="133" t="s">
        <v>37</v>
      </c>
      <c r="E339" s="133" t="s">
        <v>71</v>
      </c>
      <c r="F339" s="86" t="s">
        <v>226</v>
      </c>
      <c r="G339" s="87" t="s">
        <v>45</v>
      </c>
      <c r="H339" s="87" t="s">
        <v>39</v>
      </c>
      <c r="I339" s="88" t="s">
        <v>336</v>
      </c>
      <c r="J339" s="89" t="s">
        <v>56</v>
      </c>
      <c r="K339" s="135">
        <f>815.1+58.6+1070.2+7.815+49.7+53.1+0.91+4.47+13.21+410.593+327.9</f>
        <v>2811.598</v>
      </c>
      <c r="L339" s="24">
        <f>M339-K339</f>
        <v>-254.33300000000008</v>
      </c>
      <c r="M339" s="135">
        <f>815.1+58.6+1070.2+7.815+49.7+53.1+0.91+4.47+13.21+410.593+327.9-267.944+13.611</f>
        <v>2557.2649999999999</v>
      </c>
    </row>
    <row r="340" spans="1:14" s="130" customFormat="1" ht="36" customHeight="1" x14ac:dyDescent="0.35">
      <c r="A340" s="131"/>
      <c r="B340" s="554" t="s">
        <v>229</v>
      </c>
      <c r="C340" s="132" t="s">
        <v>412</v>
      </c>
      <c r="D340" s="133" t="s">
        <v>37</v>
      </c>
      <c r="E340" s="133" t="s">
        <v>71</v>
      </c>
      <c r="F340" s="97" t="s">
        <v>226</v>
      </c>
      <c r="G340" s="87" t="s">
        <v>89</v>
      </c>
      <c r="H340" s="87" t="s">
        <v>43</v>
      </c>
      <c r="I340" s="88" t="s">
        <v>44</v>
      </c>
      <c r="J340" s="89"/>
      <c r="K340" s="135">
        <f>K341+K354+K357</f>
        <v>27893.203000000001</v>
      </c>
      <c r="L340" s="135">
        <f>L341+L354+L357</f>
        <v>174.79999999999995</v>
      </c>
      <c r="M340" s="135">
        <f>M341+M354+M357</f>
        <v>28068.003000000001</v>
      </c>
    </row>
    <row r="341" spans="1:14" s="136" customFormat="1" ht="78.75" customHeight="1" x14ac:dyDescent="0.35">
      <c r="A341" s="131"/>
      <c r="B341" s="554" t="s">
        <v>301</v>
      </c>
      <c r="C341" s="132" t="s">
        <v>412</v>
      </c>
      <c r="D341" s="133" t="s">
        <v>37</v>
      </c>
      <c r="E341" s="133" t="s">
        <v>71</v>
      </c>
      <c r="F341" s="97" t="s">
        <v>226</v>
      </c>
      <c r="G341" s="87" t="s">
        <v>89</v>
      </c>
      <c r="H341" s="87" t="s">
        <v>37</v>
      </c>
      <c r="I341" s="88" t="s">
        <v>44</v>
      </c>
      <c r="J341" s="89"/>
      <c r="K341" s="135">
        <f>K342+K346+K350+K352</f>
        <v>27000.400000000001</v>
      </c>
      <c r="L341" s="135">
        <f>L342+L346+L350+L352</f>
        <v>-2.4424906541753444E-15</v>
      </c>
      <c r="M341" s="135">
        <f>M342+M346+M350+M352</f>
        <v>27000.400000000001</v>
      </c>
    </row>
    <row r="342" spans="1:14" s="130" customFormat="1" ht="36" customHeight="1" x14ac:dyDescent="0.35">
      <c r="A342" s="131"/>
      <c r="B342" s="554" t="s">
        <v>47</v>
      </c>
      <c r="C342" s="132" t="s">
        <v>412</v>
      </c>
      <c r="D342" s="133" t="s">
        <v>37</v>
      </c>
      <c r="E342" s="133" t="s">
        <v>71</v>
      </c>
      <c r="F342" s="140" t="s">
        <v>226</v>
      </c>
      <c r="G342" s="138" t="s">
        <v>89</v>
      </c>
      <c r="H342" s="138" t="s">
        <v>37</v>
      </c>
      <c r="I342" s="139" t="s">
        <v>48</v>
      </c>
      <c r="J342" s="89"/>
      <c r="K342" s="135">
        <f>K343+K344+K345</f>
        <v>15663.300000000001</v>
      </c>
      <c r="L342" s="135">
        <f>L343+L344+L345</f>
        <v>-2.4424906541753444E-15</v>
      </c>
      <c r="M342" s="135">
        <f>M343+M344+M345</f>
        <v>15663.300000000001</v>
      </c>
    </row>
    <row r="343" spans="1:14" s="136" customFormat="1" ht="108" customHeight="1" x14ac:dyDescent="0.35">
      <c r="A343" s="131"/>
      <c r="B343" s="554" t="s">
        <v>49</v>
      </c>
      <c r="C343" s="132" t="s">
        <v>412</v>
      </c>
      <c r="D343" s="133" t="s">
        <v>37</v>
      </c>
      <c r="E343" s="133" t="s">
        <v>71</v>
      </c>
      <c r="F343" s="97" t="s">
        <v>226</v>
      </c>
      <c r="G343" s="87" t="s">
        <v>89</v>
      </c>
      <c r="H343" s="87" t="s">
        <v>37</v>
      </c>
      <c r="I343" s="88" t="s">
        <v>48</v>
      </c>
      <c r="J343" s="89" t="s">
        <v>50</v>
      </c>
      <c r="K343" s="135">
        <v>15310.1</v>
      </c>
      <c r="L343" s="24">
        <f>M343-K343</f>
        <v>0</v>
      </c>
      <c r="M343" s="135">
        <v>15310.1</v>
      </c>
    </row>
    <row r="344" spans="1:14" s="136" customFormat="1" ht="54" customHeight="1" x14ac:dyDescent="0.35">
      <c r="A344" s="131"/>
      <c r="B344" s="565" t="s">
        <v>55</v>
      </c>
      <c r="C344" s="132" t="s">
        <v>412</v>
      </c>
      <c r="D344" s="133" t="s">
        <v>37</v>
      </c>
      <c r="E344" s="133" t="s">
        <v>71</v>
      </c>
      <c r="F344" s="97" t="s">
        <v>226</v>
      </c>
      <c r="G344" s="87" t="s">
        <v>89</v>
      </c>
      <c r="H344" s="87" t="s">
        <v>37</v>
      </c>
      <c r="I344" s="88" t="s">
        <v>48</v>
      </c>
      <c r="J344" s="89" t="s">
        <v>56</v>
      </c>
      <c r="K344" s="135">
        <v>352</v>
      </c>
      <c r="L344" s="24">
        <f>M344-K344</f>
        <v>-0.93500000000000227</v>
      </c>
      <c r="M344" s="135">
        <f>352-0.935</f>
        <v>351.065</v>
      </c>
      <c r="N344" s="164"/>
    </row>
    <row r="345" spans="1:14" s="136" customFormat="1" ht="18" customHeight="1" x14ac:dyDescent="0.35">
      <c r="A345" s="131"/>
      <c r="B345" s="554" t="s">
        <v>57</v>
      </c>
      <c r="C345" s="132" t="s">
        <v>412</v>
      </c>
      <c r="D345" s="133" t="s">
        <v>37</v>
      </c>
      <c r="E345" s="133" t="s">
        <v>71</v>
      </c>
      <c r="F345" s="97" t="s">
        <v>226</v>
      </c>
      <c r="G345" s="87" t="s">
        <v>89</v>
      </c>
      <c r="H345" s="87" t="s">
        <v>37</v>
      </c>
      <c r="I345" s="88" t="s">
        <v>48</v>
      </c>
      <c r="J345" s="89" t="s">
        <v>58</v>
      </c>
      <c r="K345" s="135">
        <v>1.2</v>
      </c>
      <c r="L345" s="24">
        <f>M345-K345</f>
        <v>0.93499999999999983</v>
      </c>
      <c r="M345" s="135">
        <f>1.2+0.935</f>
        <v>2.1349999999999998</v>
      </c>
    </row>
    <row r="346" spans="1:14" s="136" customFormat="1" ht="36" customHeight="1" x14ac:dyDescent="0.35">
      <c r="A346" s="131"/>
      <c r="B346" s="543" t="s">
        <v>464</v>
      </c>
      <c r="C346" s="132" t="s">
        <v>412</v>
      </c>
      <c r="D346" s="133" t="s">
        <v>37</v>
      </c>
      <c r="E346" s="133" t="s">
        <v>71</v>
      </c>
      <c r="F346" s="97" t="s">
        <v>226</v>
      </c>
      <c r="G346" s="87" t="s">
        <v>89</v>
      </c>
      <c r="H346" s="87" t="s">
        <v>37</v>
      </c>
      <c r="I346" s="88" t="s">
        <v>91</v>
      </c>
      <c r="J346" s="89"/>
      <c r="K346" s="135">
        <f>K347+K348+K349</f>
        <v>10033.300000000001</v>
      </c>
      <c r="L346" s="135">
        <f>L347+L348+L349</f>
        <v>0</v>
      </c>
      <c r="M346" s="135">
        <f>M347+M348+M349</f>
        <v>10033.300000000001</v>
      </c>
      <c r="N346" s="164"/>
    </row>
    <row r="347" spans="1:14" s="136" customFormat="1" ht="108" customHeight="1" x14ac:dyDescent="0.35">
      <c r="A347" s="131"/>
      <c r="B347" s="554" t="s">
        <v>49</v>
      </c>
      <c r="C347" s="132" t="s">
        <v>412</v>
      </c>
      <c r="D347" s="133" t="s">
        <v>37</v>
      </c>
      <c r="E347" s="133" t="s">
        <v>71</v>
      </c>
      <c r="F347" s="97" t="s">
        <v>226</v>
      </c>
      <c r="G347" s="87" t="s">
        <v>89</v>
      </c>
      <c r="H347" s="87" t="s">
        <v>37</v>
      </c>
      <c r="I347" s="88" t="s">
        <v>91</v>
      </c>
      <c r="J347" s="89" t="s">
        <v>50</v>
      </c>
      <c r="K347" s="135">
        <v>9350.4</v>
      </c>
      <c r="L347" s="24">
        <f>M347-K347</f>
        <v>0</v>
      </c>
      <c r="M347" s="135">
        <v>9350.4</v>
      </c>
      <c r="N347" s="164"/>
    </row>
    <row r="348" spans="1:14" s="136" customFormat="1" ht="54" customHeight="1" x14ac:dyDescent="0.35">
      <c r="A348" s="131"/>
      <c r="B348" s="565" t="s">
        <v>55</v>
      </c>
      <c r="C348" s="132" t="s">
        <v>412</v>
      </c>
      <c r="D348" s="133" t="s">
        <v>37</v>
      </c>
      <c r="E348" s="133" t="s">
        <v>71</v>
      </c>
      <c r="F348" s="140" t="s">
        <v>226</v>
      </c>
      <c r="G348" s="138" t="s">
        <v>89</v>
      </c>
      <c r="H348" s="138" t="s">
        <v>37</v>
      </c>
      <c r="I348" s="139" t="s">
        <v>91</v>
      </c>
      <c r="J348" s="89" t="s">
        <v>56</v>
      </c>
      <c r="K348" s="135">
        <f>623.4+33+3.8</f>
        <v>660.19999999999993</v>
      </c>
      <c r="L348" s="24">
        <f>M348-K348</f>
        <v>0</v>
      </c>
      <c r="M348" s="135">
        <f>623.4+33+3.8</f>
        <v>660.19999999999993</v>
      </c>
    </row>
    <row r="349" spans="1:14" s="136" customFormat="1" ht="18" customHeight="1" x14ac:dyDescent="0.35">
      <c r="A349" s="131"/>
      <c r="B349" s="554" t="s">
        <v>57</v>
      </c>
      <c r="C349" s="132" t="s">
        <v>412</v>
      </c>
      <c r="D349" s="133" t="s">
        <v>37</v>
      </c>
      <c r="E349" s="133" t="s">
        <v>71</v>
      </c>
      <c r="F349" s="97" t="s">
        <v>226</v>
      </c>
      <c r="G349" s="87" t="s">
        <v>89</v>
      </c>
      <c r="H349" s="87" t="s">
        <v>37</v>
      </c>
      <c r="I349" s="88" t="s">
        <v>91</v>
      </c>
      <c r="J349" s="89" t="s">
        <v>58</v>
      </c>
      <c r="K349" s="135">
        <v>22.7</v>
      </c>
      <c r="L349" s="24">
        <f>M349-K349</f>
        <v>0</v>
      </c>
      <c r="M349" s="135">
        <v>22.7</v>
      </c>
      <c r="N349" s="164"/>
    </row>
    <row r="350" spans="1:14" s="136" customFormat="1" ht="54" customHeight="1" x14ac:dyDescent="0.35">
      <c r="A350" s="131"/>
      <c r="B350" s="565" t="s">
        <v>354</v>
      </c>
      <c r="C350" s="177" t="s">
        <v>412</v>
      </c>
      <c r="D350" s="278" t="s">
        <v>37</v>
      </c>
      <c r="E350" s="278" t="s">
        <v>71</v>
      </c>
      <c r="F350" s="97" t="s">
        <v>226</v>
      </c>
      <c r="G350" s="87" t="s">
        <v>89</v>
      </c>
      <c r="H350" s="87" t="s">
        <v>37</v>
      </c>
      <c r="I350" s="88" t="s">
        <v>353</v>
      </c>
      <c r="J350" s="89"/>
      <c r="K350" s="135">
        <f>K351</f>
        <v>983.8</v>
      </c>
      <c r="L350" s="135">
        <f>L351</f>
        <v>0</v>
      </c>
      <c r="M350" s="135">
        <f>M351</f>
        <v>983.8</v>
      </c>
      <c r="N350" s="164"/>
    </row>
    <row r="351" spans="1:14" s="136" customFormat="1" ht="54" customHeight="1" x14ac:dyDescent="0.35">
      <c r="A351" s="131"/>
      <c r="B351" s="566" t="s">
        <v>55</v>
      </c>
      <c r="C351" s="329" t="s">
        <v>412</v>
      </c>
      <c r="D351" s="330" t="s">
        <v>37</v>
      </c>
      <c r="E351" s="330" t="s">
        <v>71</v>
      </c>
      <c r="F351" s="141" t="s">
        <v>226</v>
      </c>
      <c r="G351" s="87" t="s">
        <v>89</v>
      </c>
      <c r="H351" s="87" t="s">
        <v>37</v>
      </c>
      <c r="I351" s="277" t="s">
        <v>353</v>
      </c>
      <c r="J351" s="89" t="s">
        <v>56</v>
      </c>
      <c r="K351" s="135">
        <f>401.3+582.5</f>
        <v>983.8</v>
      </c>
      <c r="L351" s="24">
        <f>M351-K351</f>
        <v>0</v>
      </c>
      <c r="M351" s="135">
        <f>401.3+582.5</f>
        <v>983.8</v>
      </c>
      <c r="N351" s="164"/>
    </row>
    <row r="352" spans="1:14" s="136" customFormat="1" ht="54" customHeight="1" x14ac:dyDescent="0.35">
      <c r="A352" s="630"/>
      <c r="B352" s="631" t="s">
        <v>379</v>
      </c>
      <c r="C352" s="329" t="s">
        <v>412</v>
      </c>
      <c r="D352" s="330" t="s">
        <v>37</v>
      </c>
      <c r="E352" s="330" t="s">
        <v>71</v>
      </c>
      <c r="F352" s="141" t="s">
        <v>226</v>
      </c>
      <c r="G352" s="87" t="s">
        <v>89</v>
      </c>
      <c r="H352" s="87" t="s">
        <v>37</v>
      </c>
      <c r="I352" s="139" t="s">
        <v>378</v>
      </c>
      <c r="J352" s="592"/>
      <c r="K352" s="446">
        <f>K353</f>
        <v>320</v>
      </c>
      <c r="L352" s="24">
        <f>L353</f>
        <v>0</v>
      </c>
      <c r="M352" s="446">
        <f>M353</f>
        <v>320</v>
      </c>
      <c r="N352" s="164"/>
    </row>
    <row r="353" spans="1:14" s="136" customFormat="1" ht="54" customHeight="1" x14ac:dyDescent="0.35">
      <c r="A353" s="630"/>
      <c r="B353" s="566" t="s">
        <v>55</v>
      </c>
      <c r="C353" s="329" t="s">
        <v>412</v>
      </c>
      <c r="D353" s="330" t="s">
        <v>37</v>
      </c>
      <c r="E353" s="330" t="s">
        <v>71</v>
      </c>
      <c r="F353" s="141" t="s">
        <v>226</v>
      </c>
      <c r="G353" s="87" t="s">
        <v>89</v>
      </c>
      <c r="H353" s="87" t="s">
        <v>37</v>
      </c>
      <c r="I353" s="139" t="s">
        <v>378</v>
      </c>
      <c r="J353" s="89" t="s">
        <v>56</v>
      </c>
      <c r="K353" s="446">
        <f>33+17.4+269.6</f>
        <v>320</v>
      </c>
      <c r="L353" s="24">
        <f>M353-K353</f>
        <v>0</v>
      </c>
      <c r="M353" s="446">
        <f>33+17.4+269.6</f>
        <v>320</v>
      </c>
      <c r="N353" s="164"/>
    </row>
    <row r="354" spans="1:14" s="171" customFormat="1" ht="36" customHeight="1" x14ac:dyDescent="0.35">
      <c r="A354" s="166"/>
      <c r="B354" s="567" t="s">
        <v>351</v>
      </c>
      <c r="C354" s="167" t="s">
        <v>412</v>
      </c>
      <c r="D354" s="168" t="s">
        <v>37</v>
      </c>
      <c r="E354" s="168" t="s">
        <v>71</v>
      </c>
      <c r="F354" s="97" t="s">
        <v>226</v>
      </c>
      <c r="G354" s="98" t="s">
        <v>89</v>
      </c>
      <c r="H354" s="98" t="s">
        <v>39</v>
      </c>
      <c r="I354" s="99" t="s">
        <v>44</v>
      </c>
      <c r="J354" s="100"/>
      <c r="K354" s="169">
        <f t="shared" ref="K354:M355" si="48">K355</f>
        <v>814.3</v>
      </c>
      <c r="L354" s="169">
        <f t="shared" si="48"/>
        <v>174.79999999999995</v>
      </c>
      <c r="M354" s="169">
        <f t="shared" si="48"/>
        <v>989.09999999999991</v>
      </c>
      <c r="N354" s="170"/>
    </row>
    <row r="355" spans="1:14" s="171" customFormat="1" ht="54" customHeight="1" x14ac:dyDescent="0.35">
      <c r="A355" s="172"/>
      <c r="B355" s="568" t="s">
        <v>352</v>
      </c>
      <c r="C355" s="132" t="s">
        <v>412</v>
      </c>
      <c r="D355" s="133" t="s">
        <v>37</v>
      </c>
      <c r="E355" s="133" t="s">
        <v>71</v>
      </c>
      <c r="F355" s="141" t="s">
        <v>226</v>
      </c>
      <c r="G355" s="98" t="s">
        <v>89</v>
      </c>
      <c r="H355" s="98" t="s">
        <v>39</v>
      </c>
      <c r="I355" s="99" t="s">
        <v>105</v>
      </c>
      <c r="J355" s="101"/>
      <c r="K355" s="173">
        <f t="shared" si="48"/>
        <v>814.3</v>
      </c>
      <c r="L355" s="173">
        <f t="shared" si="48"/>
        <v>174.79999999999995</v>
      </c>
      <c r="M355" s="173">
        <f t="shared" si="48"/>
        <v>989.09999999999991</v>
      </c>
      <c r="N355" s="170"/>
    </row>
    <row r="356" spans="1:14" s="171" customFormat="1" ht="54" customHeight="1" x14ac:dyDescent="0.35">
      <c r="A356" s="172"/>
      <c r="B356" s="569" t="s">
        <v>55</v>
      </c>
      <c r="C356" s="132" t="s">
        <v>412</v>
      </c>
      <c r="D356" s="133" t="s">
        <v>37</v>
      </c>
      <c r="E356" s="133" t="s">
        <v>71</v>
      </c>
      <c r="F356" s="141" t="s">
        <v>226</v>
      </c>
      <c r="G356" s="103" t="s">
        <v>89</v>
      </c>
      <c r="H356" s="103" t="s">
        <v>39</v>
      </c>
      <c r="I356" s="174" t="s">
        <v>105</v>
      </c>
      <c r="J356" s="175" t="s">
        <v>56</v>
      </c>
      <c r="K356" s="262">
        <f>791.9+22.4</f>
        <v>814.3</v>
      </c>
      <c r="L356" s="24">
        <f>M356-K356</f>
        <v>174.79999999999995</v>
      </c>
      <c r="M356" s="262">
        <f>791.9+22.4+137.8+37</f>
        <v>989.09999999999991</v>
      </c>
      <c r="N356" s="170"/>
    </row>
    <row r="357" spans="1:14" s="171" customFormat="1" ht="36" customHeight="1" x14ac:dyDescent="0.35">
      <c r="A357" s="172"/>
      <c r="B357" s="570" t="s">
        <v>374</v>
      </c>
      <c r="C357" s="132" t="s">
        <v>412</v>
      </c>
      <c r="D357" s="133" t="s">
        <v>37</v>
      </c>
      <c r="E357" s="133" t="s">
        <v>71</v>
      </c>
      <c r="F357" s="141" t="s">
        <v>226</v>
      </c>
      <c r="G357" s="98" t="s">
        <v>89</v>
      </c>
      <c r="H357" s="98" t="s">
        <v>63</v>
      </c>
      <c r="I357" s="99" t="s">
        <v>44</v>
      </c>
      <c r="J357" s="101"/>
      <c r="K357" s="173">
        <f t="shared" ref="K357:M358" si="49">K358</f>
        <v>78.502999999999986</v>
      </c>
      <c r="L357" s="173">
        <f t="shared" si="49"/>
        <v>0</v>
      </c>
      <c r="M357" s="173">
        <f t="shared" si="49"/>
        <v>78.502999999999986</v>
      </c>
      <c r="N357" s="170"/>
    </row>
    <row r="358" spans="1:14" s="171" customFormat="1" ht="36" customHeight="1" x14ac:dyDescent="0.35">
      <c r="A358" s="172"/>
      <c r="B358" s="570" t="s">
        <v>337</v>
      </c>
      <c r="C358" s="132" t="s">
        <v>412</v>
      </c>
      <c r="D358" s="133" t="s">
        <v>37</v>
      </c>
      <c r="E358" s="133" t="s">
        <v>71</v>
      </c>
      <c r="F358" s="102" t="s">
        <v>226</v>
      </c>
      <c r="G358" s="103" t="s">
        <v>89</v>
      </c>
      <c r="H358" s="103" t="s">
        <v>63</v>
      </c>
      <c r="I358" s="174" t="s">
        <v>336</v>
      </c>
      <c r="J358" s="101"/>
      <c r="K358" s="173">
        <f t="shared" si="49"/>
        <v>78.502999999999986</v>
      </c>
      <c r="L358" s="173">
        <f t="shared" si="49"/>
        <v>0</v>
      </c>
      <c r="M358" s="173">
        <f t="shared" si="49"/>
        <v>78.502999999999986</v>
      </c>
      <c r="N358" s="170"/>
    </row>
    <row r="359" spans="1:14" s="171" customFormat="1" ht="18" customHeight="1" x14ac:dyDescent="0.35">
      <c r="A359" s="176"/>
      <c r="B359" s="554" t="s">
        <v>57</v>
      </c>
      <c r="C359" s="177" t="s">
        <v>412</v>
      </c>
      <c r="D359" s="133" t="s">
        <v>37</v>
      </c>
      <c r="E359" s="133" t="s">
        <v>71</v>
      </c>
      <c r="F359" s="97" t="s">
        <v>226</v>
      </c>
      <c r="G359" s="98" t="s">
        <v>89</v>
      </c>
      <c r="H359" s="98" t="s">
        <v>63</v>
      </c>
      <c r="I359" s="99" t="s">
        <v>336</v>
      </c>
      <c r="J359" s="101" t="s">
        <v>58</v>
      </c>
      <c r="K359" s="262">
        <f>12.5+56.403+9.6</f>
        <v>78.502999999999986</v>
      </c>
      <c r="L359" s="24">
        <f>M359-K359</f>
        <v>0</v>
      </c>
      <c r="M359" s="262">
        <f>12.5+56.403+9.6</f>
        <v>78.502999999999986</v>
      </c>
      <c r="N359" s="170"/>
    </row>
    <row r="360" spans="1:14" s="171" customFormat="1" ht="36" customHeight="1" x14ac:dyDescent="0.35">
      <c r="A360" s="176"/>
      <c r="B360" s="571" t="s">
        <v>339</v>
      </c>
      <c r="C360" s="177" t="s">
        <v>412</v>
      </c>
      <c r="D360" s="133" t="s">
        <v>37</v>
      </c>
      <c r="E360" s="133" t="s">
        <v>71</v>
      </c>
      <c r="F360" s="97" t="s">
        <v>226</v>
      </c>
      <c r="G360" s="98" t="s">
        <v>30</v>
      </c>
      <c r="H360" s="98" t="s">
        <v>43</v>
      </c>
      <c r="I360" s="99" t="s">
        <v>44</v>
      </c>
      <c r="J360" s="101"/>
      <c r="K360" s="433">
        <f t="shared" ref="K360:M361" si="50">K361</f>
        <v>23971.723000000002</v>
      </c>
      <c r="L360" s="433">
        <f t="shared" si="50"/>
        <v>-6673.4099400000005</v>
      </c>
      <c r="M360" s="433">
        <f t="shared" si="50"/>
        <v>17298.31306</v>
      </c>
      <c r="N360" s="170"/>
    </row>
    <row r="361" spans="1:14" s="171" customFormat="1" ht="36" customHeight="1" x14ac:dyDescent="0.35">
      <c r="A361" s="464"/>
      <c r="B361" s="572" t="s">
        <v>374</v>
      </c>
      <c r="C361" s="456" t="s">
        <v>412</v>
      </c>
      <c r="D361" s="465" t="s">
        <v>37</v>
      </c>
      <c r="E361" s="465" t="s">
        <v>71</v>
      </c>
      <c r="F361" s="466" t="s">
        <v>226</v>
      </c>
      <c r="G361" s="467" t="s">
        <v>30</v>
      </c>
      <c r="H361" s="467" t="s">
        <v>226</v>
      </c>
      <c r="I361" s="468" t="s">
        <v>44</v>
      </c>
      <c r="J361" s="469"/>
      <c r="K361" s="433">
        <f t="shared" si="50"/>
        <v>23971.723000000002</v>
      </c>
      <c r="L361" s="433">
        <f t="shared" si="50"/>
        <v>-6673.4099400000005</v>
      </c>
      <c r="M361" s="433">
        <f t="shared" si="50"/>
        <v>17298.31306</v>
      </c>
      <c r="N361" s="170"/>
    </row>
    <row r="362" spans="1:14" s="171" customFormat="1" ht="36" customHeight="1" x14ac:dyDescent="0.35">
      <c r="A362" s="635"/>
      <c r="B362" s="636" t="s">
        <v>337</v>
      </c>
      <c r="C362" s="167" t="s">
        <v>412</v>
      </c>
      <c r="D362" s="458" t="s">
        <v>37</v>
      </c>
      <c r="E362" s="458" t="s">
        <v>71</v>
      </c>
      <c r="F362" s="459" t="s">
        <v>226</v>
      </c>
      <c r="G362" s="460" t="s">
        <v>30</v>
      </c>
      <c r="H362" s="460" t="s">
        <v>226</v>
      </c>
      <c r="I362" s="461" t="s">
        <v>336</v>
      </c>
      <c r="J362" s="462"/>
      <c r="K362" s="463">
        <f>K363+K364+K365</f>
        <v>23971.723000000002</v>
      </c>
      <c r="L362" s="463">
        <f>L363+L364+L365</f>
        <v>-6673.4099400000005</v>
      </c>
      <c r="M362" s="463">
        <f>M363+M364+M365</f>
        <v>17298.31306</v>
      </c>
      <c r="N362" s="170"/>
    </row>
    <row r="363" spans="1:14" s="171" customFormat="1" ht="54" customHeight="1" x14ac:dyDescent="0.35">
      <c r="A363" s="598"/>
      <c r="B363" s="632" t="s">
        <v>55</v>
      </c>
      <c r="C363" s="329" t="s">
        <v>412</v>
      </c>
      <c r="D363" s="633" t="s">
        <v>37</v>
      </c>
      <c r="E363" s="458" t="s">
        <v>71</v>
      </c>
      <c r="F363" s="459" t="s">
        <v>226</v>
      </c>
      <c r="G363" s="460" t="s">
        <v>30</v>
      </c>
      <c r="H363" s="460" t="s">
        <v>226</v>
      </c>
      <c r="I363" s="461" t="s">
        <v>336</v>
      </c>
      <c r="J363" s="462" t="s">
        <v>56</v>
      </c>
      <c r="K363" s="463">
        <f>96+580+1270.7+98.913+1618.41+98.1-98.1</f>
        <v>3664.0230000000001</v>
      </c>
      <c r="L363" s="24">
        <f>M363-K363</f>
        <v>54.146000000000186</v>
      </c>
      <c r="M363" s="463">
        <f>96+580+1270.7+98.913+1618.41+98.1-98.1+267.944-230.751-70.711+87.664</f>
        <v>3718.1690000000003</v>
      </c>
      <c r="N363" s="170"/>
    </row>
    <row r="364" spans="1:14" s="171" customFormat="1" ht="54" customHeight="1" x14ac:dyDescent="0.35">
      <c r="A364" s="598"/>
      <c r="B364" s="637" t="s">
        <v>203</v>
      </c>
      <c r="C364" s="638" t="s">
        <v>412</v>
      </c>
      <c r="D364" s="634" t="s">
        <v>37</v>
      </c>
      <c r="E364" s="488" t="s">
        <v>71</v>
      </c>
      <c r="F364" s="378" t="s">
        <v>226</v>
      </c>
      <c r="G364" s="380" t="s">
        <v>30</v>
      </c>
      <c r="H364" s="380" t="s">
        <v>226</v>
      </c>
      <c r="I364" s="381" t="s">
        <v>336</v>
      </c>
      <c r="J364" s="498" t="s">
        <v>204</v>
      </c>
      <c r="K364" s="463">
        <f>21000-900</f>
        <v>20100</v>
      </c>
      <c r="L364" s="24">
        <f>M364-K364</f>
        <v>-6752.9429400000008</v>
      </c>
      <c r="M364" s="463">
        <f>21000-900-6752.94294</f>
        <v>13347.057059999999</v>
      </c>
      <c r="N364" s="170"/>
    </row>
    <row r="365" spans="1:14" s="171" customFormat="1" ht="18" customHeight="1" x14ac:dyDescent="0.35">
      <c r="A365" s="598"/>
      <c r="B365" s="563" t="s">
        <v>57</v>
      </c>
      <c r="C365" s="329" t="s">
        <v>412</v>
      </c>
      <c r="D365" s="639" t="s">
        <v>37</v>
      </c>
      <c r="E365" s="133" t="s">
        <v>71</v>
      </c>
      <c r="F365" s="97" t="s">
        <v>226</v>
      </c>
      <c r="G365" s="98" t="s">
        <v>30</v>
      </c>
      <c r="H365" s="98" t="s">
        <v>226</v>
      </c>
      <c r="I365" s="99" t="s">
        <v>336</v>
      </c>
      <c r="J365" s="443" t="s">
        <v>58</v>
      </c>
      <c r="K365" s="433">
        <f>91.8+17.8+98.1</f>
        <v>207.7</v>
      </c>
      <c r="L365" s="24">
        <f>M365-K365</f>
        <v>25.387</v>
      </c>
      <c r="M365" s="433">
        <f>91.8+17.8+98.1+25.387</f>
        <v>233.08699999999999</v>
      </c>
      <c r="N365" s="170"/>
    </row>
    <row r="366" spans="1:14" s="171" customFormat="1" ht="54" customHeight="1" x14ac:dyDescent="0.35">
      <c r="A366" s="457"/>
      <c r="B366" s="640" t="s">
        <v>230</v>
      </c>
      <c r="C366" s="641" t="s">
        <v>412</v>
      </c>
      <c r="D366" s="133" t="s">
        <v>37</v>
      </c>
      <c r="E366" s="133" t="s">
        <v>71</v>
      </c>
      <c r="F366" s="104" t="s">
        <v>79</v>
      </c>
      <c r="G366" s="105" t="s">
        <v>42</v>
      </c>
      <c r="H366" s="105" t="s">
        <v>43</v>
      </c>
      <c r="I366" s="106" t="s">
        <v>44</v>
      </c>
      <c r="J366" s="107"/>
      <c r="K366" s="433">
        <f t="shared" ref="K366:M369" si="51">K367</f>
        <v>81.324029999999993</v>
      </c>
      <c r="L366" s="433">
        <f t="shared" si="51"/>
        <v>0</v>
      </c>
      <c r="M366" s="433">
        <f t="shared" si="51"/>
        <v>81.324029999999993</v>
      </c>
      <c r="N366" s="170"/>
    </row>
    <row r="367" spans="1:14" s="171" customFormat="1" ht="36" customHeight="1" x14ac:dyDescent="0.35">
      <c r="A367" s="176"/>
      <c r="B367" s="565" t="s">
        <v>339</v>
      </c>
      <c r="C367" s="143" t="s">
        <v>412</v>
      </c>
      <c r="D367" s="133" t="s">
        <v>37</v>
      </c>
      <c r="E367" s="133" t="s">
        <v>71</v>
      </c>
      <c r="F367" s="104" t="s">
        <v>79</v>
      </c>
      <c r="G367" s="105" t="s">
        <v>45</v>
      </c>
      <c r="H367" s="105" t="s">
        <v>43</v>
      </c>
      <c r="I367" s="106" t="s">
        <v>44</v>
      </c>
      <c r="J367" s="107"/>
      <c r="K367" s="433">
        <f t="shared" si="51"/>
        <v>81.324029999999993</v>
      </c>
      <c r="L367" s="433">
        <f t="shared" si="51"/>
        <v>0</v>
      </c>
      <c r="M367" s="433">
        <f t="shared" si="51"/>
        <v>81.324029999999993</v>
      </c>
      <c r="N367" s="170"/>
    </row>
    <row r="368" spans="1:14" s="171" customFormat="1" ht="90" customHeight="1" x14ac:dyDescent="0.35">
      <c r="A368" s="176"/>
      <c r="B368" s="565" t="s">
        <v>300</v>
      </c>
      <c r="C368" s="143" t="s">
        <v>412</v>
      </c>
      <c r="D368" s="133" t="s">
        <v>37</v>
      </c>
      <c r="E368" s="133" t="s">
        <v>71</v>
      </c>
      <c r="F368" s="104" t="s">
        <v>79</v>
      </c>
      <c r="G368" s="105" t="s">
        <v>45</v>
      </c>
      <c r="H368" s="105" t="s">
        <v>39</v>
      </c>
      <c r="I368" s="106" t="s">
        <v>44</v>
      </c>
      <c r="J368" s="107"/>
      <c r="K368" s="433">
        <f t="shared" si="51"/>
        <v>81.324029999999993</v>
      </c>
      <c r="L368" s="433">
        <f t="shared" si="51"/>
        <v>0</v>
      </c>
      <c r="M368" s="433">
        <f t="shared" si="51"/>
        <v>81.324029999999993</v>
      </c>
      <c r="N368" s="170"/>
    </row>
    <row r="369" spans="1:14" s="171" customFormat="1" ht="108" customHeight="1" x14ac:dyDescent="0.35">
      <c r="A369" s="176"/>
      <c r="B369" s="554" t="s">
        <v>414</v>
      </c>
      <c r="C369" s="132" t="s">
        <v>412</v>
      </c>
      <c r="D369" s="133" t="s">
        <v>37</v>
      </c>
      <c r="E369" s="133" t="s">
        <v>71</v>
      </c>
      <c r="F369" s="86" t="s">
        <v>79</v>
      </c>
      <c r="G369" s="87" t="s">
        <v>45</v>
      </c>
      <c r="H369" s="87" t="s">
        <v>39</v>
      </c>
      <c r="I369" s="108" t="s">
        <v>415</v>
      </c>
      <c r="J369" s="89"/>
      <c r="K369" s="433">
        <f t="shared" si="51"/>
        <v>81.324029999999993</v>
      </c>
      <c r="L369" s="433">
        <f t="shared" si="51"/>
        <v>0</v>
      </c>
      <c r="M369" s="433">
        <f t="shared" si="51"/>
        <v>81.324029999999993</v>
      </c>
      <c r="N369" s="170"/>
    </row>
    <row r="370" spans="1:14" s="171" customFormat="1" ht="54" customHeight="1" x14ac:dyDescent="0.35">
      <c r="A370" s="176"/>
      <c r="B370" s="565" t="s">
        <v>55</v>
      </c>
      <c r="C370" s="132" t="s">
        <v>412</v>
      </c>
      <c r="D370" s="133" t="s">
        <v>37</v>
      </c>
      <c r="E370" s="133" t="s">
        <v>71</v>
      </c>
      <c r="F370" s="86" t="s">
        <v>79</v>
      </c>
      <c r="G370" s="87" t="s">
        <v>45</v>
      </c>
      <c r="H370" s="87" t="s">
        <v>39</v>
      </c>
      <c r="I370" s="108" t="s">
        <v>415</v>
      </c>
      <c r="J370" s="443" t="s">
        <v>56</v>
      </c>
      <c r="K370" s="433">
        <f>75.3+6.02403</f>
        <v>81.324029999999993</v>
      </c>
      <c r="L370" s="24">
        <f>M370-K370</f>
        <v>0</v>
      </c>
      <c r="M370" s="433">
        <f>75.3+6.02403</f>
        <v>81.324029999999993</v>
      </c>
      <c r="N370" s="170"/>
    </row>
    <row r="371" spans="1:14" s="136" customFormat="1" ht="54" customHeight="1" x14ac:dyDescent="0.35">
      <c r="A371" s="131"/>
      <c r="B371" s="571" t="s">
        <v>40</v>
      </c>
      <c r="C371" s="132" t="s">
        <v>412</v>
      </c>
      <c r="D371" s="133" t="s">
        <v>37</v>
      </c>
      <c r="E371" s="133" t="s">
        <v>71</v>
      </c>
      <c r="F371" s="141" t="s">
        <v>41</v>
      </c>
      <c r="G371" s="87" t="s">
        <v>42</v>
      </c>
      <c r="H371" s="87" t="s">
        <v>43</v>
      </c>
      <c r="I371" s="88" t="s">
        <v>44</v>
      </c>
      <c r="J371" s="89"/>
      <c r="K371" s="269">
        <f t="shared" ref="K371:M373" si="52">K372</f>
        <v>6227.4000000000005</v>
      </c>
      <c r="L371" s="269">
        <f t="shared" si="52"/>
        <v>0</v>
      </c>
      <c r="M371" s="269">
        <f t="shared" si="52"/>
        <v>6227.4000000000005</v>
      </c>
      <c r="N371" s="164"/>
    </row>
    <row r="372" spans="1:14" s="136" customFormat="1" ht="36" customHeight="1" x14ac:dyDescent="0.35">
      <c r="A372" s="131"/>
      <c r="B372" s="565" t="s">
        <v>339</v>
      </c>
      <c r="C372" s="132" t="s">
        <v>412</v>
      </c>
      <c r="D372" s="133" t="s">
        <v>37</v>
      </c>
      <c r="E372" s="133" t="s">
        <v>71</v>
      </c>
      <c r="F372" s="97" t="s">
        <v>41</v>
      </c>
      <c r="G372" s="87" t="s">
        <v>45</v>
      </c>
      <c r="H372" s="87" t="s">
        <v>43</v>
      </c>
      <c r="I372" s="88" t="s">
        <v>44</v>
      </c>
      <c r="J372" s="89"/>
      <c r="K372" s="135">
        <f t="shared" si="52"/>
        <v>6227.4000000000005</v>
      </c>
      <c r="L372" s="135">
        <f t="shared" si="52"/>
        <v>0</v>
      </c>
      <c r="M372" s="135">
        <f t="shared" si="52"/>
        <v>6227.4000000000005</v>
      </c>
      <c r="N372" s="164"/>
    </row>
    <row r="373" spans="1:14" s="136" customFormat="1" ht="72" customHeight="1" x14ac:dyDescent="0.35">
      <c r="A373" s="131"/>
      <c r="B373" s="554" t="s">
        <v>299</v>
      </c>
      <c r="C373" s="132" t="s">
        <v>412</v>
      </c>
      <c r="D373" s="133" t="s">
        <v>37</v>
      </c>
      <c r="E373" s="133" t="s">
        <v>71</v>
      </c>
      <c r="F373" s="97" t="s">
        <v>41</v>
      </c>
      <c r="G373" s="87" t="s">
        <v>45</v>
      </c>
      <c r="H373" s="87" t="s">
        <v>81</v>
      </c>
      <c r="I373" s="88" t="s">
        <v>44</v>
      </c>
      <c r="J373" s="89"/>
      <c r="K373" s="135">
        <f t="shared" si="52"/>
        <v>6227.4000000000005</v>
      </c>
      <c r="L373" s="135">
        <f t="shared" si="52"/>
        <v>0</v>
      </c>
      <c r="M373" s="135">
        <f t="shared" si="52"/>
        <v>6227.4000000000005</v>
      </c>
      <c r="N373" s="164"/>
    </row>
    <row r="374" spans="1:14" s="136" customFormat="1" ht="36" customHeight="1" x14ac:dyDescent="0.35">
      <c r="A374" s="131"/>
      <c r="B374" s="543" t="s">
        <v>464</v>
      </c>
      <c r="C374" s="132" t="s">
        <v>412</v>
      </c>
      <c r="D374" s="133" t="s">
        <v>37</v>
      </c>
      <c r="E374" s="133" t="s">
        <v>71</v>
      </c>
      <c r="F374" s="97" t="s">
        <v>41</v>
      </c>
      <c r="G374" s="87" t="s">
        <v>45</v>
      </c>
      <c r="H374" s="87" t="s">
        <v>81</v>
      </c>
      <c r="I374" s="88" t="s">
        <v>91</v>
      </c>
      <c r="J374" s="89"/>
      <c r="K374" s="280">
        <f>K375+K376</f>
        <v>6227.4000000000005</v>
      </c>
      <c r="L374" s="280">
        <f>L375+L376</f>
        <v>0</v>
      </c>
      <c r="M374" s="280">
        <f>M375+M376</f>
        <v>6227.4000000000005</v>
      </c>
      <c r="N374" s="164"/>
    </row>
    <row r="375" spans="1:14" s="136" customFormat="1" ht="108" customHeight="1" x14ac:dyDescent="0.35">
      <c r="A375" s="131"/>
      <c r="B375" s="554" t="s">
        <v>49</v>
      </c>
      <c r="C375" s="132" t="s">
        <v>412</v>
      </c>
      <c r="D375" s="133" t="s">
        <v>37</v>
      </c>
      <c r="E375" s="133" t="s">
        <v>71</v>
      </c>
      <c r="F375" s="97" t="s">
        <v>41</v>
      </c>
      <c r="G375" s="87" t="s">
        <v>45</v>
      </c>
      <c r="H375" s="87" t="s">
        <v>81</v>
      </c>
      <c r="I375" s="88" t="s">
        <v>91</v>
      </c>
      <c r="J375" s="89" t="s">
        <v>50</v>
      </c>
      <c r="K375" s="263">
        <v>5728.3</v>
      </c>
      <c r="L375" s="24">
        <f>M375-K375</f>
        <v>0</v>
      </c>
      <c r="M375" s="263">
        <v>5728.3</v>
      </c>
      <c r="N375" s="164"/>
    </row>
    <row r="376" spans="1:14" s="136" customFormat="1" ht="54" customHeight="1" x14ac:dyDescent="0.35">
      <c r="A376" s="131"/>
      <c r="B376" s="565" t="s">
        <v>55</v>
      </c>
      <c r="C376" s="132" t="s">
        <v>412</v>
      </c>
      <c r="D376" s="133" t="s">
        <v>37</v>
      </c>
      <c r="E376" s="133" t="s">
        <v>71</v>
      </c>
      <c r="F376" s="97" t="s">
        <v>41</v>
      </c>
      <c r="G376" s="87" t="s">
        <v>45</v>
      </c>
      <c r="H376" s="87" t="s">
        <v>81</v>
      </c>
      <c r="I376" s="88" t="s">
        <v>91</v>
      </c>
      <c r="J376" s="89" t="s">
        <v>56</v>
      </c>
      <c r="K376" s="263">
        <f>458.7+40.4</f>
        <v>499.09999999999997</v>
      </c>
      <c r="L376" s="24">
        <f>M376-K376</f>
        <v>0</v>
      </c>
      <c r="M376" s="263">
        <f>458.7+40.4</f>
        <v>499.09999999999997</v>
      </c>
      <c r="N376" s="164"/>
    </row>
    <row r="377" spans="1:14" s="136" customFormat="1" ht="108" x14ac:dyDescent="0.35">
      <c r="A377" s="131"/>
      <c r="B377" s="565" t="s">
        <v>680</v>
      </c>
      <c r="C377" s="132" t="s">
        <v>412</v>
      </c>
      <c r="D377" s="133" t="s">
        <v>37</v>
      </c>
      <c r="E377" s="133" t="s">
        <v>71</v>
      </c>
      <c r="F377" s="97" t="s">
        <v>681</v>
      </c>
      <c r="G377" s="105" t="s">
        <v>42</v>
      </c>
      <c r="H377" s="105" t="s">
        <v>43</v>
      </c>
      <c r="I377" s="106" t="s">
        <v>44</v>
      </c>
      <c r="J377" s="89"/>
      <c r="K377" s="263">
        <f t="shared" ref="K377:M380" si="53">K378</f>
        <v>614.27200000000005</v>
      </c>
      <c r="L377" s="24">
        <f t="shared" si="53"/>
        <v>0</v>
      </c>
      <c r="M377" s="263">
        <f t="shared" si="53"/>
        <v>614.27200000000005</v>
      </c>
      <c r="N377" s="164"/>
    </row>
    <row r="378" spans="1:14" s="136" customFormat="1" ht="108" x14ac:dyDescent="0.35">
      <c r="A378" s="131"/>
      <c r="B378" s="565" t="s">
        <v>682</v>
      </c>
      <c r="C378" s="132" t="s">
        <v>412</v>
      </c>
      <c r="D378" s="133" t="s">
        <v>37</v>
      </c>
      <c r="E378" s="133" t="s">
        <v>71</v>
      </c>
      <c r="F378" s="97" t="s">
        <v>681</v>
      </c>
      <c r="G378" s="87" t="s">
        <v>89</v>
      </c>
      <c r="H378" s="87" t="s">
        <v>43</v>
      </c>
      <c r="I378" s="88" t="s">
        <v>44</v>
      </c>
      <c r="J378" s="89"/>
      <c r="K378" s="263">
        <f t="shared" si="53"/>
        <v>614.27200000000005</v>
      </c>
      <c r="L378" s="24">
        <f t="shared" si="53"/>
        <v>0</v>
      </c>
      <c r="M378" s="263">
        <f t="shared" si="53"/>
        <v>614.27200000000005</v>
      </c>
      <c r="N378" s="164"/>
    </row>
    <row r="379" spans="1:14" s="136" customFormat="1" ht="90" x14ac:dyDescent="0.35">
      <c r="A379" s="131"/>
      <c r="B379" s="565" t="s">
        <v>734</v>
      </c>
      <c r="C379" s="132" t="s">
        <v>412</v>
      </c>
      <c r="D379" s="133" t="s">
        <v>37</v>
      </c>
      <c r="E379" s="133" t="s">
        <v>71</v>
      </c>
      <c r="F379" s="97" t="s">
        <v>681</v>
      </c>
      <c r="G379" s="87" t="s">
        <v>89</v>
      </c>
      <c r="H379" s="87" t="s">
        <v>81</v>
      </c>
      <c r="I379" s="88" t="s">
        <v>44</v>
      </c>
      <c r="J379" s="89"/>
      <c r="K379" s="263">
        <f t="shared" si="53"/>
        <v>614.27200000000005</v>
      </c>
      <c r="L379" s="24">
        <f t="shared" si="53"/>
        <v>0</v>
      </c>
      <c r="M379" s="263">
        <f t="shared" si="53"/>
        <v>614.27200000000005</v>
      </c>
      <c r="N379" s="164"/>
    </row>
    <row r="380" spans="1:14" s="136" customFormat="1" ht="36" x14ac:dyDescent="0.35">
      <c r="A380" s="131"/>
      <c r="B380" s="565" t="s">
        <v>444</v>
      </c>
      <c r="C380" s="132" t="s">
        <v>412</v>
      </c>
      <c r="D380" s="133" t="s">
        <v>37</v>
      </c>
      <c r="E380" s="133" t="s">
        <v>71</v>
      </c>
      <c r="F380" s="97" t="s">
        <v>681</v>
      </c>
      <c r="G380" s="87" t="s">
        <v>89</v>
      </c>
      <c r="H380" s="87" t="s">
        <v>81</v>
      </c>
      <c r="I380" s="88" t="s">
        <v>69</v>
      </c>
      <c r="J380" s="89"/>
      <c r="K380" s="263">
        <f t="shared" si="53"/>
        <v>614.27200000000005</v>
      </c>
      <c r="L380" s="24">
        <f t="shared" si="53"/>
        <v>0</v>
      </c>
      <c r="M380" s="263">
        <f t="shared" si="53"/>
        <v>614.27200000000005</v>
      </c>
      <c r="N380" s="164"/>
    </row>
    <row r="381" spans="1:14" s="136" customFormat="1" ht="54" customHeight="1" x14ac:dyDescent="0.35">
      <c r="A381" s="131"/>
      <c r="B381" s="565" t="s">
        <v>55</v>
      </c>
      <c r="C381" s="132" t="s">
        <v>412</v>
      </c>
      <c r="D381" s="133" t="s">
        <v>37</v>
      </c>
      <c r="E381" s="133" t="s">
        <v>71</v>
      </c>
      <c r="F381" s="97" t="s">
        <v>681</v>
      </c>
      <c r="G381" s="87" t="s">
        <v>89</v>
      </c>
      <c r="H381" s="87" t="s">
        <v>81</v>
      </c>
      <c r="I381" s="88" t="s">
        <v>69</v>
      </c>
      <c r="J381" s="89" t="s">
        <v>56</v>
      </c>
      <c r="K381" s="263">
        <v>614.27200000000005</v>
      </c>
      <c r="L381" s="24">
        <f>M381-K381</f>
        <v>0</v>
      </c>
      <c r="M381" s="263">
        <v>614.27200000000005</v>
      </c>
      <c r="N381" s="164"/>
    </row>
    <row r="382" spans="1:14" s="136" customFormat="1" ht="18" customHeight="1" x14ac:dyDescent="0.35">
      <c r="A382" s="131"/>
      <c r="B382" s="565" t="s">
        <v>92</v>
      </c>
      <c r="C382" s="132" t="s">
        <v>412</v>
      </c>
      <c r="D382" s="133" t="s">
        <v>52</v>
      </c>
      <c r="E382" s="133"/>
      <c r="F382" s="97"/>
      <c r="G382" s="87"/>
      <c r="H382" s="87"/>
      <c r="I382" s="88"/>
      <c r="J382" s="89"/>
      <c r="K382" s="269">
        <f t="shared" ref="K382:M387" si="54">K383</f>
        <v>1089.4000000000001</v>
      </c>
      <c r="L382" s="269">
        <f t="shared" si="54"/>
        <v>0</v>
      </c>
      <c r="M382" s="269">
        <f t="shared" si="54"/>
        <v>1089.4000000000001</v>
      </c>
      <c r="N382" s="164"/>
    </row>
    <row r="383" spans="1:14" s="136" customFormat="1" ht="36" customHeight="1" x14ac:dyDescent="0.35">
      <c r="A383" s="131"/>
      <c r="B383" s="574" t="s">
        <v>106</v>
      </c>
      <c r="C383" s="132" t="s">
        <v>412</v>
      </c>
      <c r="D383" s="133" t="s">
        <v>52</v>
      </c>
      <c r="E383" s="133" t="s">
        <v>100</v>
      </c>
      <c r="F383" s="97"/>
      <c r="G383" s="87"/>
      <c r="H383" s="87"/>
      <c r="I383" s="88"/>
      <c r="J383" s="89"/>
      <c r="K383" s="135">
        <f t="shared" si="54"/>
        <v>1089.4000000000001</v>
      </c>
      <c r="L383" s="135">
        <f t="shared" si="54"/>
        <v>0</v>
      </c>
      <c r="M383" s="135">
        <f t="shared" si="54"/>
        <v>1089.4000000000001</v>
      </c>
      <c r="N383" s="164"/>
    </row>
    <row r="384" spans="1:14" s="136" customFormat="1" ht="54" customHeight="1" x14ac:dyDescent="0.35">
      <c r="A384" s="131"/>
      <c r="B384" s="554" t="s">
        <v>225</v>
      </c>
      <c r="C384" s="132" t="s">
        <v>412</v>
      </c>
      <c r="D384" s="133" t="s">
        <v>52</v>
      </c>
      <c r="E384" s="133" t="s">
        <v>100</v>
      </c>
      <c r="F384" s="97" t="s">
        <v>226</v>
      </c>
      <c r="G384" s="87" t="s">
        <v>42</v>
      </c>
      <c r="H384" s="87" t="s">
        <v>43</v>
      </c>
      <c r="I384" s="88" t="s">
        <v>44</v>
      </c>
      <c r="J384" s="89"/>
      <c r="K384" s="135">
        <f>K385+K389</f>
        <v>1089.4000000000001</v>
      </c>
      <c r="L384" s="135">
        <f>L385+L389</f>
        <v>0</v>
      </c>
      <c r="M384" s="135">
        <f>M385+M389</f>
        <v>1089.4000000000001</v>
      </c>
      <c r="N384" s="164"/>
    </row>
    <row r="385" spans="1:14" s="136" customFormat="1" ht="36" customHeight="1" x14ac:dyDescent="0.35">
      <c r="A385" s="131"/>
      <c r="B385" s="554" t="s">
        <v>227</v>
      </c>
      <c r="C385" s="132" t="s">
        <v>412</v>
      </c>
      <c r="D385" s="133" t="s">
        <v>52</v>
      </c>
      <c r="E385" s="133" t="s">
        <v>100</v>
      </c>
      <c r="F385" s="97" t="s">
        <v>226</v>
      </c>
      <c r="G385" s="87" t="s">
        <v>45</v>
      </c>
      <c r="H385" s="87" t="s">
        <v>43</v>
      </c>
      <c r="I385" s="88" t="s">
        <v>44</v>
      </c>
      <c r="J385" s="89"/>
      <c r="K385" s="135">
        <f t="shared" si="54"/>
        <v>1078.2</v>
      </c>
      <c r="L385" s="135">
        <f t="shared" si="54"/>
        <v>0</v>
      </c>
      <c r="M385" s="135">
        <f t="shared" si="54"/>
        <v>1078.2</v>
      </c>
      <c r="N385" s="164"/>
    </row>
    <row r="386" spans="1:14" s="136" customFormat="1" ht="90" customHeight="1" x14ac:dyDescent="0.35">
      <c r="A386" s="131"/>
      <c r="B386" s="554" t="s">
        <v>297</v>
      </c>
      <c r="C386" s="132" t="s">
        <v>412</v>
      </c>
      <c r="D386" s="133" t="s">
        <v>52</v>
      </c>
      <c r="E386" s="133" t="s">
        <v>100</v>
      </c>
      <c r="F386" s="97" t="s">
        <v>226</v>
      </c>
      <c r="G386" s="87" t="s">
        <v>45</v>
      </c>
      <c r="H386" s="87" t="s">
        <v>37</v>
      </c>
      <c r="I386" s="88" t="s">
        <v>44</v>
      </c>
      <c r="J386" s="89"/>
      <c r="K386" s="135">
        <f t="shared" si="54"/>
        <v>1078.2</v>
      </c>
      <c r="L386" s="135">
        <f t="shared" si="54"/>
        <v>0</v>
      </c>
      <c r="M386" s="135">
        <f t="shared" si="54"/>
        <v>1078.2</v>
      </c>
      <c r="N386" s="164"/>
    </row>
    <row r="387" spans="1:14" s="136" customFormat="1" ht="36" customHeight="1" x14ac:dyDescent="0.35">
      <c r="A387" s="131"/>
      <c r="B387" s="554" t="s">
        <v>372</v>
      </c>
      <c r="C387" s="132" t="s">
        <v>412</v>
      </c>
      <c r="D387" s="133" t="s">
        <v>52</v>
      </c>
      <c r="E387" s="133" t="s">
        <v>100</v>
      </c>
      <c r="F387" s="97" t="s">
        <v>226</v>
      </c>
      <c r="G387" s="87" t="s">
        <v>45</v>
      </c>
      <c r="H387" s="87" t="s">
        <v>37</v>
      </c>
      <c r="I387" s="88" t="s">
        <v>371</v>
      </c>
      <c r="J387" s="89"/>
      <c r="K387" s="135">
        <f t="shared" si="54"/>
        <v>1078.2</v>
      </c>
      <c r="L387" s="135">
        <f t="shared" si="54"/>
        <v>0</v>
      </c>
      <c r="M387" s="135">
        <f t="shared" si="54"/>
        <v>1078.2</v>
      </c>
      <c r="N387" s="164"/>
    </row>
    <row r="388" spans="1:14" s="136" customFormat="1" ht="54" customHeight="1" x14ac:dyDescent="0.35">
      <c r="A388" s="131"/>
      <c r="B388" s="661" t="s">
        <v>55</v>
      </c>
      <c r="C388" s="132" t="s">
        <v>412</v>
      </c>
      <c r="D388" s="133" t="s">
        <v>52</v>
      </c>
      <c r="E388" s="133" t="s">
        <v>100</v>
      </c>
      <c r="F388" s="97" t="s">
        <v>226</v>
      </c>
      <c r="G388" s="87" t="s">
        <v>45</v>
      </c>
      <c r="H388" s="87" t="s">
        <v>37</v>
      </c>
      <c r="I388" s="88" t="s">
        <v>371</v>
      </c>
      <c r="J388" s="89" t="s">
        <v>56</v>
      </c>
      <c r="K388" s="135">
        <f>1074+4.2</f>
        <v>1078.2</v>
      </c>
      <c r="L388" s="24">
        <f>M388-K388</f>
        <v>0</v>
      </c>
      <c r="M388" s="135">
        <f>1074+4.2</f>
        <v>1078.2</v>
      </c>
      <c r="N388" s="164"/>
    </row>
    <row r="389" spans="1:14" s="136" customFormat="1" ht="36" x14ac:dyDescent="0.35">
      <c r="A389" s="660"/>
      <c r="B389" s="563" t="s">
        <v>339</v>
      </c>
      <c r="C389" s="672" t="s">
        <v>412</v>
      </c>
      <c r="D389" s="133" t="s">
        <v>52</v>
      </c>
      <c r="E389" s="133" t="s">
        <v>100</v>
      </c>
      <c r="F389" s="97" t="s">
        <v>226</v>
      </c>
      <c r="G389" s="98" t="s">
        <v>30</v>
      </c>
      <c r="H389" s="98" t="s">
        <v>43</v>
      </c>
      <c r="I389" s="99" t="s">
        <v>44</v>
      </c>
      <c r="J389" s="673"/>
      <c r="K389" s="275">
        <f t="shared" ref="K389:M391" si="55">K390</f>
        <v>11.2</v>
      </c>
      <c r="L389" s="24">
        <f t="shared" si="55"/>
        <v>0</v>
      </c>
      <c r="M389" s="275">
        <f t="shared" si="55"/>
        <v>11.2</v>
      </c>
      <c r="N389" s="164"/>
    </row>
    <row r="390" spans="1:14" s="136" customFormat="1" ht="36" x14ac:dyDescent="0.35">
      <c r="A390" s="660"/>
      <c r="B390" s="563" t="s">
        <v>374</v>
      </c>
      <c r="C390" s="674" t="s">
        <v>412</v>
      </c>
      <c r="D390" s="133" t="s">
        <v>52</v>
      </c>
      <c r="E390" s="133" t="s">
        <v>100</v>
      </c>
      <c r="F390" s="466" t="s">
        <v>226</v>
      </c>
      <c r="G390" s="467" t="s">
        <v>30</v>
      </c>
      <c r="H390" s="467" t="s">
        <v>226</v>
      </c>
      <c r="I390" s="468" t="s">
        <v>44</v>
      </c>
      <c r="J390" s="673"/>
      <c r="K390" s="275">
        <f t="shared" si="55"/>
        <v>11.2</v>
      </c>
      <c r="L390" s="24">
        <f t="shared" si="55"/>
        <v>0</v>
      </c>
      <c r="M390" s="275">
        <f t="shared" si="55"/>
        <v>11.2</v>
      </c>
      <c r="N390" s="164"/>
    </row>
    <row r="391" spans="1:14" s="136" customFormat="1" ht="36" x14ac:dyDescent="0.35">
      <c r="A391" s="131"/>
      <c r="B391" s="636" t="s">
        <v>337</v>
      </c>
      <c r="C391" s="167" t="s">
        <v>412</v>
      </c>
      <c r="D391" s="458" t="s">
        <v>52</v>
      </c>
      <c r="E391" s="458" t="s">
        <v>100</v>
      </c>
      <c r="F391" s="459" t="s">
        <v>226</v>
      </c>
      <c r="G391" s="460" t="s">
        <v>30</v>
      </c>
      <c r="H391" s="460" t="s">
        <v>226</v>
      </c>
      <c r="I391" s="461" t="s">
        <v>336</v>
      </c>
      <c r="J391" s="462"/>
      <c r="K391" s="275">
        <f t="shared" si="55"/>
        <v>11.2</v>
      </c>
      <c r="L391" s="24">
        <f t="shared" si="55"/>
        <v>0</v>
      </c>
      <c r="M391" s="275">
        <f t="shared" si="55"/>
        <v>11.2</v>
      </c>
      <c r="N391" s="164"/>
    </row>
    <row r="392" spans="1:14" s="136" customFormat="1" ht="54" customHeight="1" x14ac:dyDescent="0.35">
      <c r="A392" s="131"/>
      <c r="B392" s="632" t="s">
        <v>55</v>
      </c>
      <c r="C392" s="329" t="s">
        <v>412</v>
      </c>
      <c r="D392" s="633" t="s">
        <v>52</v>
      </c>
      <c r="E392" s="458" t="s">
        <v>100</v>
      </c>
      <c r="F392" s="459" t="s">
        <v>226</v>
      </c>
      <c r="G392" s="460" t="s">
        <v>30</v>
      </c>
      <c r="H392" s="460" t="s">
        <v>226</v>
      </c>
      <c r="I392" s="461" t="s">
        <v>336</v>
      </c>
      <c r="J392" s="462" t="s">
        <v>56</v>
      </c>
      <c r="K392" s="275">
        <v>11.2</v>
      </c>
      <c r="L392" s="24">
        <f>M392-K392</f>
        <v>0</v>
      </c>
      <c r="M392" s="275">
        <v>11.2</v>
      </c>
      <c r="N392" s="164"/>
    </row>
    <row r="393" spans="1:14" s="136" customFormat="1" ht="18" customHeight="1" x14ac:dyDescent="0.35">
      <c r="A393" s="131"/>
      <c r="B393" s="554" t="s">
        <v>177</v>
      </c>
      <c r="C393" s="132" t="s">
        <v>412</v>
      </c>
      <c r="D393" s="133" t="s">
        <v>65</v>
      </c>
      <c r="E393" s="133"/>
      <c r="F393" s="86"/>
      <c r="G393" s="87"/>
      <c r="H393" s="87"/>
      <c r="I393" s="108"/>
      <c r="J393" s="89"/>
      <c r="K393" s="135">
        <f t="shared" ref="K393:M396" si="56">K394</f>
        <v>79683.3</v>
      </c>
      <c r="L393" s="269">
        <f t="shared" si="56"/>
        <v>0</v>
      </c>
      <c r="M393" s="135">
        <f t="shared" si="56"/>
        <v>79683.3</v>
      </c>
      <c r="N393" s="164"/>
    </row>
    <row r="394" spans="1:14" s="136" customFormat="1" ht="18" customHeight="1" x14ac:dyDescent="0.35">
      <c r="A394" s="131"/>
      <c r="B394" s="554" t="s">
        <v>333</v>
      </c>
      <c r="C394" s="132" t="s">
        <v>412</v>
      </c>
      <c r="D394" s="133" t="s">
        <v>65</v>
      </c>
      <c r="E394" s="133" t="s">
        <v>39</v>
      </c>
      <c r="F394" s="86"/>
      <c r="G394" s="87"/>
      <c r="H394" s="87"/>
      <c r="I394" s="108"/>
      <c r="J394" s="89"/>
      <c r="K394" s="135">
        <f t="shared" ref="K394:M395" si="57">K395</f>
        <v>79683.3</v>
      </c>
      <c r="L394" s="135">
        <f t="shared" si="57"/>
        <v>0</v>
      </c>
      <c r="M394" s="135">
        <f t="shared" si="57"/>
        <v>79683.3</v>
      </c>
      <c r="N394" s="164"/>
    </row>
    <row r="395" spans="1:14" s="136" customFormat="1" ht="72" customHeight="1" x14ac:dyDescent="0.35">
      <c r="A395" s="131"/>
      <c r="B395" s="575" t="s">
        <v>332</v>
      </c>
      <c r="C395" s="132" t="s">
        <v>412</v>
      </c>
      <c r="D395" s="133" t="s">
        <v>65</v>
      </c>
      <c r="E395" s="133" t="s">
        <v>39</v>
      </c>
      <c r="F395" s="86" t="s">
        <v>104</v>
      </c>
      <c r="G395" s="87" t="s">
        <v>42</v>
      </c>
      <c r="H395" s="87" t="s">
        <v>43</v>
      </c>
      <c r="I395" s="108" t="s">
        <v>44</v>
      </c>
      <c r="J395" s="89"/>
      <c r="K395" s="135">
        <f t="shared" si="57"/>
        <v>79683.3</v>
      </c>
      <c r="L395" s="135">
        <f t="shared" si="57"/>
        <v>0</v>
      </c>
      <c r="M395" s="135">
        <f t="shared" si="57"/>
        <v>79683.3</v>
      </c>
      <c r="N395" s="164"/>
    </row>
    <row r="396" spans="1:14" s="136" customFormat="1" ht="54" customHeight="1" x14ac:dyDescent="0.35">
      <c r="A396" s="131"/>
      <c r="B396" s="565" t="s">
        <v>334</v>
      </c>
      <c r="C396" s="132" t="s">
        <v>412</v>
      </c>
      <c r="D396" s="133" t="s">
        <v>65</v>
      </c>
      <c r="E396" s="133" t="s">
        <v>39</v>
      </c>
      <c r="F396" s="86" t="s">
        <v>104</v>
      </c>
      <c r="G396" s="87" t="s">
        <v>45</v>
      </c>
      <c r="H396" s="87" t="s">
        <v>43</v>
      </c>
      <c r="I396" s="108" t="s">
        <v>44</v>
      </c>
      <c r="J396" s="89"/>
      <c r="K396" s="135">
        <f t="shared" si="56"/>
        <v>79683.3</v>
      </c>
      <c r="L396" s="135">
        <f t="shared" si="56"/>
        <v>0</v>
      </c>
      <c r="M396" s="135">
        <f t="shared" si="56"/>
        <v>79683.3</v>
      </c>
      <c r="N396" s="164"/>
    </row>
    <row r="397" spans="1:14" s="136" customFormat="1" ht="54" customHeight="1" x14ac:dyDescent="0.35">
      <c r="A397" s="131"/>
      <c r="B397" s="565" t="s">
        <v>373</v>
      </c>
      <c r="C397" s="132" t="s">
        <v>412</v>
      </c>
      <c r="D397" s="133" t="s">
        <v>65</v>
      </c>
      <c r="E397" s="133" t="s">
        <v>39</v>
      </c>
      <c r="F397" s="86" t="s">
        <v>104</v>
      </c>
      <c r="G397" s="87" t="s">
        <v>45</v>
      </c>
      <c r="H397" s="87" t="s">
        <v>37</v>
      </c>
      <c r="I397" s="108" t="s">
        <v>44</v>
      </c>
      <c r="J397" s="89"/>
      <c r="K397" s="135">
        <f t="shared" ref="K397:M398" si="58">K398</f>
        <v>79683.3</v>
      </c>
      <c r="L397" s="135">
        <f t="shared" si="58"/>
        <v>0</v>
      </c>
      <c r="M397" s="135">
        <f t="shared" si="58"/>
        <v>79683.3</v>
      </c>
      <c r="N397" s="164"/>
    </row>
    <row r="398" spans="1:14" s="136" customFormat="1" ht="72" customHeight="1" x14ac:dyDescent="0.35">
      <c r="A398" s="131"/>
      <c r="B398" s="565" t="s">
        <v>500</v>
      </c>
      <c r="C398" s="132" t="s">
        <v>412</v>
      </c>
      <c r="D398" s="133" t="s">
        <v>65</v>
      </c>
      <c r="E398" s="133" t="s">
        <v>39</v>
      </c>
      <c r="F398" s="86" t="s">
        <v>104</v>
      </c>
      <c r="G398" s="87" t="s">
        <v>45</v>
      </c>
      <c r="H398" s="87" t="s">
        <v>37</v>
      </c>
      <c r="I398" s="108" t="s">
        <v>413</v>
      </c>
      <c r="J398" s="89"/>
      <c r="K398" s="135">
        <f t="shared" si="58"/>
        <v>79683.3</v>
      </c>
      <c r="L398" s="135">
        <f t="shared" si="58"/>
        <v>0</v>
      </c>
      <c r="M398" s="135">
        <f t="shared" si="58"/>
        <v>79683.3</v>
      </c>
      <c r="N398" s="164"/>
    </row>
    <row r="399" spans="1:14" s="136" customFormat="1" ht="54" customHeight="1" x14ac:dyDescent="0.35">
      <c r="A399" s="131"/>
      <c r="B399" s="565" t="s">
        <v>203</v>
      </c>
      <c r="C399" s="132" t="s">
        <v>412</v>
      </c>
      <c r="D399" s="133" t="s">
        <v>65</v>
      </c>
      <c r="E399" s="133" t="s">
        <v>39</v>
      </c>
      <c r="F399" s="86" t="s">
        <v>104</v>
      </c>
      <c r="G399" s="87" t="s">
        <v>45</v>
      </c>
      <c r="H399" s="87" t="s">
        <v>37</v>
      </c>
      <c r="I399" s="108" t="s">
        <v>413</v>
      </c>
      <c r="J399" s="89" t="s">
        <v>204</v>
      </c>
      <c r="K399" s="135">
        <f>75699.1+2894.8+1089.4</f>
        <v>79683.3</v>
      </c>
      <c r="L399" s="24">
        <f>M399-K399</f>
        <v>0</v>
      </c>
      <c r="M399" s="135">
        <f>75699.1+2894.8+1089.4</f>
        <v>79683.3</v>
      </c>
      <c r="N399" s="164"/>
    </row>
    <row r="400" spans="1:14" s="136" customFormat="1" ht="18" customHeight="1" x14ac:dyDescent="0.35">
      <c r="A400" s="131"/>
      <c r="B400" s="576" t="s">
        <v>179</v>
      </c>
      <c r="C400" s="132" t="s">
        <v>412</v>
      </c>
      <c r="D400" s="133" t="s">
        <v>224</v>
      </c>
      <c r="E400" s="133"/>
      <c r="F400" s="86"/>
      <c r="G400" s="87"/>
      <c r="H400" s="87"/>
      <c r="I400" s="108"/>
      <c r="J400" s="89"/>
      <c r="K400" s="135">
        <f>K409+K401+K417</f>
        <v>138991.78000000003</v>
      </c>
      <c r="L400" s="135">
        <f>L409+L401+L417</f>
        <v>0</v>
      </c>
      <c r="M400" s="135">
        <f>M409+M401+M417</f>
        <v>138991.78000000003</v>
      </c>
      <c r="N400" s="164"/>
    </row>
    <row r="401" spans="1:14" s="136" customFormat="1" ht="18" customHeight="1" x14ac:dyDescent="0.35">
      <c r="A401" s="131"/>
      <c r="B401" s="576" t="s">
        <v>181</v>
      </c>
      <c r="C401" s="132" t="s">
        <v>412</v>
      </c>
      <c r="D401" s="133" t="s">
        <v>224</v>
      </c>
      <c r="E401" s="133" t="s">
        <v>37</v>
      </c>
      <c r="F401" s="86"/>
      <c r="G401" s="87"/>
      <c r="H401" s="87"/>
      <c r="I401" s="88"/>
      <c r="J401" s="89"/>
      <c r="K401" s="135">
        <f t="shared" ref="K401:M405" si="59">K402</f>
        <v>88315.680000000008</v>
      </c>
      <c r="L401" s="135">
        <f t="shared" si="59"/>
        <v>0</v>
      </c>
      <c r="M401" s="135">
        <f t="shared" si="59"/>
        <v>88315.680000000008</v>
      </c>
      <c r="N401" s="164"/>
    </row>
    <row r="402" spans="1:14" s="136" customFormat="1" ht="54" customHeight="1" x14ac:dyDescent="0.35">
      <c r="A402" s="131"/>
      <c r="B402" s="576" t="s">
        <v>436</v>
      </c>
      <c r="C402" s="132" t="s">
        <v>412</v>
      </c>
      <c r="D402" s="133" t="s">
        <v>224</v>
      </c>
      <c r="E402" s="133" t="s">
        <v>37</v>
      </c>
      <c r="F402" s="86" t="s">
        <v>39</v>
      </c>
      <c r="G402" s="87" t="s">
        <v>42</v>
      </c>
      <c r="H402" s="87" t="s">
        <v>43</v>
      </c>
      <c r="I402" s="88" t="s">
        <v>44</v>
      </c>
      <c r="J402" s="89"/>
      <c r="K402" s="135">
        <f t="shared" si="59"/>
        <v>88315.680000000008</v>
      </c>
      <c r="L402" s="135">
        <f t="shared" si="59"/>
        <v>0</v>
      </c>
      <c r="M402" s="135">
        <f t="shared" si="59"/>
        <v>88315.680000000008</v>
      </c>
      <c r="N402" s="164"/>
    </row>
    <row r="403" spans="1:14" s="136" customFormat="1" ht="36" customHeight="1" x14ac:dyDescent="0.35">
      <c r="A403" s="131"/>
      <c r="B403" s="576" t="s">
        <v>206</v>
      </c>
      <c r="C403" s="132" t="s">
        <v>412</v>
      </c>
      <c r="D403" s="133" t="s">
        <v>224</v>
      </c>
      <c r="E403" s="133" t="s">
        <v>37</v>
      </c>
      <c r="F403" s="86" t="s">
        <v>39</v>
      </c>
      <c r="G403" s="87" t="s">
        <v>45</v>
      </c>
      <c r="H403" s="87" t="s">
        <v>43</v>
      </c>
      <c r="I403" s="88" t="s">
        <v>44</v>
      </c>
      <c r="J403" s="89"/>
      <c r="K403" s="135">
        <f t="shared" si="59"/>
        <v>88315.680000000008</v>
      </c>
      <c r="L403" s="135">
        <f t="shared" si="59"/>
        <v>0</v>
      </c>
      <c r="M403" s="135">
        <f t="shared" si="59"/>
        <v>88315.680000000008</v>
      </c>
      <c r="N403" s="164"/>
    </row>
    <row r="404" spans="1:14" s="136" customFormat="1" ht="36" customHeight="1" x14ac:dyDescent="0.35">
      <c r="A404" s="131"/>
      <c r="B404" s="576" t="s">
        <v>267</v>
      </c>
      <c r="C404" s="132" t="s">
        <v>412</v>
      </c>
      <c r="D404" s="133" t="s">
        <v>224</v>
      </c>
      <c r="E404" s="133" t="s">
        <v>37</v>
      </c>
      <c r="F404" s="86" t="s">
        <v>39</v>
      </c>
      <c r="G404" s="87" t="s">
        <v>45</v>
      </c>
      <c r="H404" s="87" t="s">
        <v>37</v>
      </c>
      <c r="I404" s="108" t="s">
        <v>44</v>
      </c>
      <c r="J404" s="89"/>
      <c r="K404" s="135">
        <f>K405+K407</f>
        <v>88315.680000000008</v>
      </c>
      <c r="L404" s="135">
        <f>L405+L407</f>
        <v>0</v>
      </c>
      <c r="M404" s="135">
        <f>M405+M407</f>
        <v>88315.680000000008</v>
      </c>
      <c r="N404" s="164"/>
    </row>
    <row r="405" spans="1:14" s="136" customFormat="1" ht="36" customHeight="1" x14ac:dyDescent="0.35">
      <c r="A405" s="131"/>
      <c r="B405" s="510" t="s">
        <v>208</v>
      </c>
      <c r="C405" s="132" t="s">
        <v>412</v>
      </c>
      <c r="D405" s="133" t="s">
        <v>224</v>
      </c>
      <c r="E405" s="133" t="s">
        <v>37</v>
      </c>
      <c r="F405" s="86" t="s">
        <v>39</v>
      </c>
      <c r="G405" s="87" t="s">
        <v>45</v>
      </c>
      <c r="H405" s="87" t="s">
        <v>37</v>
      </c>
      <c r="I405" s="108" t="s">
        <v>274</v>
      </c>
      <c r="J405" s="89"/>
      <c r="K405" s="135">
        <f t="shared" si="59"/>
        <v>3231.2799999999997</v>
      </c>
      <c r="L405" s="135">
        <f t="shared" si="59"/>
        <v>0</v>
      </c>
      <c r="M405" s="135">
        <f t="shared" si="59"/>
        <v>3231.2799999999997</v>
      </c>
      <c r="N405" s="164"/>
    </row>
    <row r="406" spans="1:14" s="136" customFormat="1" ht="54" customHeight="1" x14ac:dyDescent="0.35">
      <c r="A406" s="642"/>
      <c r="B406" s="643" t="s">
        <v>203</v>
      </c>
      <c r="C406" s="177" t="s">
        <v>412</v>
      </c>
      <c r="D406" s="278" t="s">
        <v>224</v>
      </c>
      <c r="E406" s="278" t="s">
        <v>37</v>
      </c>
      <c r="F406" s="137" t="s">
        <v>39</v>
      </c>
      <c r="G406" s="138" t="s">
        <v>45</v>
      </c>
      <c r="H406" s="138" t="s">
        <v>37</v>
      </c>
      <c r="I406" s="485" t="s">
        <v>274</v>
      </c>
      <c r="J406" s="486" t="s">
        <v>204</v>
      </c>
      <c r="K406" s="201">
        <f>2721.5+509.78</f>
        <v>3231.2799999999997</v>
      </c>
      <c r="L406" s="644">
        <f>M406-K406</f>
        <v>0</v>
      </c>
      <c r="M406" s="201">
        <f>2721.5+509.78</f>
        <v>3231.2799999999997</v>
      </c>
      <c r="N406" s="164"/>
    </row>
    <row r="407" spans="1:14" s="136" customFormat="1" ht="108" customHeight="1" x14ac:dyDescent="0.35">
      <c r="A407" s="218"/>
      <c r="B407" s="650" t="s">
        <v>503</v>
      </c>
      <c r="C407" s="329" t="s">
        <v>412</v>
      </c>
      <c r="D407" s="330" t="s">
        <v>224</v>
      </c>
      <c r="E407" s="651" t="s">
        <v>37</v>
      </c>
      <c r="F407" s="651" t="s">
        <v>39</v>
      </c>
      <c r="G407" s="653" t="s">
        <v>45</v>
      </c>
      <c r="H407" s="653" t="s">
        <v>37</v>
      </c>
      <c r="I407" s="654" t="s">
        <v>502</v>
      </c>
      <c r="J407" s="652"/>
      <c r="K407" s="263">
        <f>K408</f>
        <v>85084.400000000009</v>
      </c>
      <c r="L407" s="263">
        <f>L408</f>
        <v>0</v>
      </c>
      <c r="M407" s="263">
        <f>M408</f>
        <v>85084.400000000009</v>
      </c>
      <c r="N407" s="164"/>
    </row>
    <row r="408" spans="1:14" s="136" customFormat="1" ht="54" customHeight="1" x14ac:dyDescent="0.35">
      <c r="A408" s="630"/>
      <c r="B408" s="645" t="s">
        <v>203</v>
      </c>
      <c r="C408" s="646" t="s">
        <v>412</v>
      </c>
      <c r="D408" s="458" t="s">
        <v>224</v>
      </c>
      <c r="E408" s="458" t="s">
        <v>37</v>
      </c>
      <c r="F408" s="647" t="s">
        <v>39</v>
      </c>
      <c r="G408" s="648" t="s">
        <v>45</v>
      </c>
      <c r="H408" s="648" t="s">
        <v>37</v>
      </c>
      <c r="I408" s="649" t="s">
        <v>502</v>
      </c>
      <c r="J408" s="592" t="s">
        <v>204</v>
      </c>
      <c r="K408" s="446">
        <f>82531.8+2552.6</f>
        <v>85084.400000000009</v>
      </c>
      <c r="L408" s="463">
        <f>M408-K408</f>
        <v>0</v>
      </c>
      <c r="M408" s="446">
        <f>82531.8+2552.6</f>
        <v>85084.400000000009</v>
      </c>
      <c r="N408" s="164"/>
    </row>
    <row r="409" spans="1:14" s="136" customFormat="1" ht="18" customHeight="1" x14ac:dyDescent="0.35">
      <c r="A409" s="131"/>
      <c r="B409" s="576" t="s">
        <v>183</v>
      </c>
      <c r="C409" s="132" t="s">
        <v>412</v>
      </c>
      <c r="D409" s="133" t="s">
        <v>224</v>
      </c>
      <c r="E409" s="133" t="s">
        <v>39</v>
      </c>
      <c r="F409" s="86"/>
      <c r="G409" s="87"/>
      <c r="H409" s="87"/>
      <c r="I409" s="108"/>
      <c r="J409" s="89"/>
      <c r="K409" s="135">
        <f t="shared" ref="K409:M413" si="60">K410</f>
        <v>50668.9</v>
      </c>
      <c r="L409" s="135">
        <f t="shared" si="60"/>
        <v>0</v>
      </c>
      <c r="M409" s="135">
        <f t="shared" si="60"/>
        <v>50668.9</v>
      </c>
      <c r="N409" s="164"/>
    </row>
    <row r="410" spans="1:14" s="136" customFormat="1" ht="54" customHeight="1" x14ac:dyDescent="0.35">
      <c r="A410" s="131"/>
      <c r="B410" s="576" t="s">
        <v>205</v>
      </c>
      <c r="C410" s="132" t="s">
        <v>412</v>
      </c>
      <c r="D410" s="133" t="s">
        <v>224</v>
      </c>
      <c r="E410" s="133" t="s">
        <v>39</v>
      </c>
      <c r="F410" s="86" t="s">
        <v>39</v>
      </c>
      <c r="G410" s="87" t="s">
        <v>42</v>
      </c>
      <c r="H410" s="87" t="s">
        <v>43</v>
      </c>
      <c r="I410" s="88" t="s">
        <v>44</v>
      </c>
      <c r="J410" s="89"/>
      <c r="K410" s="135">
        <f t="shared" si="60"/>
        <v>50668.9</v>
      </c>
      <c r="L410" s="135">
        <f t="shared" si="60"/>
        <v>0</v>
      </c>
      <c r="M410" s="135">
        <f t="shared" si="60"/>
        <v>50668.9</v>
      </c>
      <c r="N410" s="164"/>
    </row>
    <row r="411" spans="1:14" s="136" customFormat="1" ht="36" customHeight="1" x14ac:dyDescent="0.35">
      <c r="A411" s="131"/>
      <c r="B411" s="576" t="s">
        <v>206</v>
      </c>
      <c r="C411" s="132" t="s">
        <v>412</v>
      </c>
      <c r="D411" s="133" t="s">
        <v>224</v>
      </c>
      <c r="E411" s="133" t="s">
        <v>39</v>
      </c>
      <c r="F411" s="86" t="s">
        <v>39</v>
      </c>
      <c r="G411" s="87" t="s">
        <v>45</v>
      </c>
      <c r="H411" s="87" t="s">
        <v>43</v>
      </c>
      <c r="I411" s="88" t="s">
        <v>44</v>
      </c>
      <c r="J411" s="89"/>
      <c r="K411" s="135">
        <f t="shared" si="60"/>
        <v>50668.9</v>
      </c>
      <c r="L411" s="135">
        <f t="shared" si="60"/>
        <v>0</v>
      </c>
      <c r="M411" s="135">
        <f t="shared" si="60"/>
        <v>50668.9</v>
      </c>
      <c r="N411" s="164"/>
    </row>
    <row r="412" spans="1:14" s="136" customFormat="1" ht="18" customHeight="1" x14ac:dyDescent="0.35">
      <c r="A412" s="131"/>
      <c r="B412" s="576" t="s">
        <v>272</v>
      </c>
      <c r="C412" s="132" t="s">
        <v>412</v>
      </c>
      <c r="D412" s="133" t="s">
        <v>224</v>
      </c>
      <c r="E412" s="133" t="s">
        <v>39</v>
      </c>
      <c r="F412" s="86" t="s">
        <v>39</v>
      </c>
      <c r="G412" s="87" t="s">
        <v>45</v>
      </c>
      <c r="H412" s="87" t="s">
        <v>39</v>
      </c>
      <c r="I412" s="88" t="s">
        <v>44</v>
      </c>
      <c r="J412" s="89"/>
      <c r="K412" s="135">
        <f>K413+K415</f>
        <v>50668.9</v>
      </c>
      <c r="L412" s="135">
        <f>L413+L415</f>
        <v>0</v>
      </c>
      <c r="M412" s="135">
        <f>M413+M415</f>
        <v>50668.9</v>
      </c>
      <c r="N412" s="164"/>
    </row>
    <row r="413" spans="1:14" s="136" customFormat="1" ht="36" customHeight="1" x14ac:dyDescent="0.35">
      <c r="A413" s="131"/>
      <c r="B413" s="576" t="s">
        <v>208</v>
      </c>
      <c r="C413" s="132" t="s">
        <v>412</v>
      </c>
      <c r="D413" s="133" t="s">
        <v>224</v>
      </c>
      <c r="E413" s="133" t="s">
        <v>39</v>
      </c>
      <c r="F413" s="86" t="s">
        <v>39</v>
      </c>
      <c r="G413" s="87" t="s">
        <v>45</v>
      </c>
      <c r="H413" s="87" t="s">
        <v>39</v>
      </c>
      <c r="I413" s="88" t="s">
        <v>274</v>
      </c>
      <c r="J413" s="89"/>
      <c r="K413" s="135">
        <f t="shared" si="60"/>
        <v>2966.8999999999996</v>
      </c>
      <c r="L413" s="135">
        <f t="shared" si="60"/>
        <v>0</v>
      </c>
      <c r="M413" s="135">
        <f t="shared" si="60"/>
        <v>2966.8999999999996</v>
      </c>
      <c r="N413" s="164"/>
    </row>
    <row r="414" spans="1:14" s="136" customFormat="1" ht="54" customHeight="1" x14ac:dyDescent="0.35">
      <c r="A414" s="131"/>
      <c r="B414" s="576" t="s">
        <v>203</v>
      </c>
      <c r="C414" s="132" t="s">
        <v>412</v>
      </c>
      <c r="D414" s="133" t="s">
        <v>224</v>
      </c>
      <c r="E414" s="133" t="s">
        <v>39</v>
      </c>
      <c r="F414" s="86" t="s">
        <v>39</v>
      </c>
      <c r="G414" s="87" t="s">
        <v>45</v>
      </c>
      <c r="H414" s="87" t="s">
        <v>39</v>
      </c>
      <c r="I414" s="88" t="s">
        <v>274</v>
      </c>
      <c r="J414" s="89" t="s">
        <v>204</v>
      </c>
      <c r="K414" s="201">
        <f>1891.3-1317.4+1769.3+330.1+87.9+205.7</f>
        <v>2966.8999999999996</v>
      </c>
      <c r="L414" s="24">
        <f>M414-K414</f>
        <v>0</v>
      </c>
      <c r="M414" s="201">
        <f>1891.3-1317.4+1769.3+330.1+87.9+205.7</f>
        <v>2966.8999999999996</v>
      </c>
      <c r="N414" s="164"/>
    </row>
    <row r="415" spans="1:14" s="136" customFormat="1" ht="108" customHeight="1" x14ac:dyDescent="0.35">
      <c r="A415" s="131"/>
      <c r="B415" s="599" t="s">
        <v>503</v>
      </c>
      <c r="C415" s="600" t="s">
        <v>412</v>
      </c>
      <c r="D415" s="601" t="s">
        <v>224</v>
      </c>
      <c r="E415" s="601" t="s">
        <v>39</v>
      </c>
      <c r="F415" s="369" t="s">
        <v>39</v>
      </c>
      <c r="G415" s="370" t="s">
        <v>45</v>
      </c>
      <c r="H415" s="370" t="s">
        <v>39</v>
      </c>
      <c r="I415" s="371" t="s">
        <v>502</v>
      </c>
      <c r="J415" s="429"/>
      <c r="K415" s="602">
        <f>K416</f>
        <v>47702</v>
      </c>
      <c r="L415" s="602">
        <f>L416</f>
        <v>0</v>
      </c>
      <c r="M415" s="602">
        <f>M416</f>
        <v>47702</v>
      </c>
      <c r="N415" s="164"/>
    </row>
    <row r="416" spans="1:14" s="136" customFormat="1" ht="54" customHeight="1" x14ac:dyDescent="0.35">
      <c r="A416" s="131"/>
      <c r="B416" s="599" t="s">
        <v>203</v>
      </c>
      <c r="C416" s="616" t="s">
        <v>412</v>
      </c>
      <c r="D416" s="617" t="s">
        <v>224</v>
      </c>
      <c r="E416" s="617" t="s">
        <v>39</v>
      </c>
      <c r="F416" s="607" t="s">
        <v>39</v>
      </c>
      <c r="G416" s="608" t="s">
        <v>45</v>
      </c>
      <c r="H416" s="608" t="s">
        <v>39</v>
      </c>
      <c r="I416" s="609" t="s">
        <v>502</v>
      </c>
      <c r="J416" s="429" t="s">
        <v>204</v>
      </c>
      <c r="K416" s="602">
        <f>46270.9+1431.1</f>
        <v>47702</v>
      </c>
      <c r="L416" s="24">
        <f>M416-K416</f>
        <v>0</v>
      </c>
      <c r="M416" s="602">
        <f>46270.9+1431.1</f>
        <v>47702</v>
      </c>
      <c r="N416" s="164"/>
    </row>
    <row r="417" spans="1:14" s="136" customFormat="1" ht="36" customHeight="1" x14ac:dyDescent="0.35">
      <c r="A417" s="131"/>
      <c r="B417" s="510" t="s">
        <v>530</v>
      </c>
      <c r="C417" s="132" t="s">
        <v>412</v>
      </c>
      <c r="D417" s="10" t="s">
        <v>224</v>
      </c>
      <c r="E417" s="10" t="s">
        <v>65</v>
      </c>
      <c r="F417" s="86"/>
      <c r="G417" s="87"/>
      <c r="H417" s="87"/>
      <c r="I417" s="88"/>
      <c r="J417" s="89"/>
      <c r="K417" s="263">
        <f t="shared" ref="K417:M421" si="61">K418</f>
        <v>7.2</v>
      </c>
      <c r="L417" s="263">
        <f t="shared" si="61"/>
        <v>0</v>
      </c>
      <c r="M417" s="263">
        <f t="shared" si="61"/>
        <v>7.2</v>
      </c>
      <c r="N417" s="164"/>
    </row>
    <row r="418" spans="1:14" s="136" customFormat="1" ht="54" customHeight="1" x14ac:dyDescent="0.35">
      <c r="A418" s="131"/>
      <c r="B418" s="554" t="s">
        <v>225</v>
      </c>
      <c r="C418" s="132" t="s">
        <v>412</v>
      </c>
      <c r="D418" s="10" t="s">
        <v>224</v>
      </c>
      <c r="E418" s="10" t="s">
        <v>65</v>
      </c>
      <c r="F418" s="97" t="s">
        <v>226</v>
      </c>
      <c r="G418" s="87" t="s">
        <v>42</v>
      </c>
      <c r="H418" s="87" t="s">
        <v>43</v>
      </c>
      <c r="I418" s="88" t="s">
        <v>44</v>
      </c>
      <c r="J418" s="89"/>
      <c r="K418" s="263">
        <f t="shared" si="61"/>
        <v>7.2</v>
      </c>
      <c r="L418" s="263">
        <f t="shared" si="61"/>
        <v>0</v>
      </c>
      <c r="M418" s="263">
        <f t="shared" si="61"/>
        <v>7.2</v>
      </c>
      <c r="N418" s="164"/>
    </row>
    <row r="419" spans="1:14" s="136" customFormat="1" ht="36" customHeight="1" x14ac:dyDescent="0.35">
      <c r="A419" s="131"/>
      <c r="B419" s="576" t="s">
        <v>229</v>
      </c>
      <c r="C419" s="132" t="s">
        <v>412</v>
      </c>
      <c r="D419" s="10" t="s">
        <v>224</v>
      </c>
      <c r="E419" s="10" t="s">
        <v>65</v>
      </c>
      <c r="F419" s="97" t="s">
        <v>226</v>
      </c>
      <c r="G419" s="87" t="s">
        <v>89</v>
      </c>
      <c r="H419" s="87" t="s">
        <v>43</v>
      </c>
      <c r="I419" s="88" t="s">
        <v>44</v>
      </c>
      <c r="J419" s="89"/>
      <c r="K419" s="263">
        <f t="shared" si="61"/>
        <v>7.2</v>
      </c>
      <c r="L419" s="263">
        <f t="shared" si="61"/>
        <v>0</v>
      </c>
      <c r="M419" s="263">
        <f t="shared" si="61"/>
        <v>7.2</v>
      </c>
      <c r="N419" s="164"/>
    </row>
    <row r="420" spans="1:14" s="136" customFormat="1" ht="72" customHeight="1" x14ac:dyDescent="0.35">
      <c r="A420" s="131"/>
      <c r="B420" s="576" t="s">
        <v>301</v>
      </c>
      <c r="C420" s="132" t="s">
        <v>412</v>
      </c>
      <c r="D420" s="10" t="s">
        <v>224</v>
      </c>
      <c r="E420" s="10" t="s">
        <v>65</v>
      </c>
      <c r="F420" s="97" t="s">
        <v>226</v>
      </c>
      <c r="G420" s="87" t="s">
        <v>89</v>
      </c>
      <c r="H420" s="87" t="s">
        <v>37</v>
      </c>
      <c r="I420" s="88" t="s">
        <v>44</v>
      </c>
      <c r="J420" s="89"/>
      <c r="K420" s="263">
        <f t="shared" si="61"/>
        <v>7.2</v>
      </c>
      <c r="L420" s="263">
        <f t="shared" si="61"/>
        <v>0</v>
      </c>
      <c r="M420" s="263">
        <f t="shared" si="61"/>
        <v>7.2</v>
      </c>
      <c r="N420" s="164"/>
    </row>
    <row r="421" spans="1:14" s="136" customFormat="1" ht="36" customHeight="1" x14ac:dyDescent="0.35">
      <c r="A421" s="131"/>
      <c r="B421" s="510" t="s">
        <v>532</v>
      </c>
      <c r="C421" s="132" t="s">
        <v>412</v>
      </c>
      <c r="D421" s="10" t="s">
        <v>224</v>
      </c>
      <c r="E421" s="10" t="s">
        <v>65</v>
      </c>
      <c r="F421" s="97" t="s">
        <v>226</v>
      </c>
      <c r="G421" s="87" t="s">
        <v>89</v>
      </c>
      <c r="H421" s="87" t="s">
        <v>37</v>
      </c>
      <c r="I421" s="88" t="s">
        <v>531</v>
      </c>
      <c r="J421" s="89"/>
      <c r="K421" s="263">
        <f t="shared" si="61"/>
        <v>7.2</v>
      </c>
      <c r="L421" s="263">
        <f t="shared" si="61"/>
        <v>0</v>
      </c>
      <c r="M421" s="263">
        <f t="shared" si="61"/>
        <v>7.2</v>
      </c>
      <c r="N421" s="164"/>
    </row>
    <row r="422" spans="1:14" s="136" customFormat="1" ht="54" customHeight="1" x14ac:dyDescent="0.35">
      <c r="A422" s="131"/>
      <c r="B422" s="510" t="s">
        <v>55</v>
      </c>
      <c r="C422" s="132" t="s">
        <v>412</v>
      </c>
      <c r="D422" s="10" t="s">
        <v>224</v>
      </c>
      <c r="E422" s="10" t="s">
        <v>65</v>
      </c>
      <c r="F422" s="97" t="s">
        <v>226</v>
      </c>
      <c r="G422" s="87" t="s">
        <v>89</v>
      </c>
      <c r="H422" s="87" t="s">
        <v>37</v>
      </c>
      <c r="I422" s="88" t="s">
        <v>531</v>
      </c>
      <c r="J422" s="89" t="s">
        <v>56</v>
      </c>
      <c r="K422" s="442">
        <v>7.2</v>
      </c>
      <c r="L422" s="24">
        <f>M422-K422</f>
        <v>0</v>
      </c>
      <c r="M422" s="442">
        <v>7.2</v>
      </c>
      <c r="N422" s="164"/>
    </row>
    <row r="423" spans="1:14" s="144" customFormat="1" ht="18" customHeight="1" x14ac:dyDescent="0.35">
      <c r="A423" s="142"/>
      <c r="B423" s="577" t="s">
        <v>119</v>
      </c>
      <c r="C423" s="143" t="s">
        <v>412</v>
      </c>
      <c r="D423" s="107" t="s">
        <v>104</v>
      </c>
      <c r="E423" s="133"/>
      <c r="F423" s="104"/>
      <c r="G423" s="105"/>
      <c r="H423" s="105"/>
      <c r="I423" s="106"/>
      <c r="J423" s="107"/>
      <c r="K423" s="178">
        <f t="shared" ref="K423:M424" si="62">K424</f>
        <v>85261.875970000008</v>
      </c>
      <c r="L423" s="178">
        <f t="shared" si="62"/>
        <v>-1162.5</v>
      </c>
      <c r="M423" s="178">
        <f t="shared" si="62"/>
        <v>84099.375970000008</v>
      </c>
    </row>
    <row r="424" spans="1:14" s="144" customFormat="1" ht="18" customHeight="1" x14ac:dyDescent="0.35">
      <c r="A424" s="142"/>
      <c r="B424" s="565" t="s">
        <v>193</v>
      </c>
      <c r="C424" s="143" t="s">
        <v>412</v>
      </c>
      <c r="D424" s="107" t="s">
        <v>104</v>
      </c>
      <c r="E424" s="107" t="s">
        <v>52</v>
      </c>
      <c r="F424" s="104"/>
      <c r="G424" s="105"/>
      <c r="H424" s="105"/>
      <c r="I424" s="106"/>
      <c r="J424" s="107"/>
      <c r="K424" s="178">
        <f t="shared" si="62"/>
        <v>85261.875970000008</v>
      </c>
      <c r="L424" s="178">
        <f t="shared" si="62"/>
        <v>-1162.5</v>
      </c>
      <c r="M424" s="178">
        <f t="shared" si="62"/>
        <v>84099.375970000008</v>
      </c>
    </row>
    <row r="425" spans="1:14" s="144" customFormat="1" ht="54" customHeight="1" x14ac:dyDescent="0.35">
      <c r="A425" s="142"/>
      <c r="B425" s="573" t="s">
        <v>230</v>
      </c>
      <c r="C425" s="143" t="s">
        <v>412</v>
      </c>
      <c r="D425" s="107" t="s">
        <v>104</v>
      </c>
      <c r="E425" s="107" t="s">
        <v>52</v>
      </c>
      <c r="F425" s="104" t="s">
        <v>79</v>
      </c>
      <c r="G425" s="105" t="s">
        <v>42</v>
      </c>
      <c r="H425" s="105" t="s">
        <v>43</v>
      </c>
      <c r="I425" s="106" t="s">
        <v>44</v>
      </c>
      <c r="J425" s="107"/>
      <c r="K425" s="178">
        <f t="shared" ref="K425:M427" si="63">K426</f>
        <v>85261.875970000008</v>
      </c>
      <c r="L425" s="178">
        <f t="shared" si="63"/>
        <v>-1162.5</v>
      </c>
      <c r="M425" s="178">
        <f t="shared" si="63"/>
        <v>84099.375970000008</v>
      </c>
    </row>
    <row r="426" spans="1:14" s="144" customFormat="1" ht="36" customHeight="1" x14ac:dyDescent="0.35">
      <c r="A426" s="142"/>
      <c r="B426" s="565" t="s">
        <v>339</v>
      </c>
      <c r="C426" s="143" t="s">
        <v>412</v>
      </c>
      <c r="D426" s="107" t="s">
        <v>104</v>
      </c>
      <c r="E426" s="107" t="s">
        <v>52</v>
      </c>
      <c r="F426" s="104" t="s">
        <v>79</v>
      </c>
      <c r="G426" s="105" t="s">
        <v>45</v>
      </c>
      <c r="H426" s="105" t="s">
        <v>43</v>
      </c>
      <c r="I426" s="106" t="s">
        <v>44</v>
      </c>
      <c r="J426" s="107"/>
      <c r="K426" s="178">
        <f t="shared" si="63"/>
        <v>85261.875970000008</v>
      </c>
      <c r="L426" s="178">
        <f t="shared" si="63"/>
        <v>-1162.5</v>
      </c>
      <c r="M426" s="178">
        <f t="shared" si="63"/>
        <v>84099.375970000008</v>
      </c>
    </row>
    <row r="427" spans="1:14" s="145" customFormat="1" ht="90" customHeight="1" x14ac:dyDescent="0.35">
      <c r="A427" s="142"/>
      <c r="B427" s="565" t="s">
        <v>300</v>
      </c>
      <c r="C427" s="143" t="s">
        <v>412</v>
      </c>
      <c r="D427" s="107" t="s">
        <v>104</v>
      </c>
      <c r="E427" s="107" t="s">
        <v>52</v>
      </c>
      <c r="F427" s="104" t="s">
        <v>79</v>
      </c>
      <c r="G427" s="105" t="s">
        <v>45</v>
      </c>
      <c r="H427" s="105" t="s">
        <v>39</v>
      </c>
      <c r="I427" s="106" t="s">
        <v>44</v>
      </c>
      <c r="J427" s="107"/>
      <c r="K427" s="178">
        <f t="shared" si="63"/>
        <v>85261.875970000008</v>
      </c>
      <c r="L427" s="178">
        <f t="shared" si="63"/>
        <v>-1162.5</v>
      </c>
      <c r="M427" s="178">
        <f t="shared" si="63"/>
        <v>84099.375970000008</v>
      </c>
    </row>
    <row r="428" spans="1:14" s="136" customFormat="1" ht="108" customHeight="1" x14ac:dyDescent="0.35">
      <c r="A428" s="131"/>
      <c r="B428" s="554" t="s">
        <v>414</v>
      </c>
      <c r="C428" s="132" t="s">
        <v>412</v>
      </c>
      <c r="D428" s="133" t="s">
        <v>104</v>
      </c>
      <c r="E428" s="133" t="s">
        <v>52</v>
      </c>
      <c r="F428" s="86" t="s">
        <v>79</v>
      </c>
      <c r="G428" s="87" t="s">
        <v>45</v>
      </c>
      <c r="H428" s="87" t="s">
        <v>39</v>
      </c>
      <c r="I428" s="108" t="s">
        <v>415</v>
      </c>
      <c r="J428" s="89"/>
      <c r="K428" s="135">
        <f t="shared" ref="K428:M428" si="64">K429</f>
        <v>85261.875970000008</v>
      </c>
      <c r="L428" s="135">
        <f t="shared" si="64"/>
        <v>-1162.5</v>
      </c>
      <c r="M428" s="135">
        <f t="shared" si="64"/>
        <v>84099.375970000008</v>
      </c>
      <c r="N428" s="164"/>
    </row>
    <row r="429" spans="1:14" s="136" customFormat="1" ht="54" customHeight="1" x14ac:dyDescent="0.35">
      <c r="A429" s="131"/>
      <c r="B429" s="516" t="s">
        <v>203</v>
      </c>
      <c r="C429" s="132" t="s">
        <v>412</v>
      </c>
      <c r="D429" s="278" t="s">
        <v>104</v>
      </c>
      <c r="E429" s="278" t="s">
        <v>52</v>
      </c>
      <c r="F429" s="137" t="s">
        <v>79</v>
      </c>
      <c r="G429" s="138" t="s">
        <v>45</v>
      </c>
      <c r="H429" s="138" t="s">
        <v>39</v>
      </c>
      <c r="I429" s="485" t="s">
        <v>415</v>
      </c>
      <c r="J429" s="486" t="s">
        <v>204</v>
      </c>
      <c r="K429" s="135">
        <f>77846.8+7421.1-6.02403</f>
        <v>85261.875970000008</v>
      </c>
      <c r="L429" s="24">
        <f>M429-K429</f>
        <v>-1162.5</v>
      </c>
      <c r="M429" s="135">
        <f>77846.8+7421.1-6.02403-1162.5</f>
        <v>84099.375970000008</v>
      </c>
      <c r="N429" s="164"/>
    </row>
    <row r="430" spans="1:14" s="136" customFormat="1" ht="18" customHeight="1" x14ac:dyDescent="0.35">
      <c r="A430" s="603"/>
      <c r="B430" s="514" t="s">
        <v>322</v>
      </c>
      <c r="C430" s="604" t="s">
        <v>412</v>
      </c>
      <c r="D430" s="28" t="s">
        <v>67</v>
      </c>
      <c r="E430" s="28"/>
      <c r="F430" s="212"/>
      <c r="G430" s="213"/>
      <c r="H430" s="213"/>
      <c r="I430" s="214"/>
      <c r="J430" s="606"/>
      <c r="K430" s="446">
        <f t="shared" ref="K430:M435" si="65">K431</f>
        <v>74276.5</v>
      </c>
      <c r="L430" s="446">
        <f t="shared" si="65"/>
        <v>0</v>
      </c>
      <c r="M430" s="446">
        <f t="shared" si="65"/>
        <v>74276.5</v>
      </c>
      <c r="N430" s="164"/>
    </row>
    <row r="431" spans="1:14" s="136" customFormat="1" ht="18" customHeight="1" x14ac:dyDescent="0.35">
      <c r="A431" s="131"/>
      <c r="B431" s="560" t="s">
        <v>360</v>
      </c>
      <c r="C431" s="132" t="s">
        <v>412</v>
      </c>
      <c r="D431" s="496" t="s">
        <v>67</v>
      </c>
      <c r="E431" s="496" t="s">
        <v>37</v>
      </c>
      <c r="F431" s="25"/>
      <c r="G431" s="26"/>
      <c r="H431" s="26"/>
      <c r="I431" s="605"/>
      <c r="J431" s="592"/>
      <c r="K431" s="275">
        <f t="shared" si="65"/>
        <v>74276.5</v>
      </c>
      <c r="L431" s="275">
        <f t="shared" si="65"/>
        <v>0</v>
      </c>
      <c r="M431" s="275">
        <f t="shared" si="65"/>
        <v>74276.5</v>
      </c>
      <c r="N431" s="164"/>
    </row>
    <row r="432" spans="1:14" s="136" customFormat="1" ht="54" customHeight="1" x14ac:dyDescent="0.35">
      <c r="A432" s="131"/>
      <c r="B432" s="510" t="s">
        <v>217</v>
      </c>
      <c r="C432" s="132" t="s">
        <v>412</v>
      </c>
      <c r="D432" s="10" t="s">
        <v>67</v>
      </c>
      <c r="E432" s="10" t="s">
        <v>37</v>
      </c>
      <c r="F432" s="709" t="s">
        <v>52</v>
      </c>
      <c r="G432" s="710" t="s">
        <v>42</v>
      </c>
      <c r="H432" s="710" t="s">
        <v>43</v>
      </c>
      <c r="I432" s="711" t="s">
        <v>44</v>
      </c>
      <c r="J432" s="89"/>
      <c r="K432" s="275">
        <f t="shared" si="65"/>
        <v>74276.5</v>
      </c>
      <c r="L432" s="275">
        <f t="shared" si="65"/>
        <v>0</v>
      </c>
      <c r="M432" s="275">
        <f t="shared" si="65"/>
        <v>74276.5</v>
      </c>
      <c r="N432" s="164"/>
    </row>
    <row r="433" spans="1:16" s="136" customFormat="1" ht="36" customHeight="1" x14ac:dyDescent="0.35">
      <c r="A433" s="131"/>
      <c r="B433" s="560" t="s">
        <v>339</v>
      </c>
      <c r="C433" s="132" t="s">
        <v>412</v>
      </c>
      <c r="D433" s="10" t="s">
        <v>67</v>
      </c>
      <c r="E433" s="10" t="s">
        <v>37</v>
      </c>
      <c r="F433" s="709" t="s">
        <v>52</v>
      </c>
      <c r="G433" s="710" t="s">
        <v>31</v>
      </c>
      <c r="H433" s="710" t="s">
        <v>43</v>
      </c>
      <c r="I433" s="711" t="s">
        <v>44</v>
      </c>
      <c r="J433" s="89"/>
      <c r="K433" s="275">
        <f t="shared" si="65"/>
        <v>74276.5</v>
      </c>
      <c r="L433" s="275">
        <f t="shared" si="65"/>
        <v>0</v>
      </c>
      <c r="M433" s="275">
        <f t="shared" si="65"/>
        <v>74276.5</v>
      </c>
      <c r="N433" s="164"/>
    </row>
    <row r="434" spans="1:16" s="136" customFormat="1" ht="72" customHeight="1" x14ac:dyDescent="0.35">
      <c r="A434" s="131"/>
      <c r="B434" s="510" t="s">
        <v>409</v>
      </c>
      <c r="C434" s="132" t="s">
        <v>412</v>
      </c>
      <c r="D434" s="10" t="s">
        <v>67</v>
      </c>
      <c r="E434" s="10" t="s">
        <v>37</v>
      </c>
      <c r="F434" s="709" t="s">
        <v>52</v>
      </c>
      <c r="G434" s="710" t="s">
        <v>31</v>
      </c>
      <c r="H434" s="710" t="s">
        <v>63</v>
      </c>
      <c r="I434" s="711" t="s">
        <v>44</v>
      </c>
      <c r="J434" s="89"/>
      <c r="K434" s="275">
        <f>K435+K437</f>
        <v>74276.5</v>
      </c>
      <c r="L434" s="275">
        <f>L435+L437</f>
        <v>0</v>
      </c>
      <c r="M434" s="275">
        <f>M435+M437</f>
        <v>74276.5</v>
      </c>
      <c r="N434" s="164"/>
    </row>
    <row r="435" spans="1:16" s="136" customFormat="1" ht="54" customHeight="1" x14ac:dyDescent="0.35">
      <c r="A435" s="131"/>
      <c r="B435" s="510" t="s">
        <v>219</v>
      </c>
      <c r="C435" s="132" t="s">
        <v>412</v>
      </c>
      <c r="D435" s="10" t="s">
        <v>67</v>
      </c>
      <c r="E435" s="10" t="s">
        <v>37</v>
      </c>
      <c r="F435" s="709" t="s">
        <v>52</v>
      </c>
      <c r="G435" s="710" t="s">
        <v>31</v>
      </c>
      <c r="H435" s="710" t="s">
        <v>63</v>
      </c>
      <c r="I435" s="711" t="s">
        <v>292</v>
      </c>
      <c r="J435" s="89"/>
      <c r="K435" s="275">
        <f t="shared" si="65"/>
        <v>695.20000000000016</v>
      </c>
      <c r="L435" s="275">
        <f t="shared" si="65"/>
        <v>0</v>
      </c>
      <c r="M435" s="275">
        <f t="shared" si="65"/>
        <v>695.20000000000016</v>
      </c>
      <c r="N435" s="164"/>
    </row>
    <row r="436" spans="1:16" s="136" customFormat="1" ht="54" customHeight="1" x14ac:dyDescent="0.35">
      <c r="A436" s="131"/>
      <c r="B436" s="554" t="s">
        <v>203</v>
      </c>
      <c r="C436" s="132" t="s">
        <v>412</v>
      </c>
      <c r="D436" s="10" t="s">
        <v>67</v>
      </c>
      <c r="E436" s="10" t="s">
        <v>37</v>
      </c>
      <c r="F436" s="709" t="s">
        <v>52</v>
      </c>
      <c r="G436" s="710" t="s">
        <v>31</v>
      </c>
      <c r="H436" s="710" t="s">
        <v>63</v>
      </c>
      <c r="I436" s="711" t="s">
        <v>292</v>
      </c>
      <c r="J436" s="89" t="s">
        <v>204</v>
      </c>
      <c r="K436" s="135">
        <f>7338.7-4166.4-630.5-2207.5+360.9</f>
        <v>695.20000000000016</v>
      </c>
      <c r="L436" s="24">
        <f>M436-K436</f>
        <v>0</v>
      </c>
      <c r="M436" s="135">
        <f>7338.7-4166.4-630.5-2207.5+360.9</f>
        <v>695.20000000000016</v>
      </c>
      <c r="N436" s="164"/>
    </row>
    <row r="437" spans="1:16" s="136" customFormat="1" ht="108" customHeight="1" x14ac:dyDescent="0.35">
      <c r="A437" s="131"/>
      <c r="B437" s="554" t="s">
        <v>503</v>
      </c>
      <c r="C437" s="132" t="s">
        <v>412</v>
      </c>
      <c r="D437" s="10" t="s">
        <v>67</v>
      </c>
      <c r="E437" s="10" t="s">
        <v>37</v>
      </c>
      <c r="F437" s="709" t="s">
        <v>52</v>
      </c>
      <c r="G437" s="710" t="s">
        <v>31</v>
      </c>
      <c r="H437" s="710" t="s">
        <v>63</v>
      </c>
      <c r="I437" s="711" t="s">
        <v>502</v>
      </c>
      <c r="J437" s="88"/>
      <c r="K437" s="135">
        <f>K438</f>
        <v>73581.3</v>
      </c>
      <c r="L437" s="183">
        <f>L438</f>
        <v>0</v>
      </c>
      <c r="M437" s="135">
        <f>M438</f>
        <v>73581.3</v>
      </c>
      <c r="N437" s="164"/>
    </row>
    <row r="438" spans="1:16" s="136" customFormat="1" ht="54" customHeight="1" x14ac:dyDescent="0.35">
      <c r="A438" s="131"/>
      <c r="B438" s="554" t="s">
        <v>203</v>
      </c>
      <c r="C438" s="132" t="s">
        <v>412</v>
      </c>
      <c r="D438" s="10" t="s">
        <v>67</v>
      </c>
      <c r="E438" s="10" t="s">
        <v>37</v>
      </c>
      <c r="F438" s="709" t="s">
        <v>52</v>
      </c>
      <c r="G438" s="710" t="s">
        <v>31</v>
      </c>
      <c r="H438" s="710" t="s">
        <v>63</v>
      </c>
      <c r="I438" s="711" t="s">
        <v>502</v>
      </c>
      <c r="J438" s="88" t="s">
        <v>204</v>
      </c>
      <c r="K438" s="275">
        <f>71373.8+2207.5</f>
        <v>73581.3</v>
      </c>
      <c r="L438" s="24">
        <f>M438-K438</f>
        <v>0</v>
      </c>
      <c r="M438" s="275">
        <f>71373.8+2207.5</f>
        <v>73581.3</v>
      </c>
      <c r="N438" s="164"/>
    </row>
    <row r="439" spans="1:16" s="136" customFormat="1" ht="18" customHeight="1" x14ac:dyDescent="0.35">
      <c r="A439" s="131"/>
      <c r="B439" s="554"/>
      <c r="C439" s="159"/>
      <c r="D439" s="160"/>
      <c r="E439" s="160"/>
      <c r="F439" s="161"/>
      <c r="G439" s="162"/>
      <c r="H439" s="162"/>
      <c r="I439" s="163"/>
      <c r="J439" s="160"/>
      <c r="K439" s="135"/>
      <c r="L439" s="269"/>
      <c r="M439" s="135"/>
    </row>
    <row r="440" spans="1:16" s="120" customFormat="1" ht="52.2" customHeight="1" x14ac:dyDescent="0.3">
      <c r="A440" s="115">
        <v>5</v>
      </c>
      <c r="B440" s="557" t="s">
        <v>7</v>
      </c>
      <c r="C440" s="18" t="s">
        <v>423</v>
      </c>
      <c r="D440" s="19"/>
      <c r="E440" s="19"/>
      <c r="F440" s="20"/>
      <c r="G440" s="21"/>
      <c r="H440" s="21"/>
      <c r="I440" s="22"/>
      <c r="J440" s="19"/>
      <c r="K440" s="32">
        <f>K454+K624+K441</f>
        <v>1432677.0052999998</v>
      </c>
      <c r="L440" s="32">
        <f>L454+L624+L441</f>
        <v>48264.500000000015</v>
      </c>
      <c r="M440" s="32">
        <f>M454+M624+M441</f>
        <v>1480941.5053000001</v>
      </c>
      <c r="N440" s="146"/>
      <c r="O440" s="146"/>
      <c r="P440" s="146"/>
    </row>
    <row r="441" spans="1:16" s="120" customFormat="1" ht="18" customHeight="1" x14ac:dyDescent="0.35">
      <c r="A441" s="115"/>
      <c r="B441" s="512" t="s">
        <v>36</v>
      </c>
      <c r="C441" s="244" t="s">
        <v>423</v>
      </c>
      <c r="D441" s="242" t="s">
        <v>37</v>
      </c>
      <c r="E441" s="85"/>
      <c r="F441" s="245"/>
      <c r="G441" s="91"/>
      <c r="H441" s="91"/>
      <c r="I441" s="92"/>
      <c r="J441" s="85"/>
      <c r="K441" s="215">
        <f t="shared" ref="K441:M442" si="66">K442</f>
        <v>910.6</v>
      </c>
      <c r="L441" s="215">
        <f t="shared" si="66"/>
        <v>0</v>
      </c>
      <c r="M441" s="215">
        <f t="shared" si="66"/>
        <v>910.6</v>
      </c>
      <c r="N441" s="146"/>
      <c r="O441" s="146"/>
    </row>
    <row r="442" spans="1:16" s="120" customFormat="1" ht="18" customHeight="1" x14ac:dyDescent="0.35">
      <c r="A442" s="115"/>
      <c r="B442" s="512" t="s">
        <v>70</v>
      </c>
      <c r="C442" s="246" t="s">
        <v>423</v>
      </c>
      <c r="D442" s="242" t="s">
        <v>37</v>
      </c>
      <c r="E442" s="242" t="s">
        <v>71</v>
      </c>
      <c r="F442" s="245"/>
      <c r="G442" s="91"/>
      <c r="H442" s="91"/>
      <c r="I442" s="92"/>
      <c r="J442" s="85"/>
      <c r="K442" s="215">
        <f t="shared" si="66"/>
        <v>910.6</v>
      </c>
      <c r="L442" s="215">
        <f t="shared" si="66"/>
        <v>0</v>
      </c>
      <c r="M442" s="215">
        <f t="shared" si="66"/>
        <v>910.6</v>
      </c>
      <c r="N442" s="146"/>
      <c r="O442" s="146"/>
    </row>
    <row r="443" spans="1:16" s="120" customFormat="1" ht="54" customHeight="1" x14ac:dyDescent="0.35">
      <c r="A443" s="115"/>
      <c r="B443" s="512" t="s">
        <v>205</v>
      </c>
      <c r="C443" s="244" t="s">
        <v>423</v>
      </c>
      <c r="D443" s="242" t="s">
        <v>37</v>
      </c>
      <c r="E443" s="242" t="s">
        <v>71</v>
      </c>
      <c r="F443" s="702" t="s">
        <v>39</v>
      </c>
      <c r="G443" s="703" t="s">
        <v>42</v>
      </c>
      <c r="H443" s="703" t="s">
        <v>43</v>
      </c>
      <c r="I443" s="704" t="s">
        <v>44</v>
      </c>
      <c r="J443" s="242"/>
      <c r="K443" s="215">
        <f>K444</f>
        <v>910.6</v>
      </c>
      <c r="L443" s="215">
        <f>L444</f>
        <v>0</v>
      </c>
      <c r="M443" s="215">
        <f>M444</f>
        <v>910.6</v>
      </c>
      <c r="N443" s="146"/>
      <c r="O443" s="146"/>
    </row>
    <row r="444" spans="1:16" s="120" customFormat="1" ht="54" customHeight="1" x14ac:dyDescent="0.35">
      <c r="A444" s="115"/>
      <c r="B444" s="578" t="s">
        <v>212</v>
      </c>
      <c r="C444" s="244" t="s">
        <v>423</v>
      </c>
      <c r="D444" s="242" t="s">
        <v>37</v>
      </c>
      <c r="E444" s="242" t="s">
        <v>71</v>
      </c>
      <c r="F444" s="702" t="s">
        <v>39</v>
      </c>
      <c r="G444" s="703" t="s">
        <v>30</v>
      </c>
      <c r="H444" s="703" t="s">
        <v>43</v>
      </c>
      <c r="I444" s="704" t="s">
        <v>44</v>
      </c>
      <c r="J444" s="242"/>
      <c r="K444" s="215">
        <f>K445+K448+K451</f>
        <v>910.6</v>
      </c>
      <c r="L444" s="215">
        <f>L445+L448+L451</f>
        <v>0</v>
      </c>
      <c r="M444" s="215">
        <f>M445+M448+M451</f>
        <v>910.6</v>
      </c>
      <c r="N444" s="146"/>
      <c r="O444" s="146"/>
    </row>
    <row r="445" spans="1:16" s="120" customFormat="1" ht="36" customHeight="1" x14ac:dyDescent="0.35">
      <c r="A445" s="115"/>
      <c r="B445" s="512" t="s">
        <v>351</v>
      </c>
      <c r="C445" s="244" t="s">
        <v>423</v>
      </c>
      <c r="D445" s="242" t="s">
        <v>37</v>
      </c>
      <c r="E445" s="242" t="s">
        <v>71</v>
      </c>
      <c r="F445" s="702" t="s">
        <v>39</v>
      </c>
      <c r="G445" s="703" t="s">
        <v>30</v>
      </c>
      <c r="H445" s="703" t="s">
        <v>63</v>
      </c>
      <c r="I445" s="704" t="s">
        <v>44</v>
      </c>
      <c r="J445" s="242"/>
      <c r="K445" s="215">
        <f t="shared" ref="K445:M446" si="67">K446</f>
        <v>552.6</v>
      </c>
      <c r="L445" s="215">
        <f t="shared" si="67"/>
        <v>0</v>
      </c>
      <c r="M445" s="215">
        <f t="shared" si="67"/>
        <v>552.6</v>
      </c>
      <c r="N445" s="146"/>
      <c r="O445" s="146"/>
    </row>
    <row r="446" spans="1:16" s="120" customFormat="1" ht="54" customHeight="1" x14ac:dyDescent="0.35">
      <c r="A446" s="115"/>
      <c r="B446" s="578" t="s">
        <v>472</v>
      </c>
      <c r="C446" s="246" t="s">
        <v>423</v>
      </c>
      <c r="D446" s="242" t="s">
        <v>37</v>
      </c>
      <c r="E446" s="242" t="s">
        <v>71</v>
      </c>
      <c r="F446" s="702" t="s">
        <v>39</v>
      </c>
      <c r="G446" s="703" t="s">
        <v>30</v>
      </c>
      <c r="H446" s="703" t="s">
        <v>63</v>
      </c>
      <c r="I446" s="704" t="s">
        <v>105</v>
      </c>
      <c r="J446" s="242"/>
      <c r="K446" s="215">
        <f t="shared" si="67"/>
        <v>552.6</v>
      </c>
      <c r="L446" s="215">
        <f t="shared" si="67"/>
        <v>0</v>
      </c>
      <c r="M446" s="215">
        <f t="shared" si="67"/>
        <v>552.6</v>
      </c>
      <c r="N446" s="146"/>
      <c r="O446" s="146"/>
    </row>
    <row r="447" spans="1:16" s="120" customFormat="1" ht="54" customHeight="1" x14ac:dyDescent="0.35">
      <c r="A447" s="115"/>
      <c r="B447" s="578" t="s">
        <v>55</v>
      </c>
      <c r="C447" s="246" t="s">
        <v>423</v>
      </c>
      <c r="D447" s="242" t="s">
        <v>37</v>
      </c>
      <c r="E447" s="242" t="s">
        <v>71</v>
      </c>
      <c r="F447" s="702" t="s">
        <v>39</v>
      </c>
      <c r="G447" s="703" t="s">
        <v>30</v>
      </c>
      <c r="H447" s="703" t="s">
        <v>63</v>
      </c>
      <c r="I447" s="704" t="s">
        <v>105</v>
      </c>
      <c r="J447" s="242" t="s">
        <v>56</v>
      </c>
      <c r="K447" s="215">
        <f>436.7+98.9+17</f>
        <v>552.6</v>
      </c>
      <c r="L447" s="24">
        <f>M447-K447</f>
        <v>0</v>
      </c>
      <c r="M447" s="215">
        <f>436.7+98.9+17</f>
        <v>552.6</v>
      </c>
      <c r="N447" s="146"/>
      <c r="O447" s="146"/>
    </row>
    <row r="448" spans="1:16" s="120" customFormat="1" ht="36" customHeight="1" x14ac:dyDescent="0.35">
      <c r="A448" s="115"/>
      <c r="B448" s="578" t="s">
        <v>468</v>
      </c>
      <c r="C448" s="244" t="s">
        <v>423</v>
      </c>
      <c r="D448" s="242" t="s">
        <v>37</v>
      </c>
      <c r="E448" s="242" t="s">
        <v>71</v>
      </c>
      <c r="F448" s="702" t="s">
        <v>39</v>
      </c>
      <c r="G448" s="703" t="s">
        <v>30</v>
      </c>
      <c r="H448" s="703" t="s">
        <v>52</v>
      </c>
      <c r="I448" s="704" t="s">
        <v>44</v>
      </c>
      <c r="J448" s="242"/>
      <c r="K448" s="215">
        <f t="shared" ref="K448:M449" si="68">K449</f>
        <v>24</v>
      </c>
      <c r="L448" s="215">
        <f t="shared" si="68"/>
        <v>0</v>
      </c>
      <c r="M448" s="215">
        <f t="shared" si="68"/>
        <v>24</v>
      </c>
      <c r="N448" s="146"/>
      <c r="O448" s="146"/>
    </row>
    <row r="449" spans="1:15" s="120" customFormat="1" ht="18" customHeight="1" x14ac:dyDescent="0.35">
      <c r="A449" s="115"/>
      <c r="B449" s="578" t="s">
        <v>473</v>
      </c>
      <c r="C449" s="246" t="s">
        <v>423</v>
      </c>
      <c r="D449" s="242" t="s">
        <v>37</v>
      </c>
      <c r="E449" s="242" t="s">
        <v>71</v>
      </c>
      <c r="F449" s="702" t="s">
        <v>39</v>
      </c>
      <c r="G449" s="703" t="s">
        <v>30</v>
      </c>
      <c r="H449" s="703" t="s">
        <v>52</v>
      </c>
      <c r="I449" s="704" t="s">
        <v>467</v>
      </c>
      <c r="J449" s="242"/>
      <c r="K449" s="215">
        <f t="shared" si="68"/>
        <v>24</v>
      </c>
      <c r="L449" s="215">
        <f t="shared" si="68"/>
        <v>0</v>
      </c>
      <c r="M449" s="215">
        <f t="shared" si="68"/>
        <v>24</v>
      </c>
      <c r="N449" s="146"/>
      <c r="O449" s="146"/>
    </row>
    <row r="450" spans="1:15" s="120" customFormat="1" ht="54" customHeight="1" x14ac:dyDescent="0.35">
      <c r="A450" s="115"/>
      <c r="B450" s="578" t="s">
        <v>55</v>
      </c>
      <c r="C450" s="246" t="s">
        <v>423</v>
      </c>
      <c r="D450" s="242" t="s">
        <v>37</v>
      </c>
      <c r="E450" s="242" t="s">
        <v>71</v>
      </c>
      <c r="F450" s="702" t="s">
        <v>39</v>
      </c>
      <c r="G450" s="703" t="s">
        <v>30</v>
      </c>
      <c r="H450" s="703" t="s">
        <v>52</v>
      </c>
      <c r="I450" s="704" t="s">
        <v>467</v>
      </c>
      <c r="J450" s="242" t="s">
        <v>56</v>
      </c>
      <c r="K450" s="215">
        <v>24</v>
      </c>
      <c r="L450" s="24">
        <f>M450-K450</f>
        <v>0</v>
      </c>
      <c r="M450" s="215">
        <v>24</v>
      </c>
      <c r="N450" s="146"/>
      <c r="O450" s="146"/>
    </row>
    <row r="451" spans="1:15" s="120" customFormat="1" ht="36" customHeight="1" x14ac:dyDescent="0.35">
      <c r="A451" s="115"/>
      <c r="B451" s="578" t="s">
        <v>471</v>
      </c>
      <c r="C451" s="246" t="s">
        <v>423</v>
      </c>
      <c r="D451" s="242" t="s">
        <v>37</v>
      </c>
      <c r="E451" s="242" t="s">
        <v>71</v>
      </c>
      <c r="F451" s="702" t="s">
        <v>39</v>
      </c>
      <c r="G451" s="703" t="s">
        <v>30</v>
      </c>
      <c r="H451" s="703" t="s">
        <v>65</v>
      </c>
      <c r="I451" s="405" t="s">
        <v>44</v>
      </c>
      <c r="J451" s="83"/>
      <c r="K451" s="215">
        <f t="shared" ref="K451:M452" si="69">K452</f>
        <v>334</v>
      </c>
      <c r="L451" s="215">
        <f t="shared" si="69"/>
        <v>0</v>
      </c>
      <c r="M451" s="215">
        <f t="shared" si="69"/>
        <v>334</v>
      </c>
      <c r="N451" s="146"/>
      <c r="O451" s="146"/>
    </row>
    <row r="452" spans="1:15" s="120" customFormat="1" ht="36" customHeight="1" x14ac:dyDescent="0.35">
      <c r="A452" s="115"/>
      <c r="B452" s="578" t="s">
        <v>127</v>
      </c>
      <c r="C452" s="246" t="s">
        <v>423</v>
      </c>
      <c r="D452" s="242" t="s">
        <v>37</v>
      </c>
      <c r="E452" s="242" t="s">
        <v>71</v>
      </c>
      <c r="F452" s="702" t="s">
        <v>39</v>
      </c>
      <c r="G452" s="703" t="s">
        <v>30</v>
      </c>
      <c r="H452" s="703" t="s">
        <v>65</v>
      </c>
      <c r="I452" s="405" t="s">
        <v>90</v>
      </c>
      <c r="J452" s="83"/>
      <c r="K452" s="215">
        <f t="shared" si="69"/>
        <v>334</v>
      </c>
      <c r="L452" s="215">
        <f t="shared" si="69"/>
        <v>0</v>
      </c>
      <c r="M452" s="215">
        <f t="shared" si="69"/>
        <v>334</v>
      </c>
      <c r="N452" s="146"/>
      <c r="O452" s="146"/>
    </row>
    <row r="453" spans="1:15" s="120" customFormat="1" ht="54" customHeight="1" x14ac:dyDescent="0.35">
      <c r="A453" s="115"/>
      <c r="B453" s="578" t="s">
        <v>55</v>
      </c>
      <c r="C453" s="246" t="s">
        <v>423</v>
      </c>
      <c r="D453" s="242" t="s">
        <v>37</v>
      </c>
      <c r="E453" s="242" t="s">
        <v>71</v>
      </c>
      <c r="F453" s="702" t="s">
        <v>39</v>
      </c>
      <c r="G453" s="703" t="s">
        <v>30</v>
      </c>
      <c r="H453" s="703" t="s">
        <v>65</v>
      </c>
      <c r="I453" s="405" t="s">
        <v>90</v>
      </c>
      <c r="J453" s="83" t="s">
        <v>56</v>
      </c>
      <c r="K453" s="215">
        <f>296.5+37.5</f>
        <v>334</v>
      </c>
      <c r="L453" s="24">
        <f>M453-K453</f>
        <v>0</v>
      </c>
      <c r="M453" s="215">
        <f>296.5+37.5</f>
        <v>334</v>
      </c>
      <c r="N453" s="146"/>
      <c r="O453" s="146"/>
    </row>
    <row r="454" spans="1:15" s="121" customFormat="1" ht="18" customHeight="1" x14ac:dyDescent="0.35">
      <c r="A454" s="11"/>
      <c r="B454" s="510" t="s">
        <v>179</v>
      </c>
      <c r="C454" s="23" t="s">
        <v>423</v>
      </c>
      <c r="D454" s="10" t="s">
        <v>224</v>
      </c>
      <c r="E454" s="10"/>
      <c r="F454" s="709"/>
      <c r="G454" s="710"/>
      <c r="H454" s="710"/>
      <c r="I454" s="711"/>
      <c r="J454" s="10"/>
      <c r="K454" s="24">
        <f>K455+K491+K594+K552</f>
        <v>1424553.5052999998</v>
      </c>
      <c r="L454" s="24">
        <f>L455+L491+L594+L552+L584</f>
        <v>47872.200000000012</v>
      </c>
      <c r="M454" s="24">
        <f>M455+M491+M594+M552+M584</f>
        <v>1472425.7053</v>
      </c>
      <c r="N454" s="147"/>
      <c r="O454" s="147"/>
    </row>
    <row r="455" spans="1:15" s="120" customFormat="1" ht="18" customHeight="1" x14ac:dyDescent="0.35">
      <c r="A455" s="11"/>
      <c r="B455" s="510" t="s">
        <v>181</v>
      </c>
      <c r="C455" s="23" t="s">
        <v>423</v>
      </c>
      <c r="D455" s="10" t="s">
        <v>224</v>
      </c>
      <c r="E455" s="10" t="s">
        <v>37</v>
      </c>
      <c r="F455" s="709"/>
      <c r="G455" s="710"/>
      <c r="H455" s="710"/>
      <c r="I455" s="711"/>
      <c r="J455" s="10"/>
      <c r="K455" s="24">
        <f>K456+K477+K486</f>
        <v>410234.89999999997</v>
      </c>
      <c r="L455" s="24">
        <f>L456+L477+L486</f>
        <v>12176.899999999991</v>
      </c>
      <c r="M455" s="24">
        <f>M456+M477+M486</f>
        <v>422411.80000000005</v>
      </c>
    </row>
    <row r="456" spans="1:15" s="120" customFormat="1" ht="54" customHeight="1" x14ac:dyDescent="0.35">
      <c r="A456" s="11"/>
      <c r="B456" s="510" t="s">
        <v>205</v>
      </c>
      <c r="C456" s="23" t="s">
        <v>423</v>
      </c>
      <c r="D456" s="10" t="s">
        <v>224</v>
      </c>
      <c r="E456" s="10" t="s">
        <v>37</v>
      </c>
      <c r="F456" s="709" t="s">
        <v>39</v>
      </c>
      <c r="G456" s="710" t="s">
        <v>42</v>
      </c>
      <c r="H456" s="710" t="s">
        <v>43</v>
      </c>
      <c r="I456" s="711" t="s">
        <v>44</v>
      </c>
      <c r="J456" s="10"/>
      <c r="K456" s="24">
        <f t="shared" ref="K456:M457" si="70">K457</f>
        <v>408824.99999999994</v>
      </c>
      <c r="L456" s="24">
        <f t="shared" si="70"/>
        <v>12176.899999999991</v>
      </c>
      <c r="M456" s="24">
        <f t="shared" si="70"/>
        <v>421001.9</v>
      </c>
    </row>
    <row r="457" spans="1:15" s="120" customFormat="1" ht="36" customHeight="1" x14ac:dyDescent="0.35">
      <c r="A457" s="11"/>
      <c r="B457" s="510" t="s">
        <v>206</v>
      </c>
      <c r="C457" s="23" t="s">
        <v>423</v>
      </c>
      <c r="D457" s="10" t="s">
        <v>224</v>
      </c>
      <c r="E457" s="10" t="s">
        <v>37</v>
      </c>
      <c r="F457" s="709" t="s">
        <v>39</v>
      </c>
      <c r="G457" s="710" t="s">
        <v>45</v>
      </c>
      <c r="H457" s="710" t="s">
        <v>43</v>
      </c>
      <c r="I457" s="711" t="s">
        <v>44</v>
      </c>
      <c r="J457" s="10"/>
      <c r="K457" s="24">
        <f t="shared" si="70"/>
        <v>408824.99999999994</v>
      </c>
      <c r="L457" s="24">
        <f t="shared" si="70"/>
        <v>12176.899999999991</v>
      </c>
      <c r="M457" s="24">
        <f t="shared" si="70"/>
        <v>421001.9</v>
      </c>
    </row>
    <row r="458" spans="1:15" s="120" customFormat="1" ht="36" customHeight="1" x14ac:dyDescent="0.35">
      <c r="A458" s="11"/>
      <c r="B458" s="510" t="s">
        <v>267</v>
      </c>
      <c r="C458" s="23" t="s">
        <v>423</v>
      </c>
      <c r="D458" s="10" t="s">
        <v>224</v>
      </c>
      <c r="E458" s="10" t="s">
        <v>37</v>
      </c>
      <c r="F458" s="709" t="s">
        <v>39</v>
      </c>
      <c r="G458" s="710" t="s">
        <v>45</v>
      </c>
      <c r="H458" s="710" t="s">
        <v>37</v>
      </c>
      <c r="I458" s="711" t="s">
        <v>44</v>
      </c>
      <c r="J458" s="10"/>
      <c r="K458" s="24">
        <f>K467+K469+K459+K463+K461+K465+K473+K471</f>
        <v>408824.99999999994</v>
      </c>
      <c r="L458" s="24">
        <f>L467+L469+L459+L463+L461+L465+L473+L471+L475</f>
        <v>12176.899999999991</v>
      </c>
      <c r="M458" s="24">
        <f>M467+M469+M459+M463+M461+M465+M473+M471+M475</f>
        <v>421001.9</v>
      </c>
      <c r="N458" s="179"/>
    </row>
    <row r="459" spans="1:15" s="116" customFormat="1" ht="36" customHeight="1" x14ac:dyDescent="0.35">
      <c r="A459" s="11"/>
      <c r="B459" s="543" t="s">
        <v>464</v>
      </c>
      <c r="C459" s="23" t="s">
        <v>423</v>
      </c>
      <c r="D459" s="10" t="s">
        <v>224</v>
      </c>
      <c r="E459" s="10" t="s">
        <v>37</v>
      </c>
      <c r="F459" s="709" t="s">
        <v>39</v>
      </c>
      <c r="G459" s="710" t="s">
        <v>45</v>
      </c>
      <c r="H459" s="710" t="s">
        <v>37</v>
      </c>
      <c r="I459" s="711" t="s">
        <v>91</v>
      </c>
      <c r="J459" s="10"/>
      <c r="K459" s="24">
        <f>K460</f>
        <v>102182.79999999999</v>
      </c>
      <c r="L459" s="24">
        <f>L460</f>
        <v>3780.3999999999942</v>
      </c>
      <c r="M459" s="24">
        <f>M460</f>
        <v>105963.19999999998</v>
      </c>
      <c r="N459" s="180"/>
    </row>
    <row r="460" spans="1:15" s="116" customFormat="1" ht="54" customHeight="1" x14ac:dyDescent="0.35">
      <c r="A460" s="11"/>
      <c r="B460" s="510" t="s">
        <v>76</v>
      </c>
      <c r="C460" s="23" t="s">
        <v>423</v>
      </c>
      <c r="D460" s="10" t="s">
        <v>224</v>
      </c>
      <c r="E460" s="10" t="s">
        <v>37</v>
      </c>
      <c r="F460" s="709" t="s">
        <v>39</v>
      </c>
      <c r="G460" s="710" t="s">
        <v>45</v>
      </c>
      <c r="H460" s="710" t="s">
        <v>37</v>
      </c>
      <c r="I460" s="711" t="s">
        <v>91</v>
      </c>
      <c r="J460" s="10" t="s">
        <v>77</v>
      </c>
      <c r="K460" s="24">
        <f>101810-0.1+50+322.9</f>
        <v>102182.79999999999</v>
      </c>
      <c r="L460" s="24">
        <f>M460-K460</f>
        <v>3780.3999999999942</v>
      </c>
      <c r="M460" s="24">
        <f>101810-0.1+50+322.9+1877.9+1880+22.5</f>
        <v>105963.19999999998</v>
      </c>
      <c r="N460" s="180"/>
    </row>
    <row r="461" spans="1:15" s="116" customFormat="1" ht="18" customHeight="1" x14ac:dyDescent="0.35">
      <c r="A461" s="11"/>
      <c r="B461" s="510" t="s">
        <v>465</v>
      </c>
      <c r="C461" s="23" t="s">
        <v>423</v>
      </c>
      <c r="D461" s="10" t="s">
        <v>224</v>
      </c>
      <c r="E461" s="10" t="s">
        <v>37</v>
      </c>
      <c r="F461" s="709" t="s">
        <v>39</v>
      </c>
      <c r="G461" s="710" t="s">
        <v>45</v>
      </c>
      <c r="H461" s="710" t="s">
        <v>37</v>
      </c>
      <c r="I461" s="711" t="s">
        <v>380</v>
      </c>
      <c r="J461" s="10"/>
      <c r="K461" s="24">
        <f>K462</f>
        <v>15955.1</v>
      </c>
      <c r="L461" s="24">
        <f>L462</f>
        <v>-1273.9000000000015</v>
      </c>
      <c r="M461" s="24">
        <f>M462</f>
        <v>14681.199999999999</v>
      </c>
      <c r="N461" s="180"/>
    </row>
    <row r="462" spans="1:15" s="116" customFormat="1" ht="54" customHeight="1" x14ac:dyDescent="0.35">
      <c r="A462" s="11"/>
      <c r="B462" s="510" t="s">
        <v>76</v>
      </c>
      <c r="C462" s="23" t="s">
        <v>423</v>
      </c>
      <c r="D462" s="10" t="s">
        <v>224</v>
      </c>
      <c r="E462" s="10" t="s">
        <v>37</v>
      </c>
      <c r="F462" s="709" t="s">
        <v>39</v>
      </c>
      <c r="G462" s="710" t="s">
        <v>45</v>
      </c>
      <c r="H462" s="710" t="s">
        <v>37</v>
      </c>
      <c r="I462" s="711" t="s">
        <v>380</v>
      </c>
      <c r="J462" s="10" t="s">
        <v>77</v>
      </c>
      <c r="K462" s="24">
        <f>10239.7+473.772+460.884+473.844+319.1+529.5+653.4+9.035+563.1+100.4+141.3+160.9+111.331+56.634+566.5+367.2+817-73.5-15</f>
        <v>15955.1</v>
      </c>
      <c r="L462" s="24">
        <f>M462-K462</f>
        <v>-1273.9000000000015</v>
      </c>
      <c r="M462" s="24">
        <f>10239.7+473.772+460.884+473.844+319.1+529.5+653.4+9.035+563.1+100.4+141.3+160.9+111.331+56.634+566.5+367.2+817-73.5-15-284.557-228.843-68.3-300.95-249.95-141.3</f>
        <v>14681.199999999999</v>
      </c>
      <c r="N462" s="180"/>
    </row>
    <row r="463" spans="1:15" s="120" customFormat="1" ht="54" customHeight="1" x14ac:dyDescent="0.35">
      <c r="A463" s="11"/>
      <c r="B463" s="510" t="s">
        <v>207</v>
      </c>
      <c r="C463" s="23" t="s">
        <v>423</v>
      </c>
      <c r="D463" s="10" t="s">
        <v>224</v>
      </c>
      <c r="E463" s="10" t="s">
        <v>37</v>
      </c>
      <c r="F463" s="709" t="s">
        <v>39</v>
      </c>
      <c r="G463" s="710" t="s">
        <v>45</v>
      </c>
      <c r="H463" s="710" t="s">
        <v>37</v>
      </c>
      <c r="I463" s="711" t="s">
        <v>273</v>
      </c>
      <c r="J463" s="10"/>
      <c r="K463" s="24">
        <f>K464</f>
        <v>30987.600000000002</v>
      </c>
      <c r="L463" s="24">
        <f>L464</f>
        <v>171.99999999999636</v>
      </c>
      <c r="M463" s="24">
        <f>M464</f>
        <v>31159.599999999999</v>
      </c>
      <c r="N463" s="179"/>
    </row>
    <row r="464" spans="1:15" s="120" customFormat="1" ht="54" customHeight="1" x14ac:dyDescent="0.35">
      <c r="A464" s="11"/>
      <c r="B464" s="510" t="s">
        <v>76</v>
      </c>
      <c r="C464" s="23" t="s">
        <v>423</v>
      </c>
      <c r="D464" s="10" t="s">
        <v>224</v>
      </c>
      <c r="E464" s="10" t="s">
        <v>37</v>
      </c>
      <c r="F464" s="709" t="s">
        <v>39</v>
      </c>
      <c r="G464" s="710" t="s">
        <v>45</v>
      </c>
      <c r="H464" s="710" t="s">
        <v>37</v>
      </c>
      <c r="I464" s="711" t="s">
        <v>273</v>
      </c>
      <c r="J464" s="10" t="s">
        <v>77</v>
      </c>
      <c r="K464" s="24">
        <f>28269.9+735.9+362+724+36+81.5+50+46.6+98.4+82.1+85+247.3+5.2+45+36+82.7</f>
        <v>30987.600000000002</v>
      </c>
      <c r="L464" s="24">
        <f>M464-K464</f>
        <v>171.99999999999636</v>
      </c>
      <c r="M464" s="24">
        <f>28269.9+735.9+362+724+36+81.5+50+46.6+98.4+82.1+85+247.3+5.2+45+36+82.7+12.3+12+20.3+56.8+70.6</f>
        <v>31159.599999999999</v>
      </c>
      <c r="N464" s="179"/>
    </row>
    <row r="465" spans="1:14" s="120" customFormat="1" ht="36" customHeight="1" x14ac:dyDescent="0.35">
      <c r="A465" s="11"/>
      <c r="B465" s="510" t="s">
        <v>208</v>
      </c>
      <c r="C465" s="23" t="s">
        <v>423</v>
      </c>
      <c r="D465" s="10" t="s">
        <v>224</v>
      </c>
      <c r="E465" s="10" t="s">
        <v>37</v>
      </c>
      <c r="F465" s="709" t="s">
        <v>39</v>
      </c>
      <c r="G465" s="710" t="s">
        <v>45</v>
      </c>
      <c r="H465" s="710" t="s">
        <v>37</v>
      </c>
      <c r="I465" s="711" t="s">
        <v>274</v>
      </c>
      <c r="J465" s="10"/>
      <c r="K465" s="24">
        <f>K466</f>
        <v>1209.6999999999998</v>
      </c>
      <c r="L465" s="24">
        <f>L466</f>
        <v>488.70000000000005</v>
      </c>
      <c r="M465" s="24">
        <f>M466</f>
        <v>1698.3999999999999</v>
      </c>
      <c r="N465" s="179"/>
    </row>
    <row r="466" spans="1:14" s="116" customFormat="1" ht="54" customHeight="1" x14ac:dyDescent="0.35">
      <c r="A466" s="11"/>
      <c r="B466" s="510" t="s">
        <v>76</v>
      </c>
      <c r="C466" s="23" t="s">
        <v>423</v>
      </c>
      <c r="D466" s="10" t="s">
        <v>224</v>
      </c>
      <c r="E466" s="10" t="s">
        <v>37</v>
      </c>
      <c r="F466" s="709" t="s">
        <v>39</v>
      </c>
      <c r="G466" s="710" t="s">
        <v>45</v>
      </c>
      <c r="H466" s="710" t="s">
        <v>37</v>
      </c>
      <c r="I466" s="711" t="s">
        <v>274</v>
      </c>
      <c r="J466" s="10" t="s">
        <v>77</v>
      </c>
      <c r="K466" s="24">
        <f>80.8+400+300+159.9+269</f>
        <v>1209.6999999999998</v>
      </c>
      <c r="L466" s="24">
        <f>M466-K466</f>
        <v>488.70000000000005</v>
      </c>
      <c r="M466" s="24">
        <f>80.8+400+300+159.9+269-269+214+402.4+141.3</f>
        <v>1698.3999999999999</v>
      </c>
      <c r="N466" s="180"/>
    </row>
    <row r="467" spans="1:14" s="120" customFormat="1" ht="180" customHeight="1" x14ac:dyDescent="0.35">
      <c r="A467" s="11"/>
      <c r="B467" s="510" t="s">
        <v>268</v>
      </c>
      <c r="C467" s="23" t="s">
        <v>423</v>
      </c>
      <c r="D467" s="10" t="s">
        <v>224</v>
      </c>
      <c r="E467" s="10" t="s">
        <v>37</v>
      </c>
      <c r="F467" s="709" t="s">
        <v>39</v>
      </c>
      <c r="G467" s="710" t="s">
        <v>45</v>
      </c>
      <c r="H467" s="710" t="s">
        <v>37</v>
      </c>
      <c r="I467" s="711" t="s">
        <v>269</v>
      </c>
      <c r="J467" s="10"/>
      <c r="K467" s="24">
        <f>K468</f>
        <v>536.4</v>
      </c>
      <c r="L467" s="24">
        <f>L468</f>
        <v>44</v>
      </c>
      <c r="M467" s="24">
        <f>M468</f>
        <v>580.4</v>
      </c>
      <c r="N467" s="179"/>
    </row>
    <row r="468" spans="1:14" s="120" customFormat="1" ht="54" customHeight="1" x14ac:dyDescent="0.35">
      <c r="A468" s="11"/>
      <c r="B468" s="510" t="s">
        <v>76</v>
      </c>
      <c r="C468" s="23" t="s">
        <v>423</v>
      </c>
      <c r="D468" s="10" t="s">
        <v>224</v>
      </c>
      <c r="E468" s="10" t="s">
        <v>37</v>
      </c>
      <c r="F468" s="709" t="s">
        <v>39</v>
      </c>
      <c r="G468" s="710" t="s">
        <v>45</v>
      </c>
      <c r="H468" s="710" t="s">
        <v>37</v>
      </c>
      <c r="I468" s="711" t="s">
        <v>269</v>
      </c>
      <c r="J468" s="10" t="s">
        <v>77</v>
      </c>
      <c r="K468" s="24">
        <v>536.4</v>
      </c>
      <c r="L468" s="24">
        <f>M468-K468</f>
        <v>44</v>
      </c>
      <c r="M468" s="24">
        <f>536.4+44</f>
        <v>580.4</v>
      </c>
    </row>
    <row r="469" spans="1:14" s="120" customFormat="1" ht="108" customHeight="1" x14ac:dyDescent="0.35">
      <c r="A469" s="11"/>
      <c r="B469" s="510" t="s">
        <v>345</v>
      </c>
      <c r="C469" s="23" t="s">
        <v>423</v>
      </c>
      <c r="D469" s="10" t="s">
        <v>224</v>
      </c>
      <c r="E469" s="10" t="s">
        <v>37</v>
      </c>
      <c r="F469" s="709" t="s">
        <v>39</v>
      </c>
      <c r="G469" s="710" t="s">
        <v>45</v>
      </c>
      <c r="H469" s="710" t="s">
        <v>37</v>
      </c>
      <c r="I469" s="711" t="s">
        <v>270</v>
      </c>
      <c r="J469" s="10"/>
      <c r="K469" s="24">
        <f>K470</f>
        <v>251582.4</v>
      </c>
      <c r="L469" s="24">
        <f>L470</f>
        <v>0</v>
      </c>
      <c r="M469" s="24">
        <f>M470</f>
        <v>251582.4</v>
      </c>
    </row>
    <row r="470" spans="1:14" s="120" customFormat="1" ht="54" customHeight="1" x14ac:dyDescent="0.35">
      <c r="A470" s="11"/>
      <c r="B470" s="510" t="s">
        <v>76</v>
      </c>
      <c r="C470" s="23" t="s">
        <v>423</v>
      </c>
      <c r="D470" s="10" t="s">
        <v>224</v>
      </c>
      <c r="E470" s="10" t="s">
        <v>37</v>
      </c>
      <c r="F470" s="709" t="s">
        <v>39</v>
      </c>
      <c r="G470" s="710" t="s">
        <v>45</v>
      </c>
      <c r="H470" s="710" t="s">
        <v>37</v>
      </c>
      <c r="I470" s="711" t="s">
        <v>270</v>
      </c>
      <c r="J470" s="10" t="s">
        <v>77</v>
      </c>
      <c r="K470" s="24">
        <f>249099.8+2482.6</f>
        <v>251582.4</v>
      </c>
      <c r="L470" s="24">
        <f>M470-K470</f>
        <v>0</v>
      </c>
      <c r="M470" s="24">
        <f>249099.8+2482.6</f>
        <v>251582.4</v>
      </c>
    </row>
    <row r="471" spans="1:14" s="120" customFormat="1" ht="54" customHeight="1" x14ac:dyDescent="0.35">
      <c r="A471" s="11"/>
      <c r="B471" s="593" t="s">
        <v>695</v>
      </c>
      <c r="C471" s="23" t="s">
        <v>423</v>
      </c>
      <c r="D471" s="10" t="s">
        <v>224</v>
      </c>
      <c r="E471" s="10" t="s">
        <v>37</v>
      </c>
      <c r="F471" s="709" t="s">
        <v>39</v>
      </c>
      <c r="G471" s="710" t="s">
        <v>45</v>
      </c>
      <c r="H471" s="710" t="s">
        <v>37</v>
      </c>
      <c r="I471" s="711" t="s">
        <v>694</v>
      </c>
      <c r="J471" s="10"/>
      <c r="K471" s="24">
        <f>K472</f>
        <v>4901.7</v>
      </c>
      <c r="L471" s="24">
        <f>L472</f>
        <v>0</v>
      </c>
      <c r="M471" s="24">
        <f>M472</f>
        <v>4901.7</v>
      </c>
    </row>
    <row r="472" spans="1:14" s="120" customFormat="1" ht="54" customHeight="1" x14ac:dyDescent="0.35">
      <c r="A472" s="11"/>
      <c r="B472" s="593" t="s">
        <v>76</v>
      </c>
      <c r="C472" s="23" t="s">
        <v>423</v>
      </c>
      <c r="D472" s="10" t="s">
        <v>224</v>
      </c>
      <c r="E472" s="10" t="s">
        <v>37</v>
      </c>
      <c r="F472" s="709" t="s">
        <v>39</v>
      </c>
      <c r="G472" s="710" t="s">
        <v>45</v>
      </c>
      <c r="H472" s="710" t="s">
        <v>37</v>
      </c>
      <c r="I472" s="711" t="s">
        <v>694</v>
      </c>
      <c r="J472" s="10" t="s">
        <v>77</v>
      </c>
      <c r="K472" s="24">
        <v>4901.7</v>
      </c>
      <c r="L472" s="24">
        <f>M472-K472</f>
        <v>0</v>
      </c>
      <c r="M472" s="24">
        <v>4901.7</v>
      </c>
    </row>
    <row r="473" spans="1:14" s="120" customFormat="1" ht="205.8" customHeight="1" x14ac:dyDescent="0.35">
      <c r="A473" s="11"/>
      <c r="B473" s="510" t="s">
        <v>552</v>
      </c>
      <c r="C473" s="23" t="s">
        <v>423</v>
      </c>
      <c r="D473" s="10" t="s">
        <v>224</v>
      </c>
      <c r="E473" s="10" t="s">
        <v>37</v>
      </c>
      <c r="F473" s="709" t="s">
        <v>39</v>
      </c>
      <c r="G473" s="710" t="s">
        <v>45</v>
      </c>
      <c r="H473" s="710" t="s">
        <v>37</v>
      </c>
      <c r="I473" s="711" t="s">
        <v>553</v>
      </c>
      <c r="J473" s="10"/>
      <c r="K473" s="24">
        <f>K474</f>
        <v>1469.3</v>
      </c>
      <c r="L473" s="24">
        <f>L474</f>
        <v>0</v>
      </c>
      <c r="M473" s="24">
        <f>M474</f>
        <v>1469.3</v>
      </c>
    </row>
    <row r="474" spans="1:14" s="120" customFormat="1" ht="54" customHeight="1" x14ac:dyDescent="0.35">
      <c r="A474" s="11"/>
      <c r="B474" s="510" t="s">
        <v>76</v>
      </c>
      <c r="C474" s="23" t="s">
        <v>423</v>
      </c>
      <c r="D474" s="10" t="s">
        <v>224</v>
      </c>
      <c r="E474" s="10" t="s">
        <v>37</v>
      </c>
      <c r="F474" s="709" t="s">
        <v>39</v>
      </c>
      <c r="G474" s="710" t="s">
        <v>45</v>
      </c>
      <c r="H474" s="710" t="s">
        <v>37</v>
      </c>
      <c r="I474" s="711" t="s">
        <v>553</v>
      </c>
      <c r="J474" s="10" t="s">
        <v>77</v>
      </c>
      <c r="K474" s="24">
        <v>1469.3</v>
      </c>
      <c r="L474" s="24">
        <f>M474-K474</f>
        <v>0</v>
      </c>
      <c r="M474" s="24">
        <v>1469.3</v>
      </c>
    </row>
    <row r="475" spans="1:14" s="120" customFormat="1" ht="162" x14ac:dyDescent="0.35">
      <c r="A475" s="11"/>
      <c r="B475" s="510" t="s">
        <v>753</v>
      </c>
      <c r="C475" s="23" t="s">
        <v>423</v>
      </c>
      <c r="D475" s="10" t="s">
        <v>224</v>
      </c>
      <c r="E475" s="10" t="s">
        <v>37</v>
      </c>
      <c r="F475" s="709" t="s">
        <v>39</v>
      </c>
      <c r="G475" s="710" t="s">
        <v>45</v>
      </c>
      <c r="H475" s="710" t="s">
        <v>37</v>
      </c>
      <c r="I475" s="711" t="s">
        <v>752</v>
      </c>
      <c r="J475" s="10"/>
      <c r="K475" s="24"/>
      <c r="L475" s="24">
        <f>L476</f>
        <v>8965.7000000000007</v>
      </c>
      <c r="M475" s="24">
        <f>M476</f>
        <v>8965.7000000000007</v>
      </c>
    </row>
    <row r="476" spans="1:14" s="120" customFormat="1" ht="54" customHeight="1" x14ac:dyDescent="0.35">
      <c r="A476" s="11"/>
      <c r="B476" s="510" t="s">
        <v>76</v>
      </c>
      <c r="C476" s="23" t="s">
        <v>423</v>
      </c>
      <c r="D476" s="10" t="s">
        <v>224</v>
      </c>
      <c r="E476" s="10" t="s">
        <v>37</v>
      </c>
      <c r="F476" s="709" t="s">
        <v>39</v>
      </c>
      <c r="G476" s="710" t="s">
        <v>45</v>
      </c>
      <c r="H476" s="710" t="s">
        <v>37</v>
      </c>
      <c r="I476" s="711" t="s">
        <v>752</v>
      </c>
      <c r="J476" s="10" t="s">
        <v>77</v>
      </c>
      <c r="K476" s="24"/>
      <c r="L476" s="24">
        <f>M476-K476</f>
        <v>8965.7000000000007</v>
      </c>
      <c r="M476" s="24">
        <v>8965.7000000000007</v>
      </c>
    </row>
    <row r="477" spans="1:14" s="116" customFormat="1" ht="54" customHeight="1" x14ac:dyDescent="0.35">
      <c r="A477" s="11"/>
      <c r="B477" s="510" t="s">
        <v>80</v>
      </c>
      <c r="C477" s="23" t="s">
        <v>423</v>
      </c>
      <c r="D477" s="10" t="s">
        <v>224</v>
      </c>
      <c r="E477" s="10" t="s">
        <v>37</v>
      </c>
      <c r="F477" s="709" t="s">
        <v>81</v>
      </c>
      <c r="G477" s="710" t="s">
        <v>42</v>
      </c>
      <c r="H477" s="710" t="s">
        <v>43</v>
      </c>
      <c r="I477" s="711" t="s">
        <v>44</v>
      </c>
      <c r="J477" s="10"/>
      <c r="K477" s="24">
        <f t="shared" ref="K477:M478" si="71">K478</f>
        <v>1356.5</v>
      </c>
      <c r="L477" s="24">
        <f t="shared" si="71"/>
        <v>0</v>
      </c>
      <c r="M477" s="24">
        <f t="shared" si="71"/>
        <v>1356.5</v>
      </c>
    </row>
    <row r="478" spans="1:14" s="120" customFormat="1" ht="36" customHeight="1" x14ac:dyDescent="0.35">
      <c r="A478" s="11"/>
      <c r="B478" s="510" t="s">
        <v>125</v>
      </c>
      <c r="C478" s="23" t="s">
        <v>423</v>
      </c>
      <c r="D478" s="10" t="s">
        <v>224</v>
      </c>
      <c r="E478" s="10" t="s">
        <v>37</v>
      </c>
      <c r="F478" s="709" t="s">
        <v>81</v>
      </c>
      <c r="G478" s="710" t="s">
        <v>89</v>
      </c>
      <c r="H478" s="710" t="s">
        <v>43</v>
      </c>
      <c r="I478" s="711" t="s">
        <v>44</v>
      </c>
      <c r="J478" s="10"/>
      <c r="K478" s="24">
        <f t="shared" si="71"/>
        <v>1356.5</v>
      </c>
      <c r="L478" s="24">
        <f>L479</f>
        <v>0</v>
      </c>
      <c r="M478" s="24">
        <f t="shared" si="71"/>
        <v>1356.5</v>
      </c>
    </row>
    <row r="479" spans="1:14" s="120" customFormat="1" ht="36" customHeight="1" x14ac:dyDescent="0.35">
      <c r="A479" s="11"/>
      <c r="B479" s="510" t="s">
        <v>271</v>
      </c>
      <c r="C479" s="23" t="s">
        <v>423</v>
      </c>
      <c r="D479" s="10" t="s">
        <v>224</v>
      </c>
      <c r="E479" s="10" t="s">
        <v>37</v>
      </c>
      <c r="F479" s="709" t="s">
        <v>81</v>
      </c>
      <c r="G479" s="710" t="s">
        <v>89</v>
      </c>
      <c r="H479" s="710" t="s">
        <v>37</v>
      </c>
      <c r="I479" s="711" t="s">
        <v>44</v>
      </c>
      <c r="J479" s="10"/>
      <c r="K479" s="24">
        <f>K480+K484+K482</f>
        <v>1356.5</v>
      </c>
      <c r="L479" s="24">
        <f>L480+L484+L482</f>
        <v>0</v>
      </c>
      <c r="M479" s="24">
        <f>M480+M484+M482</f>
        <v>1356.5</v>
      </c>
    </row>
    <row r="480" spans="1:14" s="120" customFormat="1" ht="18" customHeight="1" x14ac:dyDescent="0.35">
      <c r="A480" s="11"/>
      <c r="B480" s="510" t="s">
        <v>465</v>
      </c>
      <c r="C480" s="23" t="s">
        <v>423</v>
      </c>
      <c r="D480" s="10" t="s">
        <v>224</v>
      </c>
      <c r="E480" s="10" t="s">
        <v>37</v>
      </c>
      <c r="F480" s="709" t="s">
        <v>81</v>
      </c>
      <c r="G480" s="710" t="s">
        <v>89</v>
      </c>
      <c r="H480" s="710" t="s">
        <v>37</v>
      </c>
      <c r="I480" s="711" t="s">
        <v>380</v>
      </c>
      <c r="J480" s="10"/>
      <c r="K480" s="24">
        <f>K481</f>
        <v>518.29999999999995</v>
      </c>
      <c r="L480" s="24">
        <f>L481</f>
        <v>0</v>
      </c>
      <c r="M480" s="24">
        <f>M481</f>
        <v>518.29999999999995</v>
      </c>
    </row>
    <row r="481" spans="1:13" s="120" customFormat="1" ht="54" customHeight="1" x14ac:dyDescent="0.35">
      <c r="A481" s="11"/>
      <c r="B481" s="510" t="s">
        <v>76</v>
      </c>
      <c r="C481" s="23" t="s">
        <v>423</v>
      </c>
      <c r="D481" s="10" t="s">
        <v>224</v>
      </c>
      <c r="E481" s="10" t="s">
        <v>37</v>
      </c>
      <c r="F481" s="709" t="s">
        <v>81</v>
      </c>
      <c r="G481" s="710" t="s">
        <v>89</v>
      </c>
      <c r="H481" s="710" t="s">
        <v>37</v>
      </c>
      <c r="I481" s="711" t="s">
        <v>380</v>
      </c>
      <c r="J481" s="10" t="s">
        <v>77</v>
      </c>
      <c r="K481" s="24">
        <v>518.29999999999995</v>
      </c>
      <c r="L481" s="24">
        <f>M481-K481</f>
        <v>0</v>
      </c>
      <c r="M481" s="24">
        <v>518.29999999999995</v>
      </c>
    </row>
    <row r="482" spans="1:13" s="120" customFormat="1" ht="46.2" customHeight="1" x14ac:dyDescent="0.35">
      <c r="A482" s="11"/>
      <c r="B482" s="510" t="s">
        <v>127</v>
      </c>
      <c r="C482" s="23" t="s">
        <v>423</v>
      </c>
      <c r="D482" s="10" t="s">
        <v>224</v>
      </c>
      <c r="E482" s="10" t="s">
        <v>37</v>
      </c>
      <c r="F482" s="709" t="s">
        <v>81</v>
      </c>
      <c r="G482" s="710" t="s">
        <v>89</v>
      </c>
      <c r="H482" s="710" t="s">
        <v>37</v>
      </c>
      <c r="I482" s="711" t="s">
        <v>90</v>
      </c>
      <c r="J482" s="10"/>
      <c r="K482" s="24">
        <f>K483</f>
        <v>209.9</v>
      </c>
      <c r="L482" s="24">
        <f>L483</f>
        <v>0</v>
      </c>
      <c r="M482" s="24">
        <f>M483</f>
        <v>209.9</v>
      </c>
    </row>
    <row r="483" spans="1:13" s="120" customFormat="1" ht="54" customHeight="1" x14ac:dyDescent="0.35">
      <c r="A483" s="11"/>
      <c r="B483" s="510" t="s">
        <v>76</v>
      </c>
      <c r="C483" s="23" t="s">
        <v>423</v>
      </c>
      <c r="D483" s="10" t="s">
        <v>224</v>
      </c>
      <c r="E483" s="10" t="s">
        <v>37</v>
      </c>
      <c r="F483" s="709" t="s">
        <v>81</v>
      </c>
      <c r="G483" s="710" t="s">
        <v>89</v>
      </c>
      <c r="H483" s="710" t="s">
        <v>37</v>
      </c>
      <c r="I483" s="711" t="s">
        <v>90</v>
      </c>
      <c r="J483" s="10" t="s">
        <v>77</v>
      </c>
      <c r="K483" s="24">
        <f>209.9</f>
        <v>209.9</v>
      </c>
      <c r="L483" s="24">
        <f>M483-K483</f>
        <v>0</v>
      </c>
      <c r="M483" s="24">
        <f>209.9</f>
        <v>209.9</v>
      </c>
    </row>
    <row r="484" spans="1:13" s="120" customFormat="1" ht="18" customHeight="1" x14ac:dyDescent="0.35">
      <c r="A484" s="11"/>
      <c r="B484" s="510" t="s">
        <v>427</v>
      </c>
      <c r="C484" s="23" t="s">
        <v>423</v>
      </c>
      <c r="D484" s="10" t="s">
        <v>224</v>
      </c>
      <c r="E484" s="10" t="s">
        <v>37</v>
      </c>
      <c r="F484" s="709" t="s">
        <v>81</v>
      </c>
      <c r="G484" s="710" t="s">
        <v>89</v>
      </c>
      <c r="H484" s="710" t="s">
        <v>37</v>
      </c>
      <c r="I484" s="711" t="s">
        <v>428</v>
      </c>
      <c r="J484" s="10"/>
      <c r="K484" s="24">
        <f t="shared" ref="K484:M484" si="72">K485</f>
        <v>628.29999999999995</v>
      </c>
      <c r="L484" s="24">
        <f t="shared" si="72"/>
        <v>0</v>
      </c>
      <c r="M484" s="24">
        <f t="shared" si="72"/>
        <v>628.29999999999995</v>
      </c>
    </row>
    <row r="485" spans="1:13" s="120" customFormat="1" ht="54" customHeight="1" x14ac:dyDescent="0.35">
      <c r="A485" s="11"/>
      <c r="B485" s="510" t="s">
        <v>76</v>
      </c>
      <c r="C485" s="23" t="s">
        <v>423</v>
      </c>
      <c r="D485" s="10" t="s">
        <v>224</v>
      </c>
      <c r="E485" s="10" t="s">
        <v>37</v>
      </c>
      <c r="F485" s="709" t="s">
        <v>81</v>
      </c>
      <c r="G485" s="710" t="s">
        <v>89</v>
      </c>
      <c r="H485" s="710" t="s">
        <v>37</v>
      </c>
      <c r="I485" s="711" t="s">
        <v>428</v>
      </c>
      <c r="J485" s="10" t="s">
        <v>77</v>
      </c>
      <c r="K485" s="24">
        <v>628.29999999999995</v>
      </c>
      <c r="L485" s="24">
        <f>M485-K485</f>
        <v>0</v>
      </c>
      <c r="M485" s="24">
        <v>628.29999999999995</v>
      </c>
    </row>
    <row r="486" spans="1:13" s="120" customFormat="1" ht="54" customHeight="1" x14ac:dyDescent="0.35">
      <c r="A486" s="11"/>
      <c r="B486" s="510" t="s">
        <v>233</v>
      </c>
      <c r="C486" s="23" t="s">
        <v>423</v>
      </c>
      <c r="D486" s="10" t="s">
        <v>224</v>
      </c>
      <c r="E486" s="10" t="s">
        <v>37</v>
      </c>
      <c r="F486" s="709" t="s">
        <v>234</v>
      </c>
      <c r="G486" s="710" t="s">
        <v>42</v>
      </c>
      <c r="H486" s="710" t="s">
        <v>43</v>
      </c>
      <c r="I486" s="711" t="s">
        <v>44</v>
      </c>
      <c r="J486" s="10"/>
      <c r="K486" s="24">
        <f t="shared" ref="K486:M489" si="73">K487</f>
        <v>53.4</v>
      </c>
      <c r="L486" s="24">
        <f t="shared" si="73"/>
        <v>0</v>
      </c>
      <c r="M486" s="24">
        <f t="shared" si="73"/>
        <v>53.4</v>
      </c>
    </row>
    <row r="487" spans="1:13" s="120" customFormat="1" ht="36" customHeight="1" x14ac:dyDescent="0.35">
      <c r="A487" s="11"/>
      <c r="B487" s="510" t="s">
        <v>339</v>
      </c>
      <c r="C487" s="23" t="s">
        <v>423</v>
      </c>
      <c r="D487" s="10" t="s">
        <v>224</v>
      </c>
      <c r="E487" s="10" t="s">
        <v>37</v>
      </c>
      <c r="F487" s="709" t="s">
        <v>234</v>
      </c>
      <c r="G487" s="710" t="s">
        <v>45</v>
      </c>
      <c r="H487" s="710" t="s">
        <v>43</v>
      </c>
      <c r="I487" s="711" t="s">
        <v>44</v>
      </c>
      <c r="J487" s="10"/>
      <c r="K487" s="24">
        <f t="shared" si="73"/>
        <v>53.4</v>
      </c>
      <c r="L487" s="24">
        <f t="shared" si="73"/>
        <v>0</v>
      </c>
      <c r="M487" s="24">
        <f t="shared" si="73"/>
        <v>53.4</v>
      </c>
    </row>
    <row r="488" spans="1:13" s="120" customFormat="1" ht="144" x14ac:dyDescent="0.35">
      <c r="A488" s="11"/>
      <c r="B488" s="510" t="s">
        <v>741</v>
      </c>
      <c r="C488" s="23" t="s">
        <v>423</v>
      </c>
      <c r="D488" s="10" t="s">
        <v>224</v>
      </c>
      <c r="E488" s="10" t="s">
        <v>37</v>
      </c>
      <c r="F488" s="709" t="s">
        <v>234</v>
      </c>
      <c r="G488" s="710" t="s">
        <v>45</v>
      </c>
      <c r="H488" s="710" t="s">
        <v>37</v>
      </c>
      <c r="I488" s="711" t="s">
        <v>44</v>
      </c>
      <c r="J488" s="10"/>
      <c r="K488" s="24">
        <f>K489</f>
        <v>53.4</v>
      </c>
      <c r="L488" s="24">
        <f>L489</f>
        <v>0</v>
      </c>
      <c r="M488" s="24">
        <f>M489</f>
        <v>53.4</v>
      </c>
    </row>
    <row r="489" spans="1:13" s="120" customFormat="1" ht="36" customHeight="1" x14ac:dyDescent="0.35">
      <c r="A489" s="11"/>
      <c r="B489" s="510" t="s">
        <v>235</v>
      </c>
      <c r="C489" s="23" t="s">
        <v>423</v>
      </c>
      <c r="D489" s="10" t="s">
        <v>224</v>
      </c>
      <c r="E489" s="10" t="s">
        <v>37</v>
      </c>
      <c r="F489" s="709" t="s">
        <v>234</v>
      </c>
      <c r="G489" s="710" t="s">
        <v>45</v>
      </c>
      <c r="H489" s="710" t="s">
        <v>37</v>
      </c>
      <c r="I489" s="711" t="s">
        <v>280</v>
      </c>
      <c r="J489" s="10"/>
      <c r="K489" s="24">
        <f t="shared" si="73"/>
        <v>53.4</v>
      </c>
      <c r="L489" s="24">
        <f t="shared" si="73"/>
        <v>0</v>
      </c>
      <c r="M489" s="24">
        <f t="shared" si="73"/>
        <v>53.4</v>
      </c>
    </row>
    <row r="490" spans="1:13" s="120" customFormat="1" ht="54" customHeight="1" x14ac:dyDescent="0.35">
      <c r="A490" s="11"/>
      <c r="B490" s="510" t="s">
        <v>76</v>
      </c>
      <c r="C490" s="23" t="s">
        <v>423</v>
      </c>
      <c r="D490" s="10" t="s">
        <v>224</v>
      </c>
      <c r="E490" s="10" t="s">
        <v>37</v>
      </c>
      <c r="F490" s="709" t="s">
        <v>234</v>
      </c>
      <c r="G490" s="710" t="s">
        <v>45</v>
      </c>
      <c r="H490" s="710" t="s">
        <v>37</v>
      </c>
      <c r="I490" s="711" t="s">
        <v>280</v>
      </c>
      <c r="J490" s="10" t="s">
        <v>77</v>
      </c>
      <c r="K490" s="24">
        <v>53.4</v>
      </c>
      <c r="L490" s="24">
        <f>M490-K490</f>
        <v>0</v>
      </c>
      <c r="M490" s="24">
        <v>53.4</v>
      </c>
    </row>
    <row r="491" spans="1:13" s="120" customFormat="1" ht="18" customHeight="1" x14ac:dyDescent="0.35">
      <c r="A491" s="11"/>
      <c r="B491" s="510" t="s">
        <v>183</v>
      </c>
      <c r="C491" s="23" t="s">
        <v>423</v>
      </c>
      <c r="D491" s="10" t="s">
        <v>224</v>
      </c>
      <c r="E491" s="10" t="s">
        <v>39</v>
      </c>
      <c r="F491" s="709"/>
      <c r="G491" s="710"/>
      <c r="H491" s="710"/>
      <c r="I491" s="711"/>
      <c r="J491" s="10"/>
      <c r="K491" s="24">
        <f>K492</f>
        <v>846101.41529999999</v>
      </c>
      <c r="L491" s="24">
        <f>L492</f>
        <v>32024.600000000028</v>
      </c>
      <c r="M491" s="24">
        <f>M492</f>
        <v>878126.01530000009</v>
      </c>
    </row>
    <row r="492" spans="1:13" s="120" customFormat="1" ht="54" customHeight="1" x14ac:dyDescent="0.35">
      <c r="A492" s="11"/>
      <c r="B492" s="510" t="s">
        <v>205</v>
      </c>
      <c r="C492" s="23" t="s">
        <v>423</v>
      </c>
      <c r="D492" s="10" t="s">
        <v>224</v>
      </c>
      <c r="E492" s="10" t="s">
        <v>39</v>
      </c>
      <c r="F492" s="709" t="s">
        <v>39</v>
      </c>
      <c r="G492" s="710" t="s">
        <v>42</v>
      </c>
      <c r="H492" s="710" t="s">
        <v>43</v>
      </c>
      <c r="I492" s="711" t="s">
        <v>44</v>
      </c>
      <c r="J492" s="10"/>
      <c r="K492" s="24">
        <f>K493+K548</f>
        <v>846101.41529999999</v>
      </c>
      <c r="L492" s="24">
        <f>L493+L548</f>
        <v>32024.600000000028</v>
      </c>
      <c r="M492" s="24">
        <f>M493+M548</f>
        <v>878126.01530000009</v>
      </c>
    </row>
    <row r="493" spans="1:13" s="120" customFormat="1" ht="36" customHeight="1" x14ac:dyDescent="0.35">
      <c r="A493" s="11"/>
      <c r="B493" s="510" t="s">
        <v>206</v>
      </c>
      <c r="C493" s="23" t="s">
        <v>423</v>
      </c>
      <c r="D493" s="10" t="s">
        <v>224</v>
      </c>
      <c r="E493" s="10" t="s">
        <v>39</v>
      </c>
      <c r="F493" s="709" t="s">
        <v>39</v>
      </c>
      <c r="G493" s="710" t="s">
        <v>45</v>
      </c>
      <c r="H493" s="710" t="s">
        <v>43</v>
      </c>
      <c r="I493" s="711" t="s">
        <v>44</v>
      </c>
      <c r="J493" s="10"/>
      <c r="K493" s="24">
        <f>K494+K542</f>
        <v>843879.21530000004</v>
      </c>
      <c r="L493" s="24">
        <f>L494+L542</f>
        <v>32024.600000000028</v>
      </c>
      <c r="M493" s="24">
        <f>M494+M542</f>
        <v>875903.81530000013</v>
      </c>
    </row>
    <row r="494" spans="1:13" s="120" customFormat="1" ht="18" customHeight="1" x14ac:dyDescent="0.35">
      <c r="A494" s="11"/>
      <c r="B494" s="510" t="s">
        <v>272</v>
      </c>
      <c r="C494" s="23" t="s">
        <v>423</v>
      </c>
      <c r="D494" s="10" t="s">
        <v>224</v>
      </c>
      <c r="E494" s="10" t="s">
        <v>39</v>
      </c>
      <c r="F494" s="709" t="s">
        <v>39</v>
      </c>
      <c r="G494" s="710" t="s">
        <v>45</v>
      </c>
      <c r="H494" s="710" t="s">
        <v>39</v>
      </c>
      <c r="I494" s="711" t="s">
        <v>44</v>
      </c>
      <c r="J494" s="10"/>
      <c r="K494" s="24">
        <f>K503+K506+K516+K520+K524+K495+K500+K533+K513+K511+K538+K529+K536+K527</f>
        <v>838222.31530000002</v>
      </c>
      <c r="L494" s="24">
        <f>L503+L506+L516+L520+L524+L495+L500+L533+L513+L511+L538+L529+L536+L527</f>
        <v>32024.600000000028</v>
      </c>
      <c r="M494" s="24">
        <f>M503+M506+M516+M520+M524+M495+M500+M533+M513+M511+M538+M529+M536+M527</f>
        <v>870246.91530000011</v>
      </c>
    </row>
    <row r="495" spans="1:13" s="116" customFormat="1" ht="36" customHeight="1" x14ac:dyDescent="0.35">
      <c r="A495" s="11"/>
      <c r="B495" s="543" t="s">
        <v>464</v>
      </c>
      <c r="C495" s="23" t="s">
        <v>423</v>
      </c>
      <c r="D495" s="10" t="s">
        <v>224</v>
      </c>
      <c r="E495" s="10" t="s">
        <v>39</v>
      </c>
      <c r="F495" s="709" t="s">
        <v>39</v>
      </c>
      <c r="G495" s="710" t="s">
        <v>45</v>
      </c>
      <c r="H495" s="710" t="s">
        <v>39</v>
      </c>
      <c r="I495" s="711" t="s">
        <v>91</v>
      </c>
      <c r="J495" s="10"/>
      <c r="K495" s="24">
        <f>K498+K499+K497+K496</f>
        <v>78980.639999999999</v>
      </c>
      <c r="L495" s="24">
        <f>L498+L499+L497+L496</f>
        <v>0</v>
      </c>
      <c r="M495" s="24">
        <f>M498+M499+M497+M496</f>
        <v>78980.639999999999</v>
      </c>
    </row>
    <row r="496" spans="1:13" s="116" customFormat="1" ht="108" customHeight="1" x14ac:dyDescent="0.35">
      <c r="A496" s="11"/>
      <c r="B496" s="510" t="s">
        <v>49</v>
      </c>
      <c r="C496" s="23" t="s">
        <v>423</v>
      </c>
      <c r="D496" s="10" t="s">
        <v>224</v>
      </c>
      <c r="E496" s="10" t="s">
        <v>39</v>
      </c>
      <c r="F496" s="709" t="s">
        <v>39</v>
      </c>
      <c r="G496" s="710" t="s">
        <v>45</v>
      </c>
      <c r="H496" s="710" t="s">
        <v>39</v>
      </c>
      <c r="I496" s="711" t="s">
        <v>91</v>
      </c>
      <c r="J496" s="10" t="s">
        <v>50</v>
      </c>
      <c r="K496" s="24">
        <v>361.1</v>
      </c>
      <c r="L496" s="24">
        <f>M496-K496</f>
        <v>0</v>
      </c>
      <c r="M496" s="24">
        <v>361.1</v>
      </c>
    </row>
    <row r="497" spans="1:13" s="116" customFormat="1" ht="54" customHeight="1" x14ac:dyDescent="0.35">
      <c r="A497" s="11"/>
      <c r="B497" s="510" t="s">
        <v>55</v>
      </c>
      <c r="C497" s="23" t="s">
        <v>423</v>
      </c>
      <c r="D497" s="10" t="s">
        <v>224</v>
      </c>
      <c r="E497" s="10" t="s">
        <v>39</v>
      </c>
      <c r="F497" s="709" t="s">
        <v>39</v>
      </c>
      <c r="G497" s="710" t="s">
        <v>45</v>
      </c>
      <c r="H497" s="710" t="s">
        <v>39</v>
      </c>
      <c r="I497" s="711" t="s">
        <v>91</v>
      </c>
      <c r="J497" s="10" t="s">
        <v>56</v>
      </c>
      <c r="K497" s="24">
        <f>7042.1+141+187.14-100+100</f>
        <v>7370.2400000000007</v>
      </c>
      <c r="L497" s="24">
        <f>M497-K497</f>
        <v>0</v>
      </c>
      <c r="M497" s="24">
        <f>7042.1+141+187.14-100+100</f>
        <v>7370.2400000000007</v>
      </c>
    </row>
    <row r="498" spans="1:13" s="116" customFormat="1" ht="54" customHeight="1" x14ac:dyDescent="0.35">
      <c r="A498" s="11"/>
      <c r="B498" s="510" t="s">
        <v>76</v>
      </c>
      <c r="C498" s="23" t="s">
        <v>423</v>
      </c>
      <c r="D498" s="10" t="s">
        <v>224</v>
      </c>
      <c r="E498" s="10" t="s">
        <v>39</v>
      </c>
      <c r="F498" s="709" t="s">
        <v>39</v>
      </c>
      <c r="G498" s="710" t="s">
        <v>45</v>
      </c>
      <c r="H498" s="710" t="s">
        <v>39</v>
      </c>
      <c r="I498" s="711" t="s">
        <v>91</v>
      </c>
      <c r="J498" s="10" t="s">
        <v>77</v>
      </c>
      <c r="K498" s="24">
        <f>68725.9+510.4+1514.5</f>
        <v>70750.799999999988</v>
      </c>
      <c r="L498" s="24">
        <f>M498-K498</f>
        <v>0</v>
      </c>
      <c r="M498" s="24">
        <f>68725.9+510.4+1514.5</f>
        <v>70750.799999999988</v>
      </c>
    </row>
    <row r="499" spans="1:13" s="116" customFormat="1" ht="18" customHeight="1" x14ac:dyDescent="0.35">
      <c r="A499" s="11"/>
      <c r="B499" s="510" t="s">
        <v>57</v>
      </c>
      <c r="C499" s="23" t="s">
        <v>423</v>
      </c>
      <c r="D499" s="10" t="s">
        <v>224</v>
      </c>
      <c r="E499" s="10" t="s">
        <v>39</v>
      </c>
      <c r="F499" s="709" t="s">
        <v>39</v>
      </c>
      <c r="G499" s="710" t="s">
        <v>45</v>
      </c>
      <c r="H499" s="710" t="s">
        <v>39</v>
      </c>
      <c r="I499" s="711" t="s">
        <v>91</v>
      </c>
      <c r="J499" s="10" t="s">
        <v>58</v>
      </c>
      <c r="K499" s="24">
        <f>398.5+100</f>
        <v>498.5</v>
      </c>
      <c r="L499" s="24">
        <f>M499-K499</f>
        <v>0</v>
      </c>
      <c r="M499" s="24">
        <f>398.5+100</f>
        <v>498.5</v>
      </c>
    </row>
    <row r="500" spans="1:13" s="116" customFormat="1" ht="18" customHeight="1" x14ac:dyDescent="0.35">
      <c r="A500" s="11"/>
      <c r="B500" s="510" t="s">
        <v>465</v>
      </c>
      <c r="C500" s="23" t="s">
        <v>423</v>
      </c>
      <c r="D500" s="10" t="s">
        <v>224</v>
      </c>
      <c r="E500" s="10" t="s">
        <v>39</v>
      </c>
      <c r="F500" s="709" t="s">
        <v>39</v>
      </c>
      <c r="G500" s="710" t="s">
        <v>45</v>
      </c>
      <c r="H500" s="710" t="s">
        <v>39</v>
      </c>
      <c r="I500" s="711" t="s">
        <v>380</v>
      </c>
      <c r="J500" s="10"/>
      <c r="K500" s="24">
        <f>K502+K501</f>
        <v>23874.365159999998</v>
      </c>
      <c r="L500" s="24">
        <f>L502+L501</f>
        <v>292.80000000000018</v>
      </c>
      <c r="M500" s="24">
        <f>M502+M501</f>
        <v>24167.165159999997</v>
      </c>
    </row>
    <row r="501" spans="1:13" s="116" customFormat="1" ht="54" customHeight="1" x14ac:dyDescent="0.35">
      <c r="A501" s="11"/>
      <c r="B501" s="510" t="s">
        <v>55</v>
      </c>
      <c r="C501" s="23" t="s">
        <v>423</v>
      </c>
      <c r="D501" s="10" t="s">
        <v>224</v>
      </c>
      <c r="E501" s="10" t="s">
        <v>39</v>
      </c>
      <c r="F501" s="709" t="s">
        <v>39</v>
      </c>
      <c r="G501" s="710" t="s">
        <v>45</v>
      </c>
      <c r="H501" s="710" t="s">
        <v>39</v>
      </c>
      <c r="I501" s="711" t="s">
        <v>380</v>
      </c>
      <c r="J501" s="10" t="s">
        <v>56</v>
      </c>
      <c r="K501" s="24">
        <f>5086.49016+300</f>
        <v>5386.4901600000003</v>
      </c>
      <c r="L501" s="24">
        <f>M501-K501</f>
        <v>68.300000000000182</v>
      </c>
      <c r="M501" s="24">
        <f>5086.49016+300+68.3</f>
        <v>5454.7901600000005</v>
      </c>
    </row>
    <row r="502" spans="1:13" s="116" customFormat="1" ht="54" customHeight="1" x14ac:dyDescent="0.35">
      <c r="A502" s="11"/>
      <c r="B502" s="510" t="s">
        <v>76</v>
      </c>
      <c r="C502" s="23" t="s">
        <v>423</v>
      </c>
      <c r="D502" s="10" t="s">
        <v>224</v>
      </c>
      <c r="E502" s="10" t="s">
        <v>39</v>
      </c>
      <c r="F502" s="709" t="s">
        <v>39</v>
      </c>
      <c r="G502" s="710" t="s">
        <v>45</v>
      </c>
      <c r="H502" s="710" t="s">
        <v>39</v>
      </c>
      <c r="I502" s="711" t="s">
        <v>380</v>
      </c>
      <c r="J502" s="10" t="s">
        <v>77</v>
      </c>
      <c r="K502" s="24">
        <f>8758.9+950.4+2759.3+102.89+247.598+255.56+261.552+195.6+228.154+240.551+341.23+240.04+1183.5+353.5+119.2+298.2+959.5+438.3+400.3+153.6</f>
        <v>18487.874999999996</v>
      </c>
      <c r="L502" s="24">
        <f>M502-K502</f>
        <v>224.5</v>
      </c>
      <c r="M502" s="24">
        <f>8758.9+950.4+2759.3+102.89+247.598+255.56+261.552+195.6+228.154+240.551+341.23+240.04+1183.5+353.5+119.2+298.2+959.5+438.3+400.3+153.6-297+230.3-176.8+513.4-45.4</f>
        <v>18712.374999999996</v>
      </c>
    </row>
    <row r="503" spans="1:13" s="120" customFormat="1" ht="54" customHeight="1" x14ac:dyDescent="0.35">
      <c r="A503" s="11"/>
      <c r="B503" s="510" t="s">
        <v>207</v>
      </c>
      <c r="C503" s="23" t="s">
        <v>423</v>
      </c>
      <c r="D503" s="10" t="s">
        <v>224</v>
      </c>
      <c r="E503" s="10" t="s">
        <v>39</v>
      </c>
      <c r="F503" s="709" t="s">
        <v>39</v>
      </c>
      <c r="G503" s="710" t="s">
        <v>45</v>
      </c>
      <c r="H503" s="710" t="s">
        <v>39</v>
      </c>
      <c r="I503" s="711" t="s">
        <v>273</v>
      </c>
      <c r="J503" s="10"/>
      <c r="K503" s="24">
        <f>SUM(K504:K505)</f>
        <v>30652.299999999996</v>
      </c>
      <c r="L503" s="24">
        <f>SUM(L504:L505)</f>
        <v>441.29999999999927</v>
      </c>
      <c r="M503" s="24">
        <f>SUM(M504:M505)</f>
        <v>31093.599999999999</v>
      </c>
    </row>
    <row r="504" spans="1:13" s="120" customFormat="1" ht="54" customHeight="1" x14ac:dyDescent="0.35">
      <c r="A504" s="11"/>
      <c r="B504" s="510" t="s">
        <v>55</v>
      </c>
      <c r="C504" s="23" t="s">
        <v>423</v>
      </c>
      <c r="D504" s="10" t="s">
        <v>224</v>
      </c>
      <c r="E504" s="10" t="s">
        <v>39</v>
      </c>
      <c r="F504" s="709" t="s">
        <v>39</v>
      </c>
      <c r="G504" s="710" t="s">
        <v>45</v>
      </c>
      <c r="H504" s="710" t="s">
        <v>39</v>
      </c>
      <c r="I504" s="711" t="s">
        <v>273</v>
      </c>
      <c r="J504" s="10" t="s">
        <v>56</v>
      </c>
      <c r="K504" s="24">
        <f>4029.6+105.2+37.4+174.4+35.3</f>
        <v>4381.8999999999996</v>
      </c>
      <c r="L504" s="24">
        <f>M504-K504</f>
        <v>0</v>
      </c>
      <c r="M504" s="24">
        <f>4029.6+105.2+37.4+174.4+35.3</f>
        <v>4381.8999999999996</v>
      </c>
    </row>
    <row r="505" spans="1:13" s="120" customFormat="1" ht="54" customHeight="1" x14ac:dyDescent="0.35">
      <c r="A505" s="11"/>
      <c r="B505" s="510" t="s">
        <v>76</v>
      </c>
      <c r="C505" s="23" t="s">
        <v>423</v>
      </c>
      <c r="D505" s="10" t="s">
        <v>224</v>
      </c>
      <c r="E505" s="10" t="s">
        <v>39</v>
      </c>
      <c r="F505" s="709" t="s">
        <v>39</v>
      </c>
      <c r="G505" s="710" t="s">
        <v>45</v>
      </c>
      <c r="H505" s="710" t="s">
        <v>39</v>
      </c>
      <c r="I505" s="711" t="s">
        <v>273</v>
      </c>
      <c r="J505" s="10" t="s">
        <v>77</v>
      </c>
      <c r="K505" s="24">
        <f>24177.6+630.8+47+118.6+148.4+120+600+138.3+20.8+50+211.9+7</f>
        <v>26270.399999999998</v>
      </c>
      <c r="L505" s="24">
        <f>M505-K505</f>
        <v>441.29999999999927</v>
      </c>
      <c r="M505" s="24">
        <f>24177.6+630.8+47+118.6+148.4+120+600+138.3+20.8+50+211.9+7+169.7+11.8+18+65+176.8</f>
        <v>26711.699999999997</v>
      </c>
    </row>
    <row r="506" spans="1:13" s="120" customFormat="1" ht="36" customHeight="1" x14ac:dyDescent="0.35">
      <c r="A506" s="11"/>
      <c r="B506" s="510" t="s">
        <v>208</v>
      </c>
      <c r="C506" s="23" t="s">
        <v>423</v>
      </c>
      <c r="D506" s="10" t="s">
        <v>224</v>
      </c>
      <c r="E506" s="10" t="s">
        <v>39</v>
      </c>
      <c r="F506" s="709" t="s">
        <v>39</v>
      </c>
      <c r="G506" s="710" t="s">
        <v>45</v>
      </c>
      <c r="H506" s="710" t="s">
        <v>39</v>
      </c>
      <c r="I506" s="711" t="s">
        <v>274</v>
      </c>
      <c r="J506" s="10"/>
      <c r="K506" s="24">
        <f>SUM(K507:K510)</f>
        <v>58901.510139999999</v>
      </c>
      <c r="L506" s="24">
        <f>SUM(L507:L510)</f>
        <v>781.70000000000073</v>
      </c>
      <c r="M506" s="24">
        <f>SUM(M507:M510)</f>
        <v>59683.210139999996</v>
      </c>
    </row>
    <row r="507" spans="1:13" s="120" customFormat="1" ht="108" customHeight="1" x14ac:dyDescent="0.35">
      <c r="A507" s="11"/>
      <c r="B507" s="510" t="s">
        <v>49</v>
      </c>
      <c r="C507" s="23" t="s">
        <v>423</v>
      </c>
      <c r="D507" s="10" t="s">
        <v>224</v>
      </c>
      <c r="E507" s="10" t="s">
        <v>39</v>
      </c>
      <c r="F507" s="709" t="s">
        <v>39</v>
      </c>
      <c r="G507" s="710" t="s">
        <v>45</v>
      </c>
      <c r="H507" s="710" t="s">
        <v>39</v>
      </c>
      <c r="I507" s="711" t="s">
        <v>274</v>
      </c>
      <c r="J507" s="10" t="s">
        <v>50</v>
      </c>
      <c r="K507" s="24">
        <v>93.8</v>
      </c>
      <c r="L507" s="24">
        <f>M507-K507</f>
        <v>0</v>
      </c>
      <c r="M507" s="24">
        <v>93.8</v>
      </c>
    </row>
    <row r="508" spans="1:13" s="120" customFormat="1" ht="54" customHeight="1" x14ac:dyDescent="0.35">
      <c r="A508" s="11"/>
      <c r="B508" s="510" t="s">
        <v>55</v>
      </c>
      <c r="C508" s="23" t="s">
        <v>423</v>
      </c>
      <c r="D508" s="10" t="s">
        <v>224</v>
      </c>
      <c r="E508" s="10" t="s">
        <v>39</v>
      </c>
      <c r="F508" s="709" t="s">
        <v>39</v>
      </c>
      <c r="G508" s="710" t="s">
        <v>45</v>
      </c>
      <c r="H508" s="710" t="s">
        <v>39</v>
      </c>
      <c r="I508" s="711" t="s">
        <v>274</v>
      </c>
      <c r="J508" s="10" t="s">
        <v>56</v>
      </c>
      <c r="K508" s="24">
        <f>546.2+142.9+20.2+25644.3633+854.54684+139.8+276.3+40.2</f>
        <v>27664.510139999999</v>
      </c>
      <c r="L508" s="24">
        <f>M508-K508</f>
        <v>0</v>
      </c>
      <c r="M508" s="24">
        <f>546.2+142.9+20.2+25644.3633+854.54684+139.8+276.3+40.2</f>
        <v>27664.510139999999</v>
      </c>
    </row>
    <row r="509" spans="1:13" s="120" customFormat="1" ht="54" customHeight="1" x14ac:dyDescent="0.35">
      <c r="A509" s="11"/>
      <c r="B509" s="554" t="s">
        <v>203</v>
      </c>
      <c r="C509" s="23" t="s">
        <v>423</v>
      </c>
      <c r="D509" s="10" t="s">
        <v>224</v>
      </c>
      <c r="E509" s="10" t="s">
        <v>39</v>
      </c>
      <c r="F509" s="709" t="s">
        <v>39</v>
      </c>
      <c r="G509" s="710" t="s">
        <v>45</v>
      </c>
      <c r="H509" s="710" t="s">
        <v>39</v>
      </c>
      <c r="I509" s="711" t="s">
        <v>274</v>
      </c>
      <c r="J509" s="10" t="s">
        <v>204</v>
      </c>
      <c r="K509" s="24">
        <f>53.4+1120</f>
        <v>1173.4000000000001</v>
      </c>
      <c r="L509" s="24">
        <f>M509-K509</f>
        <v>0</v>
      </c>
      <c r="M509" s="24">
        <f>53.4+1120</f>
        <v>1173.4000000000001</v>
      </c>
    </row>
    <row r="510" spans="1:13" s="120" customFormat="1" ht="54" customHeight="1" x14ac:dyDescent="0.35">
      <c r="A510" s="11"/>
      <c r="B510" s="510" t="s">
        <v>76</v>
      </c>
      <c r="C510" s="23" t="s">
        <v>423</v>
      </c>
      <c r="D510" s="10" t="s">
        <v>224</v>
      </c>
      <c r="E510" s="10" t="s">
        <v>39</v>
      </c>
      <c r="F510" s="709" t="s">
        <v>39</v>
      </c>
      <c r="G510" s="710" t="s">
        <v>45</v>
      </c>
      <c r="H510" s="710" t="s">
        <v>39</v>
      </c>
      <c r="I510" s="711" t="s">
        <v>274</v>
      </c>
      <c r="J510" s="10" t="s">
        <v>77</v>
      </c>
      <c r="K510" s="24">
        <f>16084.9+4550.5+918.9-20.2+1870.8+830+1729.9+34.8+371.4-959.5-12.2+108.6+1511.8+2990.3-40.2</f>
        <v>29969.8</v>
      </c>
      <c r="L510" s="24">
        <f>M510-K510</f>
        <v>781.70000000000073</v>
      </c>
      <c r="M510" s="24">
        <f>16084.9+4550.5+918.9-20.2+1870.8+830+1729.9+34.8+371.4-959.5-12.2+108.6+1511.8+2990.3-40.2+297+249.8+108.2+81.3+45.4</f>
        <v>30751.5</v>
      </c>
    </row>
    <row r="511" spans="1:13" s="120" customFormat="1" ht="54" customHeight="1" x14ac:dyDescent="0.35">
      <c r="A511" s="11"/>
      <c r="B511" s="510" t="s">
        <v>520</v>
      </c>
      <c r="C511" s="23" t="s">
        <v>423</v>
      </c>
      <c r="D511" s="10" t="s">
        <v>224</v>
      </c>
      <c r="E511" s="10" t="s">
        <v>39</v>
      </c>
      <c r="F511" s="709" t="s">
        <v>39</v>
      </c>
      <c r="G511" s="710" t="s">
        <v>45</v>
      </c>
      <c r="H511" s="710" t="s">
        <v>39</v>
      </c>
      <c r="I511" s="711" t="s">
        <v>521</v>
      </c>
      <c r="J511" s="10"/>
      <c r="K511" s="24">
        <f>K512</f>
        <v>30</v>
      </c>
      <c r="L511" s="24">
        <f>L512</f>
        <v>0</v>
      </c>
      <c r="M511" s="24">
        <f>M512</f>
        <v>30</v>
      </c>
    </row>
    <row r="512" spans="1:13" s="120" customFormat="1" ht="54" customHeight="1" x14ac:dyDescent="0.35">
      <c r="A512" s="11"/>
      <c r="B512" s="510" t="s">
        <v>76</v>
      </c>
      <c r="C512" s="23" t="s">
        <v>423</v>
      </c>
      <c r="D512" s="10" t="s">
        <v>224</v>
      </c>
      <c r="E512" s="10" t="s">
        <v>39</v>
      </c>
      <c r="F512" s="709" t="s">
        <v>39</v>
      </c>
      <c r="G512" s="710" t="s">
        <v>45</v>
      </c>
      <c r="H512" s="710" t="s">
        <v>39</v>
      </c>
      <c r="I512" s="711" t="s">
        <v>521</v>
      </c>
      <c r="J512" s="10" t="s">
        <v>77</v>
      </c>
      <c r="K512" s="24">
        <v>30</v>
      </c>
      <c r="L512" s="24">
        <f>M512-K512</f>
        <v>0</v>
      </c>
      <c r="M512" s="24">
        <v>30</v>
      </c>
    </row>
    <row r="513" spans="1:13" s="120" customFormat="1" ht="288" customHeight="1" x14ac:dyDescent="0.35">
      <c r="A513" s="11"/>
      <c r="B513" s="510" t="s">
        <v>604</v>
      </c>
      <c r="C513" s="23" t="s">
        <v>423</v>
      </c>
      <c r="D513" s="10" t="s">
        <v>224</v>
      </c>
      <c r="E513" s="10" t="s">
        <v>39</v>
      </c>
      <c r="F513" s="709" t="s">
        <v>39</v>
      </c>
      <c r="G513" s="710" t="s">
        <v>45</v>
      </c>
      <c r="H513" s="710" t="s">
        <v>39</v>
      </c>
      <c r="I513" s="711" t="s">
        <v>522</v>
      </c>
      <c r="J513" s="10"/>
      <c r="K513" s="24">
        <f>K514+K515</f>
        <v>35518.6</v>
      </c>
      <c r="L513" s="24">
        <f>L514+L515</f>
        <v>1458.1999999999971</v>
      </c>
      <c r="M513" s="24">
        <f>M514+M515</f>
        <v>36976.799999999996</v>
      </c>
    </row>
    <row r="514" spans="1:13" s="120" customFormat="1" ht="108" customHeight="1" x14ac:dyDescent="0.35">
      <c r="A514" s="11"/>
      <c r="B514" s="510" t="s">
        <v>49</v>
      </c>
      <c r="C514" s="23" t="s">
        <v>423</v>
      </c>
      <c r="D514" s="10" t="s">
        <v>224</v>
      </c>
      <c r="E514" s="10" t="s">
        <v>39</v>
      </c>
      <c r="F514" s="709" t="s">
        <v>39</v>
      </c>
      <c r="G514" s="710" t="s">
        <v>45</v>
      </c>
      <c r="H514" s="710" t="s">
        <v>39</v>
      </c>
      <c r="I514" s="711" t="s">
        <v>522</v>
      </c>
      <c r="J514" s="10" t="s">
        <v>50</v>
      </c>
      <c r="K514" s="24">
        <v>2968.5</v>
      </c>
      <c r="L514" s="24">
        <f>M514-K514</f>
        <v>0</v>
      </c>
      <c r="M514" s="24">
        <v>2968.5</v>
      </c>
    </row>
    <row r="515" spans="1:13" s="120" customFormat="1" ht="54" customHeight="1" x14ac:dyDescent="0.35">
      <c r="A515" s="11"/>
      <c r="B515" s="510" t="s">
        <v>76</v>
      </c>
      <c r="C515" s="23" t="s">
        <v>423</v>
      </c>
      <c r="D515" s="10" t="s">
        <v>224</v>
      </c>
      <c r="E515" s="10" t="s">
        <v>39</v>
      </c>
      <c r="F515" s="709" t="s">
        <v>39</v>
      </c>
      <c r="G515" s="710" t="s">
        <v>45</v>
      </c>
      <c r="H515" s="710" t="s">
        <v>39</v>
      </c>
      <c r="I515" s="711" t="s">
        <v>522</v>
      </c>
      <c r="J515" s="10" t="s">
        <v>77</v>
      </c>
      <c r="K515" s="24">
        <v>32550.1</v>
      </c>
      <c r="L515" s="24">
        <f>M515-K515</f>
        <v>1458.1999999999971</v>
      </c>
      <c r="M515" s="24">
        <f>32550.1+1458.2</f>
        <v>34008.299999999996</v>
      </c>
    </row>
    <row r="516" spans="1:13" s="120" customFormat="1" ht="180" customHeight="1" x14ac:dyDescent="0.35">
      <c r="A516" s="11"/>
      <c r="B516" s="510" t="s">
        <v>268</v>
      </c>
      <c r="C516" s="23" t="s">
        <v>423</v>
      </c>
      <c r="D516" s="10" t="s">
        <v>224</v>
      </c>
      <c r="E516" s="10" t="s">
        <v>39</v>
      </c>
      <c r="F516" s="709" t="s">
        <v>39</v>
      </c>
      <c r="G516" s="710" t="s">
        <v>45</v>
      </c>
      <c r="H516" s="710" t="s">
        <v>39</v>
      </c>
      <c r="I516" s="711" t="s">
        <v>269</v>
      </c>
      <c r="J516" s="10"/>
      <c r="K516" s="24">
        <f>SUM(K517:K519)</f>
        <v>1538.1</v>
      </c>
      <c r="L516" s="24">
        <f>SUM(L517:L519)</f>
        <v>229.09999999999991</v>
      </c>
      <c r="M516" s="24">
        <f>SUM(M517:M519)</f>
        <v>1767.1999999999998</v>
      </c>
    </row>
    <row r="517" spans="1:13" s="120" customFormat="1" ht="108" customHeight="1" x14ac:dyDescent="0.35">
      <c r="A517" s="11"/>
      <c r="B517" s="510" t="s">
        <v>49</v>
      </c>
      <c r="C517" s="23" t="s">
        <v>423</v>
      </c>
      <c r="D517" s="10" t="s">
        <v>224</v>
      </c>
      <c r="E517" s="10" t="s">
        <v>39</v>
      </c>
      <c r="F517" s="709" t="s">
        <v>39</v>
      </c>
      <c r="G517" s="710" t="s">
        <v>45</v>
      </c>
      <c r="H517" s="710" t="s">
        <v>39</v>
      </c>
      <c r="I517" s="711" t="s">
        <v>269</v>
      </c>
      <c r="J517" s="10" t="s">
        <v>50</v>
      </c>
      <c r="K517" s="24">
        <v>77.5</v>
      </c>
      <c r="L517" s="24">
        <f>M517-K517</f>
        <v>0</v>
      </c>
      <c r="M517" s="24">
        <v>77.5</v>
      </c>
    </row>
    <row r="518" spans="1:13" s="120" customFormat="1" ht="36" customHeight="1" x14ac:dyDescent="0.35">
      <c r="A518" s="11"/>
      <c r="B518" s="510" t="s">
        <v>120</v>
      </c>
      <c r="C518" s="23" t="s">
        <v>423</v>
      </c>
      <c r="D518" s="10" t="s">
        <v>224</v>
      </c>
      <c r="E518" s="10" t="s">
        <v>39</v>
      </c>
      <c r="F518" s="709" t="s">
        <v>39</v>
      </c>
      <c r="G518" s="710" t="s">
        <v>45</v>
      </c>
      <c r="H518" s="710" t="s">
        <v>39</v>
      </c>
      <c r="I518" s="711" t="s">
        <v>269</v>
      </c>
      <c r="J518" s="10" t="s">
        <v>121</v>
      </c>
      <c r="K518" s="24">
        <v>5.5</v>
      </c>
      <c r="L518" s="24">
        <f>M518-K518</f>
        <v>0</v>
      </c>
      <c r="M518" s="24">
        <v>5.5</v>
      </c>
    </row>
    <row r="519" spans="1:13" s="120" customFormat="1" ht="54" customHeight="1" x14ac:dyDescent="0.35">
      <c r="A519" s="11"/>
      <c r="B519" s="510" t="s">
        <v>76</v>
      </c>
      <c r="C519" s="23" t="s">
        <v>423</v>
      </c>
      <c r="D519" s="10" t="s">
        <v>224</v>
      </c>
      <c r="E519" s="10" t="s">
        <v>39</v>
      </c>
      <c r="F519" s="709" t="s">
        <v>39</v>
      </c>
      <c r="G519" s="710" t="s">
        <v>45</v>
      </c>
      <c r="H519" s="710" t="s">
        <v>39</v>
      </c>
      <c r="I519" s="711" t="s">
        <v>269</v>
      </c>
      <c r="J519" s="10" t="s">
        <v>77</v>
      </c>
      <c r="K519" s="24">
        <v>1455.1</v>
      </c>
      <c r="L519" s="24">
        <f>M519-K519</f>
        <v>229.09999999999991</v>
      </c>
      <c r="M519" s="24">
        <f>1455.1+229.1</f>
        <v>1684.1999999999998</v>
      </c>
    </row>
    <row r="520" spans="1:13" s="120" customFormat="1" ht="108" customHeight="1" x14ac:dyDescent="0.35">
      <c r="A520" s="11"/>
      <c r="B520" s="510" t="s">
        <v>345</v>
      </c>
      <c r="C520" s="23" t="s">
        <v>423</v>
      </c>
      <c r="D520" s="10" t="s">
        <v>224</v>
      </c>
      <c r="E520" s="10" t="s">
        <v>39</v>
      </c>
      <c r="F520" s="709" t="s">
        <v>39</v>
      </c>
      <c r="G520" s="710" t="s">
        <v>45</v>
      </c>
      <c r="H520" s="710" t="s">
        <v>39</v>
      </c>
      <c r="I520" s="711" t="s">
        <v>270</v>
      </c>
      <c r="J520" s="10"/>
      <c r="K520" s="24">
        <f>K521+K522+K523</f>
        <v>458610.1</v>
      </c>
      <c r="L520" s="24">
        <f>L521+L522+L523</f>
        <v>30119.900000000034</v>
      </c>
      <c r="M520" s="24">
        <f>M521+M522+M523</f>
        <v>488730</v>
      </c>
    </row>
    <row r="521" spans="1:13" s="120" customFormat="1" ht="108" customHeight="1" x14ac:dyDescent="0.35">
      <c r="A521" s="11"/>
      <c r="B521" s="510" t="s">
        <v>49</v>
      </c>
      <c r="C521" s="23" t="s">
        <v>423</v>
      </c>
      <c r="D521" s="10" t="s">
        <v>224</v>
      </c>
      <c r="E521" s="10" t="s">
        <v>39</v>
      </c>
      <c r="F521" s="709" t="s">
        <v>39</v>
      </c>
      <c r="G521" s="710" t="s">
        <v>45</v>
      </c>
      <c r="H521" s="710" t="s">
        <v>39</v>
      </c>
      <c r="I521" s="711" t="s">
        <v>270</v>
      </c>
      <c r="J521" s="10" t="s">
        <v>50</v>
      </c>
      <c r="K521" s="24">
        <f>30150+109.8-188</f>
        <v>30071.8</v>
      </c>
      <c r="L521" s="24">
        <f>M521-K521</f>
        <v>510.5</v>
      </c>
      <c r="M521" s="24">
        <f>30150+109.8-188+488+22.5</f>
        <v>30582.3</v>
      </c>
    </row>
    <row r="522" spans="1:13" s="120" customFormat="1" ht="54" customHeight="1" x14ac:dyDescent="0.35">
      <c r="A522" s="11"/>
      <c r="B522" s="510" t="s">
        <v>55</v>
      </c>
      <c r="C522" s="23" t="s">
        <v>423</v>
      </c>
      <c r="D522" s="10" t="s">
        <v>224</v>
      </c>
      <c r="E522" s="10" t="s">
        <v>39</v>
      </c>
      <c r="F522" s="709" t="s">
        <v>39</v>
      </c>
      <c r="G522" s="710" t="s">
        <v>45</v>
      </c>
      <c r="H522" s="710" t="s">
        <v>39</v>
      </c>
      <c r="I522" s="711" t="s">
        <v>270</v>
      </c>
      <c r="J522" s="10" t="s">
        <v>56</v>
      </c>
      <c r="K522" s="24">
        <f>1983+188</f>
        <v>2171</v>
      </c>
      <c r="L522" s="24">
        <f>M522-K522</f>
        <v>214.80000000000018</v>
      </c>
      <c r="M522" s="24">
        <f>1983+188+214.8</f>
        <v>2385.8000000000002</v>
      </c>
    </row>
    <row r="523" spans="1:13" s="120" customFormat="1" ht="54" customHeight="1" x14ac:dyDescent="0.35">
      <c r="A523" s="11"/>
      <c r="B523" s="510" t="s">
        <v>76</v>
      </c>
      <c r="C523" s="23" t="s">
        <v>423</v>
      </c>
      <c r="D523" s="10" t="s">
        <v>224</v>
      </c>
      <c r="E523" s="10" t="s">
        <v>39</v>
      </c>
      <c r="F523" s="709" t="s">
        <v>39</v>
      </c>
      <c r="G523" s="710" t="s">
        <v>45</v>
      </c>
      <c r="H523" s="710" t="s">
        <v>39</v>
      </c>
      <c r="I523" s="711" t="s">
        <v>270</v>
      </c>
      <c r="J523" s="10" t="s">
        <v>77</v>
      </c>
      <c r="K523" s="24">
        <f>425476.2+927.8-36.7</f>
        <v>426367.3</v>
      </c>
      <c r="L523" s="24">
        <f>M523-K523</f>
        <v>29394.600000000035</v>
      </c>
      <c r="M523" s="24">
        <f>425476.2+927.8-36.7+29454.7-30-30.1</f>
        <v>455761.9</v>
      </c>
    </row>
    <row r="524" spans="1:13" s="116" customFormat="1" ht="90" customHeight="1" x14ac:dyDescent="0.35">
      <c r="A524" s="11"/>
      <c r="B524" s="510" t="s">
        <v>209</v>
      </c>
      <c r="C524" s="23" t="s">
        <v>423</v>
      </c>
      <c r="D524" s="10" t="s">
        <v>224</v>
      </c>
      <c r="E524" s="10" t="s">
        <v>39</v>
      </c>
      <c r="F524" s="709" t="s">
        <v>39</v>
      </c>
      <c r="G524" s="710" t="s">
        <v>45</v>
      </c>
      <c r="H524" s="710" t="s">
        <v>39</v>
      </c>
      <c r="I524" s="711" t="s">
        <v>275</v>
      </c>
      <c r="J524" s="10"/>
      <c r="K524" s="24">
        <f>SUM(K525:K526)</f>
        <v>2484.5</v>
      </c>
      <c r="L524" s="24">
        <f>SUM(L525:L526)</f>
        <v>-302.4000000000002</v>
      </c>
      <c r="M524" s="24">
        <f>SUM(M525:M526)</f>
        <v>2182.0999999999995</v>
      </c>
    </row>
    <row r="525" spans="1:13" s="116" customFormat="1" ht="54" customHeight="1" x14ac:dyDescent="0.35">
      <c r="A525" s="11"/>
      <c r="B525" s="510" t="s">
        <v>55</v>
      </c>
      <c r="C525" s="23" t="s">
        <v>423</v>
      </c>
      <c r="D525" s="10" t="s">
        <v>224</v>
      </c>
      <c r="E525" s="10" t="s">
        <v>39</v>
      </c>
      <c r="F525" s="709" t="s">
        <v>39</v>
      </c>
      <c r="G525" s="710" t="s">
        <v>45</v>
      </c>
      <c r="H525" s="710" t="s">
        <v>39</v>
      </c>
      <c r="I525" s="711" t="s">
        <v>275</v>
      </c>
      <c r="J525" s="10" t="s">
        <v>56</v>
      </c>
      <c r="K525" s="24">
        <v>123.3</v>
      </c>
      <c r="L525" s="24">
        <f>M525-K525</f>
        <v>-35.600000000000009</v>
      </c>
      <c r="M525" s="24">
        <f>123.3-35.6</f>
        <v>87.699999999999989</v>
      </c>
    </row>
    <row r="526" spans="1:13" s="116" customFormat="1" ht="54" customHeight="1" x14ac:dyDescent="0.35">
      <c r="A526" s="11"/>
      <c r="B526" s="510" t="s">
        <v>76</v>
      </c>
      <c r="C526" s="23" t="s">
        <v>423</v>
      </c>
      <c r="D526" s="10" t="s">
        <v>224</v>
      </c>
      <c r="E526" s="10" t="s">
        <v>39</v>
      </c>
      <c r="F526" s="709" t="s">
        <v>39</v>
      </c>
      <c r="G526" s="710" t="s">
        <v>45</v>
      </c>
      <c r="H526" s="710" t="s">
        <v>39</v>
      </c>
      <c r="I526" s="711" t="s">
        <v>275</v>
      </c>
      <c r="J526" s="10" t="s">
        <v>77</v>
      </c>
      <c r="K526" s="24">
        <v>2361.1999999999998</v>
      </c>
      <c r="L526" s="24">
        <f>M526-K526</f>
        <v>-266.80000000000018</v>
      </c>
      <c r="M526" s="24">
        <f>2361.2-266.8</f>
        <v>2094.3999999999996</v>
      </c>
    </row>
    <row r="527" spans="1:13" s="116" customFormat="1" ht="54" customHeight="1" x14ac:dyDescent="0.35">
      <c r="A527" s="11"/>
      <c r="B527" s="510" t="s">
        <v>695</v>
      </c>
      <c r="C527" s="23" t="s">
        <v>423</v>
      </c>
      <c r="D527" s="10" t="s">
        <v>224</v>
      </c>
      <c r="E527" s="10" t="s">
        <v>39</v>
      </c>
      <c r="F527" s="709" t="s">
        <v>39</v>
      </c>
      <c r="G527" s="710" t="s">
        <v>45</v>
      </c>
      <c r="H527" s="710" t="s">
        <v>39</v>
      </c>
      <c r="I527" s="711" t="s">
        <v>694</v>
      </c>
      <c r="J527" s="10"/>
      <c r="K527" s="24">
        <f>K528</f>
        <v>22664.799999999999</v>
      </c>
      <c r="L527" s="24">
        <f>L528</f>
        <v>0</v>
      </c>
      <c r="M527" s="24">
        <f>M528</f>
        <v>22664.799999999999</v>
      </c>
    </row>
    <row r="528" spans="1:13" s="116" customFormat="1" ht="54" customHeight="1" x14ac:dyDescent="0.35">
      <c r="A528" s="11"/>
      <c r="B528" s="510" t="s">
        <v>76</v>
      </c>
      <c r="C528" s="23" t="s">
        <v>423</v>
      </c>
      <c r="D528" s="10" t="s">
        <v>224</v>
      </c>
      <c r="E528" s="10" t="s">
        <v>39</v>
      </c>
      <c r="F528" s="709" t="s">
        <v>39</v>
      </c>
      <c r="G528" s="710" t="s">
        <v>45</v>
      </c>
      <c r="H528" s="710" t="s">
        <v>39</v>
      </c>
      <c r="I528" s="711" t="s">
        <v>694</v>
      </c>
      <c r="J528" s="10" t="s">
        <v>77</v>
      </c>
      <c r="K528" s="24">
        <f>2500+20164.8</f>
        <v>22664.799999999999</v>
      </c>
      <c r="L528" s="24">
        <f>M528-K528</f>
        <v>0</v>
      </c>
      <c r="M528" s="24">
        <f>2500+20164.8</f>
        <v>22664.799999999999</v>
      </c>
    </row>
    <row r="529" spans="1:13" s="116" customFormat="1" ht="162" customHeight="1" x14ac:dyDescent="0.35">
      <c r="A529" s="11"/>
      <c r="B529" s="510" t="s">
        <v>551</v>
      </c>
      <c r="C529" s="23" t="s">
        <v>423</v>
      </c>
      <c r="D529" s="10" t="s">
        <v>224</v>
      </c>
      <c r="E529" s="10" t="s">
        <v>39</v>
      </c>
      <c r="F529" s="709" t="s">
        <v>39</v>
      </c>
      <c r="G529" s="710" t="s">
        <v>45</v>
      </c>
      <c r="H529" s="710" t="s">
        <v>39</v>
      </c>
      <c r="I529" s="711" t="s">
        <v>550</v>
      </c>
      <c r="J529" s="10"/>
      <c r="K529" s="24">
        <f>SUM(K530:K532)</f>
        <v>2268.1999999999998</v>
      </c>
      <c r="L529" s="24">
        <f>SUM(L530:L532)</f>
        <v>-996.00000000000011</v>
      </c>
      <c r="M529" s="24">
        <f>SUM(M530:M532)</f>
        <v>1272.1999999999998</v>
      </c>
    </row>
    <row r="530" spans="1:13" s="116" customFormat="1" ht="54" customHeight="1" x14ac:dyDescent="0.35">
      <c r="A530" s="11"/>
      <c r="B530" s="510" t="s">
        <v>55</v>
      </c>
      <c r="C530" s="23" t="s">
        <v>423</v>
      </c>
      <c r="D530" s="10" t="s">
        <v>224</v>
      </c>
      <c r="E530" s="10" t="s">
        <v>39</v>
      </c>
      <c r="F530" s="709" t="s">
        <v>39</v>
      </c>
      <c r="G530" s="710" t="s">
        <v>45</v>
      </c>
      <c r="H530" s="710" t="s">
        <v>39</v>
      </c>
      <c r="I530" s="711" t="s">
        <v>550</v>
      </c>
      <c r="J530" s="10" t="s">
        <v>56</v>
      </c>
      <c r="K530" s="24">
        <v>91.9</v>
      </c>
      <c r="L530" s="24">
        <f>M530-K530</f>
        <v>-67</v>
      </c>
      <c r="M530" s="24">
        <f>91.9-67</f>
        <v>24.900000000000006</v>
      </c>
    </row>
    <row r="531" spans="1:13" s="116" customFormat="1" ht="36" customHeight="1" x14ac:dyDescent="0.35">
      <c r="A531" s="11"/>
      <c r="B531" s="507" t="s">
        <v>120</v>
      </c>
      <c r="C531" s="23" t="s">
        <v>423</v>
      </c>
      <c r="D531" s="10" t="s">
        <v>224</v>
      </c>
      <c r="E531" s="10" t="s">
        <v>39</v>
      </c>
      <c r="F531" s="709" t="s">
        <v>39</v>
      </c>
      <c r="G531" s="710" t="s">
        <v>45</v>
      </c>
      <c r="H531" s="710" t="s">
        <v>39</v>
      </c>
      <c r="I531" s="711" t="s">
        <v>550</v>
      </c>
      <c r="J531" s="10" t="s">
        <v>121</v>
      </c>
      <c r="K531" s="24">
        <v>23.6</v>
      </c>
      <c r="L531" s="24">
        <f>M531-K531</f>
        <v>-23.6</v>
      </c>
      <c r="M531" s="24">
        <f>23.6-23.6</f>
        <v>0</v>
      </c>
    </row>
    <row r="532" spans="1:13" s="116" customFormat="1" ht="54" customHeight="1" x14ac:dyDescent="0.35">
      <c r="A532" s="11"/>
      <c r="B532" s="510" t="s">
        <v>76</v>
      </c>
      <c r="C532" s="23" t="s">
        <v>423</v>
      </c>
      <c r="D532" s="10" t="s">
        <v>224</v>
      </c>
      <c r="E532" s="10" t="s">
        <v>39</v>
      </c>
      <c r="F532" s="709" t="s">
        <v>39</v>
      </c>
      <c r="G532" s="710" t="s">
        <v>45</v>
      </c>
      <c r="H532" s="710" t="s">
        <v>39</v>
      </c>
      <c r="I532" s="711" t="s">
        <v>550</v>
      </c>
      <c r="J532" s="10" t="s">
        <v>77</v>
      </c>
      <c r="K532" s="24">
        <v>2152.6999999999998</v>
      </c>
      <c r="L532" s="24">
        <f>M532-K532</f>
        <v>-905.40000000000009</v>
      </c>
      <c r="M532" s="24">
        <f>2152.7-905.4</f>
        <v>1247.2999999999997</v>
      </c>
    </row>
    <row r="533" spans="1:13" s="116" customFormat="1" ht="72" customHeight="1" x14ac:dyDescent="0.35">
      <c r="A533" s="11"/>
      <c r="B533" s="510" t="s">
        <v>455</v>
      </c>
      <c r="C533" s="23" t="s">
        <v>423</v>
      </c>
      <c r="D533" s="10" t="s">
        <v>224</v>
      </c>
      <c r="E533" s="10" t="s">
        <v>39</v>
      </c>
      <c r="F533" s="709" t="s">
        <v>39</v>
      </c>
      <c r="G533" s="710" t="s">
        <v>45</v>
      </c>
      <c r="H533" s="710" t="s">
        <v>39</v>
      </c>
      <c r="I533" s="711" t="s">
        <v>454</v>
      </c>
      <c r="J533" s="10"/>
      <c r="K533" s="24">
        <f>K534+K535</f>
        <v>66492.899999999994</v>
      </c>
      <c r="L533" s="24">
        <f>L534+L535</f>
        <v>0</v>
      </c>
      <c r="M533" s="24">
        <f>M534+M535</f>
        <v>66492.899999999994</v>
      </c>
    </row>
    <row r="534" spans="1:13" s="116" customFormat="1" ht="54" customHeight="1" x14ac:dyDescent="0.35">
      <c r="A534" s="11"/>
      <c r="B534" s="510" t="s">
        <v>55</v>
      </c>
      <c r="C534" s="23" t="s">
        <v>423</v>
      </c>
      <c r="D534" s="10" t="s">
        <v>224</v>
      </c>
      <c r="E534" s="10" t="s">
        <v>39</v>
      </c>
      <c r="F534" s="709" t="s">
        <v>39</v>
      </c>
      <c r="G534" s="710" t="s">
        <v>45</v>
      </c>
      <c r="H534" s="710" t="s">
        <v>39</v>
      </c>
      <c r="I534" s="711" t="s">
        <v>454</v>
      </c>
      <c r="J534" s="10" t="s">
        <v>56</v>
      </c>
      <c r="K534" s="24">
        <f>1516.6+427.8+55.9+4.2</f>
        <v>2004.5</v>
      </c>
      <c r="L534" s="24">
        <f>M534-K534</f>
        <v>0</v>
      </c>
      <c r="M534" s="24">
        <f>1516.6+427.8+55.9+4.2</f>
        <v>2004.5</v>
      </c>
    </row>
    <row r="535" spans="1:13" s="116" customFormat="1" ht="54" customHeight="1" x14ac:dyDescent="0.35">
      <c r="A535" s="11"/>
      <c r="B535" s="510" t="s">
        <v>76</v>
      </c>
      <c r="C535" s="23" t="s">
        <v>423</v>
      </c>
      <c r="D535" s="10" t="s">
        <v>224</v>
      </c>
      <c r="E535" s="10" t="s">
        <v>39</v>
      </c>
      <c r="F535" s="709" t="s">
        <v>39</v>
      </c>
      <c r="G535" s="710" t="s">
        <v>45</v>
      </c>
      <c r="H535" s="710" t="s">
        <v>39</v>
      </c>
      <c r="I535" s="711" t="s">
        <v>454</v>
      </c>
      <c r="J535" s="10" t="s">
        <v>77</v>
      </c>
      <c r="K535" s="24">
        <f>48791.9+13761.8+1797.7+137</f>
        <v>64488.399999999994</v>
      </c>
      <c r="L535" s="24">
        <f>M535-K535</f>
        <v>0</v>
      </c>
      <c r="M535" s="24">
        <f>48791.9+13761.8+1797.7+137</f>
        <v>64488.399999999994</v>
      </c>
    </row>
    <row r="536" spans="1:13" s="116" customFormat="1" ht="36" customHeight="1" x14ac:dyDescent="0.35">
      <c r="A536" s="11"/>
      <c r="B536" s="510" t="s">
        <v>654</v>
      </c>
      <c r="C536" s="23" t="s">
        <v>423</v>
      </c>
      <c r="D536" s="10" t="s">
        <v>224</v>
      </c>
      <c r="E536" s="10" t="s">
        <v>39</v>
      </c>
      <c r="F536" s="709" t="s">
        <v>39</v>
      </c>
      <c r="G536" s="710" t="s">
        <v>45</v>
      </c>
      <c r="H536" s="710" t="s">
        <v>39</v>
      </c>
      <c r="I536" s="711" t="s">
        <v>662</v>
      </c>
      <c r="J536" s="10"/>
      <c r="K536" s="24">
        <f>K537</f>
        <v>40386.799999999996</v>
      </c>
      <c r="L536" s="24">
        <f>L537</f>
        <v>0</v>
      </c>
      <c r="M536" s="24">
        <f>M537</f>
        <v>40386.799999999996</v>
      </c>
    </row>
    <row r="537" spans="1:13" s="116" customFormat="1" ht="54" customHeight="1" x14ac:dyDescent="0.35">
      <c r="A537" s="11"/>
      <c r="B537" s="510" t="s">
        <v>76</v>
      </c>
      <c r="C537" s="23" t="s">
        <v>423</v>
      </c>
      <c r="D537" s="10" t="s">
        <v>224</v>
      </c>
      <c r="E537" s="10" t="s">
        <v>39</v>
      </c>
      <c r="F537" s="709" t="s">
        <v>39</v>
      </c>
      <c r="G537" s="710" t="s">
        <v>45</v>
      </c>
      <c r="H537" s="710" t="s">
        <v>39</v>
      </c>
      <c r="I537" s="711" t="s">
        <v>662</v>
      </c>
      <c r="J537" s="10" t="s">
        <v>77</v>
      </c>
      <c r="K537" s="24">
        <f>39175.1+1211.7</f>
        <v>40386.799999999996</v>
      </c>
      <c r="L537" s="24">
        <f>M537-K537</f>
        <v>0</v>
      </c>
      <c r="M537" s="24">
        <f>39175.1+1211.7</f>
        <v>40386.799999999996</v>
      </c>
    </row>
    <row r="538" spans="1:13" s="116" customFormat="1" ht="90" customHeight="1" x14ac:dyDescent="0.35">
      <c r="A538" s="11"/>
      <c r="B538" s="510" t="s">
        <v>548</v>
      </c>
      <c r="C538" s="23" t="s">
        <v>423</v>
      </c>
      <c r="D538" s="10" t="s">
        <v>224</v>
      </c>
      <c r="E538" s="10" t="s">
        <v>39</v>
      </c>
      <c r="F538" s="709" t="s">
        <v>39</v>
      </c>
      <c r="G538" s="710" t="s">
        <v>45</v>
      </c>
      <c r="H538" s="710" t="s">
        <v>39</v>
      </c>
      <c r="I538" s="711" t="s">
        <v>547</v>
      </c>
      <c r="J538" s="10"/>
      <c r="K538" s="24">
        <f>SUM(K539:K541)</f>
        <v>15819.5</v>
      </c>
      <c r="L538" s="24">
        <f>SUM(L539:L541)</f>
        <v>1.0658141036401503E-12</v>
      </c>
      <c r="M538" s="24">
        <f>SUM(M539:M541)</f>
        <v>15819.5</v>
      </c>
    </row>
    <row r="539" spans="1:13" s="116" customFormat="1" ht="54" customHeight="1" x14ac:dyDescent="0.35">
      <c r="A539" s="11"/>
      <c r="B539" s="510" t="s">
        <v>55</v>
      </c>
      <c r="C539" s="23" t="s">
        <v>423</v>
      </c>
      <c r="D539" s="10" t="s">
        <v>224</v>
      </c>
      <c r="E539" s="10" t="s">
        <v>39</v>
      </c>
      <c r="F539" s="709" t="s">
        <v>39</v>
      </c>
      <c r="G539" s="710" t="s">
        <v>45</v>
      </c>
      <c r="H539" s="710" t="s">
        <v>39</v>
      </c>
      <c r="I539" s="711" t="s">
        <v>547</v>
      </c>
      <c r="J539" s="10" t="s">
        <v>56</v>
      </c>
      <c r="K539" s="24">
        <v>115.4</v>
      </c>
      <c r="L539" s="24">
        <f>M539-K539</f>
        <v>83.999999999999972</v>
      </c>
      <c r="M539" s="24">
        <f>115.4+58.8+25.2</f>
        <v>199.39999999999998</v>
      </c>
    </row>
    <row r="540" spans="1:13" s="116" customFormat="1" ht="36" customHeight="1" x14ac:dyDescent="0.35">
      <c r="A540" s="11"/>
      <c r="B540" s="510" t="s">
        <v>120</v>
      </c>
      <c r="C540" s="23" t="s">
        <v>423</v>
      </c>
      <c r="D540" s="10" t="s">
        <v>224</v>
      </c>
      <c r="E540" s="10" t="s">
        <v>39</v>
      </c>
      <c r="F540" s="709" t="s">
        <v>39</v>
      </c>
      <c r="G540" s="710" t="s">
        <v>45</v>
      </c>
      <c r="H540" s="710" t="s">
        <v>39</v>
      </c>
      <c r="I540" s="711" t="s">
        <v>547</v>
      </c>
      <c r="J540" s="10" t="s">
        <v>121</v>
      </c>
      <c r="K540" s="24">
        <v>102.2</v>
      </c>
      <c r="L540" s="24">
        <f>M540-K540</f>
        <v>38.700000000000003</v>
      </c>
      <c r="M540" s="24">
        <f>102.2+27.1+11.6</f>
        <v>140.9</v>
      </c>
    </row>
    <row r="541" spans="1:13" s="116" customFormat="1" ht="54" customHeight="1" x14ac:dyDescent="0.35">
      <c r="A541" s="11"/>
      <c r="B541" s="510" t="s">
        <v>76</v>
      </c>
      <c r="C541" s="23" t="s">
        <v>423</v>
      </c>
      <c r="D541" s="10" t="s">
        <v>224</v>
      </c>
      <c r="E541" s="10" t="s">
        <v>39</v>
      </c>
      <c r="F541" s="709" t="s">
        <v>39</v>
      </c>
      <c r="G541" s="710" t="s">
        <v>45</v>
      </c>
      <c r="H541" s="710" t="s">
        <v>39</v>
      </c>
      <c r="I541" s="711" t="s">
        <v>547</v>
      </c>
      <c r="J541" s="10" t="s">
        <v>77</v>
      </c>
      <c r="K541" s="24">
        <v>15601.9</v>
      </c>
      <c r="L541" s="24">
        <f>M541-K541</f>
        <v>-122.69999999999891</v>
      </c>
      <c r="M541" s="24">
        <f>15601.9-85.9-36.8</f>
        <v>15479.2</v>
      </c>
    </row>
    <row r="542" spans="1:13" s="116" customFormat="1" ht="36" customHeight="1" x14ac:dyDescent="0.35">
      <c r="A542" s="11"/>
      <c r="B542" s="510" t="s">
        <v>661</v>
      </c>
      <c r="C542" s="23" t="s">
        <v>423</v>
      </c>
      <c r="D542" s="10" t="s">
        <v>224</v>
      </c>
      <c r="E542" s="10" t="s">
        <v>39</v>
      </c>
      <c r="F542" s="709" t="s">
        <v>39</v>
      </c>
      <c r="G542" s="710" t="s">
        <v>45</v>
      </c>
      <c r="H542" s="710" t="s">
        <v>655</v>
      </c>
      <c r="I542" s="711" t="s">
        <v>44</v>
      </c>
      <c r="J542" s="10"/>
      <c r="K542" s="24">
        <f>K543+K546</f>
        <v>5656.9</v>
      </c>
      <c r="L542" s="24">
        <f>L543+L546</f>
        <v>0</v>
      </c>
      <c r="M542" s="24">
        <f>M543+M546</f>
        <v>5656.9</v>
      </c>
    </row>
    <row r="543" spans="1:13" s="116" customFormat="1" ht="90" customHeight="1" x14ac:dyDescent="0.35">
      <c r="A543" s="11"/>
      <c r="B543" s="510" t="s">
        <v>674</v>
      </c>
      <c r="C543" s="23" t="s">
        <v>423</v>
      </c>
      <c r="D543" s="10" t="s">
        <v>224</v>
      </c>
      <c r="E543" s="10" t="s">
        <v>39</v>
      </c>
      <c r="F543" s="709" t="s">
        <v>39</v>
      </c>
      <c r="G543" s="710" t="s">
        <v>45</v>
      </c>
      <c r="H543" s="710" t="s">
        <v>655</v>
      </c>
      <c r="I543" s="711" t="s">
        <v>673</v>
      </c>
      <c r="J543" s="10"/>
      <c r="K543" s="24">
        <f>K544+K545</f>
        <v>5560</v>
      </c>
      <c r="L543" s="24">
        <f>L544+L545</f>
        <v>0</v>
      </c>
      <c r="M543" s="24">
        <f>M544+M545</f>
        <v>5560</v>
      </c>
    </row>
    <row r="544" spans="1:13" s="116" customFormat="1" ht="108" customHeight="1" x14ac:dyDescent="0.35">
      <c r="A544" s="11"/>
      <c r="B544" s="510" t="s">
        <v>49</v>
      </c>
      <c r="C544" s="23" t="s">
        <v>423</v>
      </c>
      <c r="D544" s="10" t="s">
        <v>224</v>
      </c>
      <c r="E544" s="10" t="s">
        <v>39</v>
      </c>
      <c r="F544" s="709" t="s">
        <v>39</v>
      </c>
      <c r="G544" s="710" t="s">
        <v>45</v>
      </c>
      <c r="H544" s="710" t="s">
        <v>655</v>
      </c>
      <c r="I544" s="711" t="s">
        <v>673</v>
      </c>
      <c r="J544" s="10" t="s">
        <v>50</v>
      </c>
      <c r="K544" s="24">
        <v>406.82925</v>
      </c>
      <c r="L544" s="24">
        <f t="shared" ref="L544:L545" si="74">M544-K544</f>
        <v>0</v>
      </c>
      <c r="M544" s="24">
        <v>406.82925</v>
      </c>
    </row>
    <row r="545" spans="1:13" s="116" customFormat="1" ht="54" customHeight="1" x14ac:dyDescent="0.35">
      <c r="A545" s="11"/>
      <c r="B545" s="510" t="s">
        <v>76</v>
      </c>
      <c r="C545" s="23" t="s">
        <v>423</v>
      </c>
      <c r="D545" s="10" t="s">
        <v>224</v>
      </c>
      <c r="E545" s="10" t="s">
        <v>39</v>
      </c>
      <c r="F545" s="709" t="s">
        <v>39</v>
      </c>
      <c r="G545" s="710" t="s">
        <v>45</v>
      </c>
      <c r="H545" s="710" t="s">
        <v>655</v>
      </c>
      <c r="I545" s="711" t="s">
        <v>673</v>
      </c>
      <c r="J545" s="10" t="s">
        <v>77</v>
      </c>
      <c r="K545" s="24">
        <v>5153.1707500000002</v>
      </c>
      <c r="L545" s="24">
        <f t="shared" si="74"/>
        <v>0</v>
      </c>
      <c r="M545" s="24">
        <v>5153.1707500000002</v>
      </c>
    </row>
    <row r="546" spans="1:13" s="116" customFormat="1" ht="108" customHeight="1" x14ac:dyDescent="0.35">
      <c r="A546" s="11"/>
      <c r="B546" s="510" t="s">
        <v>657</v>
      </c>
      <c r="C546" s="23" t="s">
        <v>423</v>
      </c>
      <c r="D546" s="10" t="s">
        <v>224</v>
      </c>
      <c r="E546" s="10" t="s">
        <v>39</v>
      </c>
      <c r="F546" s="709" t="s">
        <v>39</v>
      </c>
      <c r="G546" s="710" t="s">
        <v>45</v>
      </c>
      <c r="H546" s="710" t="s">
        <v>655</v>
      </c>
      <c r="I546" s="711" t="s">
        <v>656</v>
      </c>
      <c r="J546" s="10"/>
      <c r="K546" s="24">
        <f t="shared" ref="K546:M546" si="75">K547</f>
        <v>96.9</v>
      </c>
      <c r="L546" s="24">
        <f t="shared" si="75"/>
        <v>0</v>
      </c>
      <c r="M546" s="24">
        <f t="shared" si="75"/>
        <v>96.9</v>
      </c>
    </row>
    <row r="547" spans="1:13" s="116" customFormat="1" ht="54" customHeight="1" x14ac:dyDescent="0.35">
      <c r="A547" s="11"/>
      <c r="B547" s="510" t="s">
        <v>76</v>
      </c>
      <c r="C547" s="23" t="s">
        <v>423</v>
      </c>
      <c r="D547" s="10" t="s">
        <v>224</v>
      </c>
      <c r="E547" s="10" t="s">
        <v>39</v>
      </c>
      <c r="F547" s="709" t="s">
        <v>39</v>
      </c>
      <c r="G547" s="710" t="s">
        <v>45</v>
      </c>
      <c r="H547" s="710" t="s">
        <v>655</v>
      </c>
      <c r="I547" s="711" t="s">
        <v>656</v>
      </c>
      <c r="J547" s="10" t="s">
        <v>77</v>
      </c>
      <c r="K547" s="24">
        <f>93.9+3</f>
        <v>96.9</v>
      </c>
      <c r="L547" s="24">
        <f>M547-K547</f>
        <v>0</v>
      </c>
      <c r="M547" s="24">
        <f>93.9+3</f>
        <v>96.9</v>
      </c>
    </row>
    <row r="548" spans="1:13" s="120" customFormat="1" ht="54" customHeight="1" x14ac:dyDescent="0.35">
      <c r="A548" s="11"/>
      <c r="B548" s="510" t="s">
        <v>212</v>
      </c>
      <c r="C548" s="23" t="s">
        <v>423</v>
      </c>
      <c r="D548" s="10" t="s">
        <v>224</v>
      </c>
      <c r="E548" s="10" t="s">
        <v>39</v>
      </c>
      <c r="F548" s="709" t="s">
        <v>39</v>
      </c>
      <c r="G548" s="710" t="s">
        <v>30</v>
      </c>
      <c r="H548" s="710" t="s">
        <v>43</v>
      </c>
      <c r="I548" s="711" t="s">
        <v>44</v>
      </c>
      <c r="J548" s="10"/>
      <c r="K548" s="24">
        <f t="shared" ref="K548:M549" si="76">K549</f>
        <v>2222.1999999999998</v>
      </c>
      <c r="L548" s="24">
        <f t="shared" si="76"/>
        <v>0</v>
      </c>
      <c r="M548" s="24">
        <f t="shared" si="76"/>
        <v>2222.1999999999998</v>
      </c>
    </row>
    <row r="549" spans="1:13" s="120" customFormat="1" ht="36" customHeight="1" x14ac:dyDescent="0.35">
      <c r="A549" s="11"/>
      <c r="B549" s="510" t="s">
        <v>282</v>
      </c>
      <c r="C549" s="23" t="s">
        <v>423</v>
      </c>
      <c r="D549" s="10" t="s">
        <v>224</v>
      </c>
      <c r="E549" s="10" t="s">
        <v>39</v>
      </c>
      <c r="F549" s="709" t="s">
        <v>39</v>
      </c>
      <c r="G549" s="710" t="s">
        <v>30</v>
      </c>
      <c r="H549" s="710" t="s">
        <v>37</v>
      </c>
      <c r="I549" s="711" t="s">
        <v>44</v>
      </c>
      <c r="J549" s="10"/>
      <c r="K549" s="24">
        <f t="shared" si="76"/>
        <v>2222.1999999999998</v>
      </c>
      <c r="L549" s="24">
        <f t="shared" si="76"/>
        <v>0</v>
      </c>
      <c r="M549" s="24">
        <f t="shared" si="76"/>
        <v>2222.1999999999998</v>
      </c>
    </row>
    <row r="550" spans="1:13" s="120" customFormat="1" ht="252" customHeight="1" x14ac:dyDescent="0.35">
      <c r="A550" s="11"/>
      <c r="B550" s="510" t="s">
        <v>433</v>
      </c>
      <c r="C550" s="23" t="s">
        <v>423</v>
      </c>
      <c r="D550" s="10" t="s">
        <v>224</v>
      </c>
      <c r="E550" s="10" t="s">
        <v>39</v>
      </c>
      <c r="F550" s="709" t="s">
        <v>39</v>
      </c>
      <c r="G550" s="710" t="s">
        <v>30</v>
      </c>
      <c r="H550" s="710" t="s">
        <v>37</v>
      </c>
      <c r="I550" s="711" t="s">
        <v>346</v>
      </c>
      <c r="J550" s="10"/>
      <c r="K550" s="24">
        <f>K551</f>
        <v>2222.1999999999998</v>
      </c>
      <c r="L550" s="24">
        <f>L551</f>
        <v>0</v>
      </c>
      <c r="M550" s="24">
        <f>M551</f>
        <v>2222.1999999999998</v>
      </c>
    </row>
    <row r="551" spans="1:13" s="120" customFormat="1" ht="54" customHeight="1" x14ac:dyDescent="0.35">
      <c r="A551" s="11"/>
      <c r="B551" s="510" t="s">
        <v>76</v>
      </c>
      <c r="C551" s="23" t="s">
        <v>423</v>
      </c>
      <c r="D551" s="10" t="s">
        <v>224</v>
      </c>
      <c r="E551" s="10" t="s">
        <v>39</v>
      </c>
      <c r="F551" s="709" t="s">
        <v>39</v>
      </c>
      <c r="G551" s="710" t="s">
        <v>30</v>
      </c>
      <c r="H551" s="710" t="s">
        <v>37</v>
      </c>
      <c r="I551" s="711" t="s">
        <v>346</v>
      </c>
      <c r="J551" s="10" t="s">
        <v>77</v>
      </c>
      <c r="K551" s="24">
        <f>2214+8.2</f>
        <v>2222.1999999999998</v>
      </c>
      <c r="L551" s="24">
        <f>M551-K551</f>
        <v>0</v>
      </c>
      <c r="M551" s="24">
        <f>2214+8.2</f>
        <v>2222.1999999999998</v>
      </c>
    </row>
    <row r="552" spans="1:13" s="120" customFormat="1" ht="18" customHeight="1" x14ac:dyDescent="0.35">
      <c r="A552" s="11"/>
      <c r="B552" s="510" t="s">
        <v>349</v>
      </c>
      <c r="C552" s="23" t="s">
        <v>423</v>
      </c>
      <c r="D552" s="10" t="s">
        <v>224</v>
      </c>
      <c r="E552" s="10" t="s">
        <v>63</v>
      </c>
      <c r="F552" s="709"/>
      <c r="G552" s="710"/>
      <c r="H552" s="710"/>
      <c r="I552" s="711"/>
      <c r="J552" s="10"/>
      <c r="K552" s="24">
        <f>K553+K579</f>
        <v>78481.447</v>
      </c>
      <c r="L552" s="24">
        <f>L553+L579</f>
        <v>3611.7</v>
      </c>
      <c r="M552" s="24">
        <f>M553+M579</f>
        <v>82093.146999999997</v>
      </c>
    </row>
    <row r="553" spans="1:13" s="120" customFormat="1" ht="54" customHeight="1" x14ac:dyDescent="0.35">
      <c r="A553" s="11"/>
      <c r="B553" s="579" t="s">
        <v>205</v>
      </c>
      <c r="C553" s="23" t="s">
        <v>423</v>
      </c>
      <c r="D553" s="10" t="s">
        <v>224</v>
      </c>
      <c r="E553" s="10" t="s">
        <v>63</v>
      </c>
      <c r="F553" s="709" t="s">
        <v>39</v>
      </c>
      <c r="G553" s="710" t="s">
        <v>42</v>
      </c>
      <c r="H553" s="710" t="s">
        <v>43</v>
      </c>
      <c r="I553" s="711" t="s">
        <v>44</v>
      </c>
      <c r="J553" s="10"/>
      <c r="K553" s="24">
        <f t="shared" ref="K553:M554" si="77">K554</f>
        <v>77909.846999999994</v>
      </c>
      <c r="L553" s="24">
        <f t="shared" si="77"/>
        <v>3611.7</v>
      </c>
      <c r="M553" s="24">
        <f t="shared" si="77"/>
        <v>81521.546999999991</v>
      </c>
    </row>
    <row r="554" spans="1:13" s="120" customFormat="1" ht="18" customHeight="1" x14ac:dyDescent="0.35">
      <c r="A554" s="11"/>
      <c r="B554" s="510" t="s">
        <v>210</v>
      </c>
      <c r="C554" s="23" t="s">
        <v>423</v>
      </c>
      <c r="D554" s="10" t="s">
        <v>224</v>
      </c>
      <c r="E554" s="10" t="s">
        <v>63</v>
      </c>
      <c r="F554" s="709" t="s">
        <v>39</v>
      </c>
      <c r="G554" s="710" t="s">
        <v>89</v>
      </c>
      <c r="H554" s="710" t="s">
        <v>43</v>
      </c>
      <c r="I554" s="711" t="s">
        <v>44</v>
      </c>
      <c r="J554" s="10"/>
      <c r="K554" s="24">
        <f t="shared" si="77"/>
        <v>77909.846999999994</v>
      </c>
      <c r="L554" s="24">
        <f t="shared" si="77"/>
        <v>3611.7</v>
      </c>
      <c r="M554" s="24">
        <f t="shared" si="77"/>
        <v>81521.546999999991</v>
      </c>
    </row>
    <row r="555" spans="1:13" s="120" customFormat="1" ht="36" customHeight="1" x14ac:dyDescent="0.35">
      <c r="A555" s="11"/>
      <c r="B555" s="510" t="s">
        <v>276</v>
      </c>
      <c r="C555" s="23" t="s">
        <v>423</v>
      </c>
      <c r="D555" s="10" t="s">
        <v>224</v>
      </c>
      <c r="E555" s="10" t="s">
        <v>63</v>
      </c>
      <c r="F555" s="709" t="s">
        <v>39</v>
      </c>
      <c r="G555" s="710" t="s">
        <v>89</v>
      </c>
      <c r="H555" s="710" t="s">
        <v>37</v>
      </c>
      <c r="I555" s="711" t="s">
        <v>44</v>
      </c>
      <c r="J555" s="10"/>
      <c r="K555" s="24">
        <f>K556+K571+K563+K573+K566+K568+K576+K561</f>
        <v>77909.846999999994</v>
      </c>
      <c r="L555" s="24">
        <f>L556+L571+L563+L573+L566+L568+L576+L561</f>
        <v>3611.7</v>
      </c>
      <c r="M555" s="24">
        <f>M556+M571+M563+M573+M566+M568+M576+M561</f>
        <v>81521.546999999991</v>
      </c>
    </row>
    <row r="556" spans="1:13" s="120" customFormat="1" ht="36" customHeight="1" x14ac:dyDescent="0.35">
      <c r="A556" s="11"/>
      <c r="B556" s="543" t="s">
        <v>464</v>
      </c>
      <c r="C556" s="23" t="s">
        <v>423</v>
      </c>
      <c r="D556" s="10" t="s">
        <v>224</v>
      </c>
      <c r="E556" s="10" t="s">
        <v>63</v>
      </c>
      <c r="F556" s="709" t="s">
        <v>39</v>
      </c>
      <c r="G556" s="710" t="s">
        <v>89</v>
      </c>
      <c r="H556" s="710" t="s">
        <v>37</v>
      </c>
      <c r="I556" s="711" t="s">
        <v>91</v>
      </c>
      <c r="J556" s="10"/>
      <c r="K556" s="24">
        <f>SUM(K557:K560)</f>
        <v>52169.347000000002</v>
      </c>
      <c r="L556" s="24">
        <f>SUM(L557:L560)</f>
        <v>2655.3</v>
      </c>
      <c r="M556" s="24">
        <f>SUM(M557:M560)</f>
        <v>54824.646999999997</v>
      </c>
    </row>
    <row r="557" spans="1:13" s="120" customFormat="1" ht="108" customHeight="1" x14ac:dyDescent="0.35">
      <c r="A557" s="11"/>
      <c r="B557" s="510" t="s">
        <v>49</v>
      </c>
      <c r="C557" s="23" t="s">
        <v>423</v>
      </c>
      <c r="D557" s="10" t="s">
        <v>224</v>
      </c>
      <c r="E557" s="10" t="s">
        <v>63</v>
      </c>
      <c r="F557" s="709" t="s">
        <v>39</v>
      </c>
      <c r="G557" s="710" t="s">
        <v>89</v>
      </c>
      <c r="H557" s="710" t="s">
        <v>37</v>
      </c>
      <c r="I557" s="711" t="s">
        <v>91</v>
      </c>
      <c r="J557" s="10" t="s">
        <v>50</v>
      </c>
      <c r="K557" s="24">
        <f>21555.1+591.8-6302.3</f>
        <v>15844.599999999999</v>
      </c>
      <c r="L557" s="24">
        <f>M557-K557</f>
        <v>900</v>
      </c>
      <c r="M557" s="24">
        <f>21555.1+591.8-6302.3-100+1000</f>
        <v>16744.599999999999</v>
      </c>
    </row>
    <row r="558" spans="1:13" s="120" customFormat="1" ht="54" customHeight="1" x14ac:dyDescent="0.35">
      <c r="A558" s="11"/>
      <c r="B558" s="510" t="s">
        <v>55</v>
      </c>
      <c r="C558" s="23" t="s">
        <v>423</v>
      </c>
      <c r="D558" s="10" t="s">
        <v>224</v>
      </c>
      <c r="E558" s="10" t="s">
        <v>63</v>
      </c>
      <c r="F558" s="709" t="s">
        <v>39</v>
      </c>
      <c r="G558" s="710" t="s">
        <v>89</v>
      </c>
      <c r="H558" s="710" t="s">
        <v>37</v>
      </c>
      <c r="I558" s="711" t="s">
        <v>91</v>
      </c>
      <c r="J558" s="10" t="s">
        <v>56</v>
      </c>
      <c r="K558" s="24">
        <f>2892.5+0.547-1154.92093-0.1+76</f>
        <v>1814.0260700000001</v>
      </c>
      <c r="L558" s="24">
        <f>M558-K558</f>
        <v>302.49999999999977</v>
      </c>
      <c r="M558" s="24">
        <f>2892.5+0.547-1154.92093-0.1+76+100+225.4-23+0.1</f>
        <v>2116.5260699999999</v>
      </c>
    </row>
    <row r="559" spans="1:13" s="120" customFormat="1" ht="54" customHeight="1" x14ac:dyDescent="0.35">
      <c r="A559" s="11"/>
      <c r="B559" s="510" t="s">
        <v>76</v>
      </c>
      <c r="C559" s="23" t="s">
        <v>423</v>
      </c>
      <c r="D559" s="10" t="s">
        <v>224</v>
      </c>
      <c r="E559" s="10" t="s">
        <v>63</v>
      </c>
      <c r="F559" s="709" t="s">
        <v>39</v>
      </c>
      <c r="G559" s="710" t="s">
        <v>89</v>
      </c>
      <c r="H559" s="710" t="s">
        <v>37</v>
      </c>
      <c r="I559" s="711" t="s">
        <v>91</v>
      </c>
      <c r="J559" s="10" t="s">
        <v>77</v>
      </c>
      <c r="K559" s="24">
        <f>24622.4+1273.5+7524.42093+238.1+70+580.4</f>
        <v>34308.820930000002</v>
      </c>
      <c r="L559" s="24">
        <f>M559-K559</f>
        <v>1448</v>
      </c>
      <c r="M559" s="24">
        <f>24622.4+1273.5+7524.42093+238.1+70+580.4+1448</f>
        <v>35756.820930000002</v>
      </c>
    </row>
    <row r="560" spans="1:13" s="120" customFormat="1" ht="18" customHeight="1" x14ac:dyDescent="0.35">
      <c r="A560" s="11"/>
      <c r="B560" s="510" t="s">
        <v>57</v>
      </c>
      <c r="C560" s="23" t="s">
        <v>423</v>
      </c>
      <c r="D560" s="10" t="s">
        <v>224</v>
      </c>
      <c r="E560" s="10" t="s">
        <v>63</v>
      </c>
      <c r="F560" s="709" t="s">
        <v>39</v>
      </c>
      <c r="G560" s="710" t="s">
        <v>89</v>
      </c>
      <c r="H560" s="710" t="s">
        <v>37</v>
      </c>
      <c r="I560" s="711" t="s">
        <v>91</v>
      </c>
      <c r="J560" s="10" t="s">
        <v>58</v>
      </c>
      <c r="K560" s="24">
        <f>112-67.2+0.1+157</f>
        <v>201.9</v>
      </c>
      <c r="L560" s="24">
        <f>M560-K560</f>
        <v>4.8000000000000114</v>
      </c>
      <c r="M560" s="24">
        <f>112-67.2+0.1+157+4.8</f>
        <v>206.70000000000002</v>
      </c>
    </row>
    <row r="561" spans="1:13" s="120" customFormat="1" ht="18" customHeight="1" x14ac:dyDescent="0.35">
      <c r="A561" s="11"/>
      <c r="B561" s="510" t="s">
        <v>465</v>
      </c>
      <c r="C561" s="23" t="s">
        <v>423</v>
      </c>
      <c r="D561" s="10" t="s">
        <v>224</v>
      </c>
      <c r="E561" s="10" t="s">
        <v>63</v>
      </c>
      <c r="F561" s="709" t="s">
        <v>39</v>
      </c>
      <c r="G561" s="710" t="s">
        <v>89</v>
      </c>
      <c r="H561" s="710" t="s">
        <v>37</v>
      </c>
      <c r="I561" s="711" t="s">
        <v>380</v>
      </c>
      <c r="J561" s="10"/>
      <c r="K561" s="24">
        <f>K562</f>
        <v>498</v>
      </c>
      <c r="L561" s="24">
        <f>L562</f>
        <v>0</v>
      </c>
      <c r="M561" s="24">
        <f>M562</f>
        <v>498</v>
      </c>
    </row>
    <row r="562" spans="1:13" s="120" customFormat="1" ht="54" customHeight="1" x14ac:dyDescent="0.35">
      <c r="A562" s="11"/>
      <c r="B562" s="510" t="s">
        <v>76</v>
      </c>
      <c r="C562" s="23" t="s">
        <v>423</v>
      </c>
      <c r="D562" s="10" t="s">
        <v>224</v>
      </c>
      <c r="E562" s="10" t="s">
        <v>63</v>
      </c>
      <c r="F562" s="709" t="s">
        <v>39</v>
      </c>
      <c r="G562" s="710" t="s">
        <v>89</v>
      </c>
      <c r="H562" s="710" t="s">
        <v>37</v>
      </c>
      <c r="I562" s="711" t="s">
        <v>380</v>
      </c>
      <c r="J562" s="10" t="s">
        <v>77</v>
      </c>
      <c r="K562" s="24">
        <f>222.9+275.1</f>
        <v>498</v>
      </c>
      <c r="L562" s="24">
        <f>M562-K562</f>
        <v>0</v>
      </c>
      <c r="M562" s="24">
        <f>222.9+275.1</f>
        <v>498</v>
      </c>
    </row>
    <row r="563" spans="1:13" s="120" customFormat="1" ht="54" customHeight="1" x14ac:dyDescent="0.35">
      <c r="A563" s="11"/>
      <c r="B563" s="510" t="s">
        <v>207</v>
      </c>
      <c r="C563" s="23" t="s">
        <v>423</v>
      </c>
      <c r="D563" s="10" t="s">
        <v>224</v>
      </c>
      <c r="E563" s="10" t="s">
        <v>63</v>
      </c>
      <c r="F563" s="709" t="s">
        <v>39</v>
      </c>
      <c r="G563" s="710" t="s">
        <v>89</v>
      </c>
      <c r="H563" s="710" t="s">
        <v>37</v>
      </c>
      <c r="I563" s="711" t="s">
        <v>273</v>
      </c>
      <c r="J563" s="10"/>
      <c r="K563" s="24">
        <f>K565+K564</f>
        <v>5240.0000000000009</v>
      </c>
      <c r="L563" s="24">
        <f>L565+L564</f>
        <v>601.00000000000023</v>
      </c>
      <c r="M563" s="24">
        <f>M565+M564</f>
        <v>5841.0000000000009</v>
      </c>
    </row>
    <row r="564" spans="1:13" s="120" customFormat="1" ht="54" customHeight="1" x14ac:dyDescent="0.35">
      <c r="A564" s="11"/>
      <c r="B564" s="510" t="s">
        <v>55</v>
      </c>
      <c r="C564" s="23" t="s">
        <v>423</v>
      </c>
      <c r="D564" s="10" t="s">
        <v>224</v>
      </c>
      <c r="E564" s="10" t="s">
        <v>63</v>
      </c>
      <c r="F564" s="709" t="s">
        <v>39</v>
      </c>
      <c r="G564" s="710" t="s">
        <v>89</v>
      </c>
      <c r="H564" s="710" t="s">
        <v>37</v>
      </c>
      <c r="I564" s="711" t="s">
        <v>273</v>
      </c>
      <c r="J564" s="10" t="s">
        <v>56</v>
      </c>
      <c r="K564" s="24">
        <f>2014.8+52.6-1033.7+8.9</f>
        <v>1042.6000000000001</v>
      </c>
      <c r="L564" s="24">
        <f>M564-K564</f>
        <v>601.00000000000023</v>
      </c>
      <c r="M564" s="24">
        <f>2014.8+52.6-1033.7+8.9+601.1-0.1</f>
        <v>1643.6000000000004</v>
      </c>
    </row>
    <row r="565" spans="1:13" s="120" customFormat="1" ht="54" customHeight="1" x14ac:dyDescent="0.35">
      <c r="A565" s="11"/>
      <c r="B565" s="579" t="s">
        <v>76</v>
      </c>
      <c r="C565" s="23" t="s">
        <v>423</v>
      </c>
      <c r="D565" s="10" t="s">
        <v>224</v>
      </c>
      <c r="E565" s="10" t="s">
        <v>63</v>
      </c>
      <c r="F565" s="709" t="s">
        <v>39</v>
      </c>
      <c r="G565" s="710" t="s">
        <v>89</v>
      </c>
      <c r="H565" s="710" t="s">
        <v>37</v>
      </c>
      <c r="I565" s="711" t="s">
        <v>273</v>
      </c>
      <c r="J565" s="10" t="s">
        <v>77</v>
      </c>
      <c r="K565" s="24">
        <f>3022.2+78.9+1033.7+27.3+35.3</f>
        <v>4197.4000000000005</v>
      </c>
      <c r="L565" s="24">
        <f>M565-K565</f>
        <v>0</v>
      </c>
      <c r="M565" s="24">
        <f>3022.2+78.9+1033.7+27.3+35.3</f>
        <v>4197.4000000000005</v>
      </c>
    </row>
    <row r="566" spans="1:13" s="120" customFormat="1" ht="36" customHeight="1" x14ac:dyDescent="0.35">
      <c r="A566" s="11"/>
      <c r="B566" s="510" t="s">
        <v>208</v>
      </c>
      <c r="C566" s="23" t="s">
        <v>423</v>
      </c>
      <c r="D566" s="10" t="s">
        <v>224</v>
      </c>
      <c r="E566" s="10" t="s">
        <v>63</v>
      </c>
      <c r="F566" s="709" t="s">
        <v>39</v>
      </c>
      <c r="G566" s="710" t="s">
        <v>89</v>
      </c>
      <c r="H566" s="710" t="s">
        <v>37</v>
      </c>
      <c r="I566" s="711" t="s">
        <v>274</v>
      </c>
      <c r="J566" s="10"/>
      <c r="K566" s="24">
        <f>K567</f>
        <v>652.70000000000005</v>
      </c>
      <c r="L566" s="24">
        <f>L567</f>
        <v>44.700000000000045</v>
      </c>
      <c r="M566" s="24">
        <f>M567</f>
        <v>697.40000000000009</v>
      </c>
    </row>
    <row r="567" spans="1:13" s="120" customFormat="1" ht="54" customHeight="1" x14ac:dyDescent="0.35">
      <c r="A567" s="11"/>
      <c r="B567" s="579" t="s">
        <v>76</v>
      </c>
      <c r="C567" s="23" t="s">
        <v>423</v>
      </c>
      <c r="D567" s="10" t="s">
        <v>224</v>
      </c>
      <c r="E567" s="10" t="s">
        <v>63</v>
      </c>
      <c r="F567" s="709" t="s">
        <v>39</v>
      </c>
      <c r="G567" s="710" t="s">
        <v>89</v>
      </c>
      <c r="H567" s="710" t="s">
        <v>37</v>
      </c>
      <c r="I567" s="711" t="s">
        <v>274</v>
      </c>
      <c r="J567" s="10" t="s">
        <v>77</v>
      </c>
      <c r="K567" s="24">
        <f>17+90+323.3+207.4+15</f>
        <v>652.70000000000005</v>
      </c>
      <c r="L567" s="24">
        <f>M567-K567</f>
        <v>44.700000000000045</v>
      </c>
      <c r="M567" s="24">
        <f>17+90+323.3+207.4+15+44.7</f>
        <v>697.40000000000009</v>
      </c>
    </row>
    <row r="568" spans="1:13" s="120" customFormat="1" ht="54" customHeight="1" x14ac:dyDescent="0.35">
      <c r="A568" s="11"/>
      <c r="B568" s="579" t="s">
        <v>528</v>
      </c>
      <c r="C568" s="23" t="s">
        <v>423</v>
      </c>
      <c r="D568" s="10" t="s">
        <v>224</v>
      </c>
      <c r="E568" s="10" t="s">
        <v>63</v>
      </c>
      <c r="F568" s="709" t="s">
        <v>39</v>
      </c>
      <c r="G568" s="710" t="s">
        <v>89</v>
      </c>
      <c r="H568" s="710" t="s">
        <v>37</v>
      </c>
      <c r="I568" s="711" t="s">
        <v>527</v>
      </c>
      <c r="J568" s="10"/>
      <c r="K568" s="24">
        <f>SUM(K569:K570)</f>
        <v>6127.5</v>
      </c>
      <c r="L568" s="24">
        <f>SUM(L569:L570)</f>
        <v>0</v>
      </c>
      <c r="M568" s="24">
        <f>SUM(M569:M570)</f>
        <v>6127.5</v>
      </c>
    </row>
    <row r="569" spans="1:13" s="120" customFormat="1" ht="54" customHeight="1" x14ac:dyDescent="0.35">
      <c r="A569" s="11"/>
      <c r="B569" s="579" t="s">
        <v>76</v>
      </c>
      <c r="C569" s="23" t="s">
        <v>423</v>
      </c>
      <c r="D569" s="10" t="s">
        <v>224</v>
      </c>
      <c r="E569" s="10" t="s">
        <v>63</v>
      </c>
      <c r="F569" s="709" t="s">
        <v>39</v>
      </c>
      <c r="G569" s="710" t="s">
        <v>89</v>
      </c>
      <c r="H569" s="710" t="s">
        <v>37</v>
      </c>
      <c r="I569" s="711" t="s">
        <v>527</v>
      </c>
      <c r="J569" s="10" t="s">
        <v>77</v>
      </c>
      <c r="K569" s="24">
        <f>5775.1+297.5</f>
        <v>6072.6</v>
      </c>
      <c r="L569" s="24">
        <f>M569-K569</f>
        <v>0</v>
      </c>
      <c r="M569" s="24">
        <f>5775.1+297.5</f>
        <v>6072.6</v>
      </c>
    </row>
    <row r="570" spans="1:13" s="120" customFormat="1" ht="18" customHeight="1" x14ac:dyDescent="0.35">
      <c r="A570" s="11"/>
      <c r="B570" s="510" t="s">
        <v>57</v>
      </c>
      <c r="C570" s="23" t="s">
        <v>423</v>
      </c>
      <c r="D570" s="10" t="s">
        <v>224</v>
      </c>
      <c r="E570" s="10" t="s">
        <v>63</v>
      </c>
      <c r="F570" s="709" t="s">
        <v>39</v>
      </c>
      <c r="G570" s="710" t="s">
        <v>89</v>
      </c>
      <c r="H570" s="710" t="s">
        <v>37</v>
      </c>
      <c r="I570" s="711" t="s">
        <v>527</v>
      </c>
      <c r="J570" s="10" t="s">
        <v>58</v>
      </c>
      <c r="K570" s="24">
        <f>56-1.1</f>
        <v>54.9</v>
      </c>
      <c r="L570" s="24">
        <f>M570-K570</f>
        <v>0</v>
      </c>
      <c r="M570" s="24">
        <f>56-1.1</f>
        <v>54.9</v>
      </c>
    </row>
    <row r="571" spans="1:13" s="120" customFormat="1" ht="180" customHeight="1" x14ac:dyDescent="0.35">
      <c r="A571" s="11"/>
      <c r="B571" s="510" t="s">
        <v>268</v>
      </c>
      <c r="C571" s="23" t="s">
        <v>423</v>
      </c>
      <c r="D571" s="10" t="s">
        <v>224</v>
      </c>
      <c r="E571" s="10" t="s">
        <v>63</v>
      </c>
      <c r="F571" s="709" t="s">
        <v>39</v>
      </c>
      <c r="G571" s="710" t="s">
        <v>89</v>
      </c>
      <c r="H571" s="710" t="s">
        <v>37</v>
      </c>
      <c r="I571" s="711" t="s">
        <v>269</v>
      </c>
      <c r="J571" s="10"/>
      <c r="K571" s="24">
        <f>K572</f>
        <v>85.6</v>
      </c>
      <c r="L571" s="24">
        <f>L572</f>
        <v>0</v>
      </c>
      <c r="M571" s="24">
        <f>M572</f>
        <v>85.6</v>
      </c>
    </row>
    <row r="572" spans="1:13" s="120" customFormat="1" ht="54" customHeight="1" x14ac:dyDescent="0.35">
      <c r="A572" s="11"/>
      <c r="B572" s="510" t="s">
        <v>76</v>
      </c>
      <c r="C572" s="23" t="s">
        <v>423</v>
      </c>
      <c r="D572" s="10" t="s">
        <v>224</v>
      </c>
      <c r="E572" s="10" t="s">
        <v>63</v>
      </c>
      <c r="F572" s="709" t="s">
        <v>39</v>
      </c>
      <c r="G572" s="710" t="s">
        <v>89</v>
      </c>
      <c r="H572" s="710" t="s">
        <v>37</v>
      </c>
      <c r="I572" s="711" t="s">
        <v>269</v>
      </c>
      <c r="J572" s="10" t="s">
        <v>77</v>
      </c>
      <c r="K572" s="24">
        <v>85.6</v>
      </c>
      <c r="L572" s="24">
        <f>M572-K572</f>
        <v>0</v>
      </c>
      <c r="M572" s="24">
        <v>85.6</v>
      </c>
    </row>
    <row r="573" spans="1:13" s="120" customFormat="1" ht="108" customHeight="1" x14ac:dyDescent="0.35">
      <c r="A573" s="11"/>
      <c r="B573" s="510" t="s">
        <v>345</v>
      </c>
      <c r="C573" s="23" t="s">
        <v>423</v>
      </c>
      <c r="D573" s="10" t="s">
        <v>224</v>
      </c>
      <c r="E573" s="10" t="s">
        <v>63</v>
      </c>
      <c r="F573" s="709" t="s">
        <v>39</v>
      </c>
      <c r="G573" s="710" t="s">
        <v>89</v>
      </c>
      <c r="H573" s="710" t="s">
        <v>37</v>
      </c>
      <c r="I573" s="711" t="s">
        <v>270</v>
      </c>
      <c r="J573" s="10"/>
      <c r="K573" s="24">
        <f>K575</f>
        <v>11036.7</v>
      </c>
      <c r="L573" s="24">
        <f>L575+L574</f>
        <v>310.69999999999965</v>
      </c>
      <c r="M573" s="24">
        <f>M575+M574</f>
        <v>11347.4</v>
      </c>
    </row>
    <row r="574" spans="1:13" s="120" customFormat="1" ht="108" x14ac:dyDescent="0.35">
      <c r="A574" s="11"/>
      <c r="B574" s="510" t="s">
        <v>49</v>
      </c>
      <c r="C574" s="23" t="s">
        <v>423</v>
      </c>
      <c r="D574" s="10" t="s">
        <v>224</v>
      </c>
      <c r="E574" s="10" t="s">
        <v>63</v>
      </c>
      <c r="F574" s="709" t="s">
        <v>39</v>
      </c>
      <c r="G574" s="710" t="s">
        <v>89</v>
      </c>
      <c r="H574" s="710" t="s">
        <v>37</v>
      </c>
      <c r="I574" s="711" t="s">
        <v>270</v>
      </c>
      <c r="J574" s="10" t="s">
        <v>50</v>
      </c>
      <c r="K574" s="24"/>
      <c r="L574" s="24">
        <f>M574-K574</f>
        <v>42.3</v>
      </c>
      <c r="M574" s="24">
        <v>42.3</v>
      </c>
    </row>
    <row r="575" spans="1:13" s="120" customFormat="1" ht="54" customHeight="1" x14ac:dyDescent="0.35">
      <c r="A575" s="11"/>
      <c r="B575" s="510" t="s">
        <v>76</v>
      </c>
      <c r="C575" s="23" t="s">
        <v>423</v>
      </c>
      <c r="D575" s="10" t="s">
        <v>224</v>
      </c>
      <c r="E575" s="10" t="s">
        <v>63</v>
      </c>
      <c r="F575" s="709" t="s">
        <v>39</v>
      </c>
      <c r="G575" s="710" t="s">
        <v>89</v>
      </c>
      <c r="H575" s="710" t="s">
        <v>37</v>
      </c>
      <c r="I575" s="711" t="s">
        <v>270</v>
      </c>
      <c r="J575" s="10" t="s">
        <v>77</v>
      </c>
      <c r="K575" s="24">
        <f>11000+36.7</f>
        <v>11036.7</v>
      </c>
      <c r="L575" s="24">
        <f>M575-K575</f>
        <v>268.39999999999964</v>
      </c>
      <c r="M575" s="24">
        <f>11000+36.7+230.8+7.5+30.1</f>
        <v>11305.1</v>
      </c>
    </row>
    <row r="576" spans="1:13" s="120" customFormat="1" ht="54" customHeight="1" x14ac:dyDescent="0.35">
      <c r="A576" s="11"/>
      <c r="B576" s="593" t="s">
        <v>695</v>
      </c>
      <c r="C576" s="23" t="s">
        <v>423</v>
      </c>
      <c r="D576" s="10" t="s">
        <v>224</v>
      </c>
      <c r="E576" s="10" t="s">
        <v>63</v>
      </c>
      <c r="F576" s="709" t="s">
        <v>39</v>
      </c>
      <c r="G576" s="710" t="s">
        <v>89</v>
      </c>
      <c r="H576" s="710" t="s">
        <v>37</v>
      </c>
      <c r="I576" s="711" t="s">
        <v>694</v>
      </c>
      <c r="J576" s="10"/>
      <c r="K576" s="24">
        <f>K577+K578</f>
        <v>2100</v>
      </c>
      <c r="L576" s="24">
        <f>L577+L578</f>
        <v>0</v>
      </c>
      <c r="M576" s="24">
        <f>M577+M578</f>
        <v>2100</v>
      </c>
    </row>
    <row r="577" spans="1:13" s="120" customFormat="1" ht="54" customHeight="1" x14ac:dyDescent="0.35">
      <c r="A577" s="11"/>
      <c r="B577" s="593" t="s">
        <v>55</v>
      </c>
      <c r="C577" s="23" t="s">
        <v>423</v>
      </c>
      <c r="D577" s="10" t="s">
        <v>224</v>
      </c>
      <c r="E577" s="10" t="s">
        <v>63</v>
      </c>
      <c r="F577" s="709" t="s">
        <v>39</v>
      </c>
      <c r="G577" s="710" t="s">
        <v>89</v>
      </c>
      <c r="H577" s="710" t="s">
        <v>37</v>
      </c>
      <c r="I577" s="711" t="s">
        <v>694</v>
      </c>
      <c r="J577" s="10" t="s">
        <v>56</v>
      </c>
      <c r="K577" s="24">
        <v>400</v>
      </c>
      <c r="L577" s="24">
        <f>M577-K577</f>
        <v>0</v>
      </c>
      <c r="M577" s="24">
        <v>400</v>
      </c>
    </row>
    <row r="578" spans="1:13" s="120" customFormat="1" ht="54" customHeight="1" x14ac:dyDescent="0.35">
      <c r="A578" s="11"/>
      <c r="B578" s="593" t="s">
        <v>76</v>
      </c>
      <c r="C578" s="23" t="s">
        <v>423</v>
      </c>
      <c r="D578" s="10" t="s">
        <v>224</v>
      </c>
      <c r="E578" s="10" t="s">
        <v>63</v>
      </c>
      <c r="F578" s="709" t="s">
        <v>39</v>
      </c>
      <c r="G578" s="710" t="s">
        <v>89</v>
      </c>
      <c r="H578" s="710" t="s">
        <v>37</v>
      </c>
      <c r="I578" s="711" t="s">
        <v>694</v>
      </c>
      <c r="J578" s="10" t="s">
        <v>77</v>
      </c>
      <c r="K578" s="24">
        <f>500+1200</f>
        <v>1700</v>
      </c>
      <c r="L578" s="24">
        <f>M578-K578</f>
        <v>0</v>
      </c>
      <c r="M578" s="24">
        <f>500+1200</f>
        <v>1700</v>
      </c>
    </row>
    <row r="579" spans="1:13" s="120" customFormat="1" ht="54" customHeight="1" x14ac:dyDescent="0.35">
      <c r="A579" s="11"/>
      <c r="B579" s="507" t="s">
        <v>80</v>
      </c>
      <c r="C579" s="220" t="s">
        <v>423</v>
      </c>
      <c r="D579" s="28" t="s">
        <v>224</v>
      </c>
      <c r="E579" s="28" t="s">
        <v>63</v>
      </c>
      <c r="F579" s="212" t="s">
        <v>81</v>
      </c>
      <c r="G579" s="213" t="s">
        <v>42</v>
      </c>
      <c r="H579" s="213" t="s">
        <v>43</v>
      </c>
      <c r="I579" s="214" t="s">
        <v>44</v>
      </c>
      <c r="J579" s="28"/>
      <c r="K579" s="215">
        <f t="shared" ref="K579:M581" si="78">K580</f>
        <v>571.6</v>
      </c>
      <c r="L579" s="215">
        <f t="shared" si="78"/>
        <v>0</v>
      </c>
      <c r="M579" s="215">
        <f t="shared" si="78"/>
        <v>571.6</v>
      </c>
    </row>
    <row r="580" spans="1:13" s="120" customFormat="1" ht="36" customHeight="1" x14ac:dyDescent="0.35">
      <c r="A580" s="11"/>
      <c r="B580" s="507" t="s">
        <v>125</v>
      </c>
      <c r="C580" s="220" t="s">
        <v>423</v>
      </c>
      <c r="D580" s="28" t="s">
        <v>224</v>
      </c>
      <c r="E580" s="28" t="s">
        <v>63</v>
      </c>
      <c r="F580" s="212" t="s">
        <v>81</v>
      </c>
      <c r="G580" s="213" t="s">
        <v>89</v>
      </c>
      <c r="H580" s="213" t="s">
        <v>43</v>
      </c>
      <c r="I580" s="214" t="s">
        <v>44</v>
      </c>
      <c r="J580" s="28"/>
      <c r="K580" s="215">
        <f t="shared" si="78"/>
        <v>571.6</v>
      </c>
      <c r="L580" s="215">
        <f t="shared" si="78"/>
        <v>0</v>
      </c>
      <c r="M580" s="215">
        <f t="shared" si="78"/>
        <v>571.6</v>
      </c>
    </row>
    <row r="581" spans="1:13" s="120" customFormat="1" ht="36" customHeight="1" x14ac:dyDescent="0.35">
      <c r="A581" s="11"/>
      <c r="B581" s="507" t="s">
        <v>271</v>
      </c>
      <c r="C581" s="220" t="s">
        <v>423</v>
      </c>
      <c r="D581" s="28" t="s">
        <v>224</v>
      </c>
      <c r="E581" s="28" t="s">
        <v>63</v>
      </c>
      <c r="F581" s="212" t="s">
        <v>81</v>
      </c>
      <c r="G581" s="213" t="s">
        <v>89</v>
      </c>
      <c r="H581" s="213" t="s">
        <v>37</v>
      </c>
      <c r="I581" s="214" t="s">
        <v>44</v>
      </c>
      <c r="J581" s="28"/>
      <c r="K581" s="215">
        <f t="shared" si="78"/>
        <v>571.6</v>
      </c>
      <c r="L581" s="215">
        <f t="shared" si="78"/>
        <v>0</v>
      </c>
      <c r="M581" s="215">
        <f t="shared" si="78"/>
        <v>571.6</v>
      </c>
    </row>
    <row r="582" spans="1:13" s="120" customFormat="1" ht="18" customHeight="1" x14ac:dyDescent="0.35">
      <c r="A582" s="11"/>
      <c r="B582" s="507" t="s">
        <v>427</v>
      </c>
      <c r="C582" s="220" t="s">
        <v>423</v>
      </c>
      <c r="D582" s="28" t="s">
        <v>224</v>
      </c>
      <c r="E582" s="28" t="s">
        <v>63</v>
      </c>
      <c r="F582" s="212" t="s">
        <v>81</v>
      </c>
      <c r="G582" s="213" t="s">
        <v>89</v>
      </c>
      <c r="H582" s="213" t="s">
        <v>37</v>
      </c>
      <c r="I582" s="214" t="s">
        <v>428</v>
      </c>
      <c r="J582" s="28"/>
      <c r="K582" s="215">
        <f>K583</f>
        <v>571.6</v>
      </c>
      <c r="L582" s="215">
        <f>L583</f>
        <v>0</v>
      </c>
      <c r="M582" s="215">
        <f>M583</f>
        <v>571.6</v>
      </c>
    </row>
    <row r="583" spans="1:13" s="120" customFormat="1" ht="54" customHeight="1" x14ac:dyDescent="0.35">
      <c r="A583" s="11"/>
      <c r="B583" s="510" t="s">
        <v>76</v>
      </c>
      <c r="C583" s="220" t="s">
        <v>423</v>
      </c>
      <c r="D583" s="28" t="s">
        <v>224</v>
      </c>
      <c r="E583" s="28" t="s">
        <v>63</v>
      </c>
      <c r="F583" s="212" t="s">
        <v>81</v>
      </c>
      <c r="G583" s="213" t="s">
        <v>89</v>
      </c>
      <c r="H583" s="213" t="s">
        <v>37</v>
      </c>
      <c r="I583" s="214" t="s">
        <v>428</v>
      </c>
      <c r="J583" s="10" t="s">
        <v>77</v>
      </c>
      <c r="K583" s="215">
        <f>543+28.6</f>
        <v>571.6</v>
      </c>
      <c r="L583" s="24">
        <f>M583-K583</f>
        <v>0</v>
      </c>
      <c r="M583" s="215">
        <f>543+28.6</f>
        <v>571.6</v>
      </c>
    </row>
    <row r="584" spans="1:13" s="120" customFormat="1" ht="54" customHeight="1" x14ac:dyDescent="0.35">
      <c r="A584" s="11"/>
      <c r="B584" s="510" t="s">
        <v>530</v>
      </c>
      <c r="C584" s="220" t="s">
        <v>423</v>
      </c>
      <c r="D584" s="28" t="s">
        <v>224</v>
      </c>
      <c r="E584" s="28" t="s">
        <v>65</v>
      </c>
      <c r="F584" s="78"/>
      <c r="G584" s="78"/>
      <c r="H584" s="78"/>
      <c r="I584" s="78"/>
      <c r="J584" s="10"/>
      <c r="K584" s="215"/>
      <c r="L584" s="24">
        <f>L585</f>
        <v>41</v>
      </c>
      <c r="M584" s="215">
        <f t="shared" ref="L584:M592" si="79">M585</f>
        <v>41</v>
      </c>
    </row>
    <row r="585" spans="1:13" s="120" customFormat="1" ht="54" customHeight="1" x14ac:dyDescent="0.35">
      <c r="A585" s="11"/>
      <c r="B585" s="510" t="s">
        <v>205</v>
      </c>
      <c r="C585" s="220" t="s">
        <v>423</v>
      </c>
      <c r="D585" s="28" t="s">
        <v>224</v>
      </c>
      <c r="E585" s="28" t="s">
        <v>65</v>
      </c>
      <c r="F585" s="97" t="s">
        <v>39</v>
      </c>
      <c r="G585" s="87" t="s">
        <v>42</v>
      </c>
      <c r="H585" s="87" t="s">
        <v>43</v>
      </c>
      <c r="I585" s="88" t="s">
        <v>44</v>
      </c>
      <c r="J585" s="592"/>
      <c r="K585" s="215"/>
      <c r="L585" s="24">
        <f>L586+L590</f>
        <v>41</v>
      </c>
      <c r="M585" s="24">
        <f>M586+M590</f>
        <v>41</v>
      </c>
    </row>
    <row r="586" spans="1:13" s="120" customFormat="1" ht="18" x14ac:dyDescent="0.35">
      <c r="A586" s="11"/>
      <c r="B586" s="506" t="s">
        <v>210</v>
      </c>
      <c r="C586" s="220" t="s">
        <v>423</v>
      </c>
      <c r="D586" s="28" t="s">
        <v>224</v>
      </c>
      <c r="E586" s="28" t="s">
        <v>65</v>
      </c>
      <c r="F586" s="97" t="s">
        <v>39</v>
      </c>
      <c r="G586" s="87" t="s">
        <v>89</v>
      </c>
      <c r="H586" s="87" t="s">
        <v>43</v>
      </c>
      <c r="I586" s="88" t="s">
        <v>44</v>
      </c>
      <c r="J586" s="592"/>
      <c r="K586" s="215"/>
      <c r="L586" s="24">
        <f t="shared" ref="L586:M588" si="80">L587</f>
        <v>23</v>
      </c>
      <c r="M586" s="215">
        <f t="shared" si="80"/>
        <v>23</v>
      </c>
    </row>
    <row r="587" spans="1:13" s="120" customFormat="1" ht="36" x14ac:dyDescent="0.35">
      <c r="A587" s="11"/>
      <c r="B587" s="506" t="s">
        <v>276</v>
      </c>
      <c r="C587" s="220" t="s">
        <v>423</v>
      </c>
      <c r="D587" s="28" t="s">
        <v>224</v>
      </c>
      <c r="E587" s="28" t="s">
        <v>65</v>
      </c>
      <c r="F587" s="97" t="s">
        <v>39</v>
      </c>
      <c r="G587" s="87" t="s">
        <v>89</v>
      </c>
      <c r="H587" s="87" t="s">
        <v>37</v>
      </c>
      <c r="I587" s="88" t="s">
        <v>44</v>
      </c>
      <c r="J587" s="592"/>
      <c r="K587" s="215"/>
      <c r="L587" s="24">
        <f t="shared" si="80"/>
        <v>23</v>
      </c>
      <c r="M587" s="215">
        <f t="shared" si="80"/>
        <v>23</v>
      </c>
    </row>
    <row r="588" spans="1:13" s="120" customFormat="1" ht="36" x14ac:dyDescent="0.35">
      <c r="A588" s="11"/>
      <c r="B588" s="506" t="s">
        <v>464</v>
      </c>
      <c r="C588" s="220" t="s">
        <v>423</v>
      </c>
      <c r="D588" s="28" t="s">
        <v>224</v>
      </c>
      <c r="E588" s="28" t="s">
        <v>65</v>
      </c>
      <c r="F588" s="97" t="s">
        <v>39</v>
      </c>
      <c r="G588" s="87" t="s">
        <v>89</v>
      </c>
      <c r="H588" s="87" t="s">
        <v>37</v>
      </c>
      <c r="I588" s="88" t="s">
        <v>91</v>
      </c>
      <c r="J588" s="592"/>
      <c r="K588" s="215"/>
      <c r="L588" s="24">
        <f t="shared" si="80"/>
        <v>23</v>
      </c>
      <c r="M588" s="215">
        <f t="shared" si="80"/>
        <v>23</v>
      </c>
    </row>
    <row r="589" spans="1:13" s="120" customFormat="1" ht="54" customHeight="1" x14ac:dyDescent="0.35">
      <c r="A589" s="11"/>
      <c r="B589" s="510" t="s">
        <v>55</v>
      </c>
      <c r="C589" s="220" t="s">
        <v>423</v>
      </c>
      <c r="D589" s="28" t="s">
        <v>224</v>
      </c>
      <c r="E589" s="28" t="s">
        <v>65</v>
      </c>
      <c r="F589" s="97" t="s">
        <v>39</v>
      </c>
      <c r="G589" s="87" t="s">
        <v>89</v>
      </c>
      <c r="H589" s="87" t="s">
        <v>37</v>
      </c>
      <c r="I589" s="88" t="s">
        <v>91</v>
      </c>
      <c r="J589" s="592" t="s">
        <v>56</v>
      </c>
      <c r="K589" s="215"/>
      <c r="L589" s="24">
        <f>M589-K589</f>
        <v>23</v>
      </c>
      <c r="M589" s="215">
        <v>23</v>
      </c>
    </row>
    <row r="590" spans="1:13" s="120" customFormat="1" ht="54" customHeight="1" x14ac:dyDescent="0.35">
      <c r="A590" s="11"/>
      <c r="B590" s="510" t="s">
        <v>212</v>
      </c>
      <c r="C590" s="220" t="s">
        <v>423</v>
      </c>
      <c r="D590" s="28" t="s">
        <v>224</v>
      </c>
      <c r="E590" s="28" t="s">
        <v>65</v>
      </c>
      <c r="F590" s="97" t="s">
        <v>39</v>
      </c>
      <c r="G590" s="87" t="s">
        <v>30</v>
      </c>
      <c r="H590" s="87" t="s">
        <v>43</v>
      </c>
      <c r="I590" s="88" t="s">
        <v>44</v>
      </c>
      <c r="J590" s="89"/>
      <c r="K590" s="215"/>
      <c r="L590" s="24">
        <f t="shared" si="79"/>
        <v>18</v>
      </c>
      <c r="M590" s="215">
        <f t="shared" si="79"/>
        <v>18</v>
      </c>
    </row>
    <row r="591" spans="1:13" s="120" customFormat="1" ht="36" x14ac:dyDescent="0.35">
      <c r="A591" s="11"/>
      <c r="B591" s="510" t="s">
        <v>282</v>
      </c>
      <c r="C591" s="220" t="s">
        <v>423</v>
      </c>
      <c r="D591" s="28" t="s">
        <v>224</v>
      </c>
      <c r="E591" s="28" t="s">
        <v>65</v>
      </c>
      <c r="F591" s="97" t="s">
        <v>39</v>
      </c>
      <c r="G591" s="87" t="s">
        <v>30</v>
      </c>
      <c r="H591" s="87" t="s">
        <v>37</v>
      </c>
      <c r="I591" s="88" t="s">
        <v>44</v>
      </c>
      <c r="J591" s="89"/>
      <c r="K591" s="215"/>
      <c r="L591" s="24">
        <f t="shared" si="79"/>
        <v>18</v>
      </c>
      <c r="M591" s="215">
        <f t="shared" si="79"/>
        <v>18</v>
      </c>
    </row>
    <row r="592" spans="1:13" s="120" customFormat="1" ht="36" x14ac:dyDescent="0.35">
      <c r="A592" s="11"/>
      <c r="B592" s="543" t="s">
        <v>464</v>
      </c>
      <c r="C592" s="220" t="s">
        <v>423</v>
      </c>
      <c r="D592" s="28" t="s">
        <v>224</v>
      </c>
      <c r="E592" s="28" t="s">
        <v>65</v>
      </c>
      <c r="F592" s="97" t="s">
        <v>39</v>
      </c>
      <c r="G592" s="87" t="s">
        <v>30</v>
      </c>
      <c r="H592" s="87" t="s">
        <v>37</v>
      </c>
      <c r="I592" s="88" t="s">
        <v>91</v>
      </c>
      <c r="J592" s="89"/>
      <c r="K592" s="215"/>
      <c r="L592" s="24">
        <f t="shared" si="79"/>
        <v>18</v>
      </c>
      <c r="M592" s="215">
        <f t="shared" si="79"/>
        <v>18</v>
      </c>
    </row>
    <row r="593" spans="1:13" s="120" customFormat="1" ht="54" customHeight="1" x14ac:dyDescent="0.35">
      <c r="A593" s="11"/>
      <c r="B593" s="510" t="s">
        <v>55</v>
      </c>
      <c r="C593" s="220" t="s">
        <v>423</v>
      </c>
      <c r="D593" s="28" t="s">
        <v>224</v>
      </c>
      <c r="E593" s="28" t="s">
        <v>65</v>
      </c>
      <c r="F593" s="140" t="s">
        <v>39</v>
      </c>
      <c r="G593" s="138" t="s">
        <v>30</v>
      </c>
      <c r="H593" s="138" t="s">
        <v>37</v>
      </c>
      <c r="I593" s="139" t="s">
        <v>91</v>
      </c>
      <c r="J593" s="486" t="s">
        <v>56</v>
      </c>
      <c r="K593" s="215"/>
      <c r="L593" s="24">
        <f>M593-K593</f>
        <v>18</v>
      </c>
      <c r="M593" s="215">
        <v>18</v>
      </c>
    </row>
    <row r="594" spans="1:13" s="120" customFormat="1" ht="18" customHeight="1" x14ac:dyDescent="0.35">
      <c r="A594" s="11"/>
      <c r="B594" s="510" t="s">
        <v>186</v>
      </c>
      <c r="C594" s="23" t="s">
        <v>423</v>
      </c>
      <c r="D594" s="10" t="s">
        <v>224</v>
      </c>
      <c r="E594" s="10" t="s">
        <v>79</v>
      </c>
      <c r="F594" s="709"/>
      <c r="G594" s="710"/>
      <c r="H594" s="710"/>
      <c r="I594" s="711"/>
      <c r="J594" s="10"/>
      <c r="K594" s="24">
        <f>K595</f>
        <v>89735.743000000002</v>
      </c>
      <c r="L594" s="24">
        <f>L595</f>
        <v>18</v>
      </c>
      <c r="M594" s="24">
        <f>M595</f>
        <v>89753.743000000002</v>
      </c>
    </row>
    <row r="595" spans="1:13" s="120" customFormat="1" ht="54" customHeight="1" x14ac:dyDescent="0.35">
      <c r="A595" s="11"/>
      <c r="B595" s="510" t="s">
        <v>205</v>
      </c>
      <c r="C595" s="23" t="s">
        <v>423</v>
      </c>
      <c r="D595" s="10" t="s">
        <v>224</v>
      </c>
      <c r="E595" s="10" t="s">
        <v>79</v>
      </c>
      <c r="F595" s="709" t="s">
        <v>39</v>
      </c>
      <c r="G595" s="710" t="s">
        <v>42</v>
      </c>
      <c r="H595" s="710" t="s">
        <v>43</v>
      </c>
      <c r="I595" s="711" t="s">
        <v>44</v>
      </c>
      <c r="J595" s="10"/>
      <c r="K595" s="24">
        <f>K600+K596</f>
        <v>89735.743000000002</v>
      </c>
      <c r="L595" s="24">
        <f>L600+L596</f>
        <v>18</v>
      </c>
      <c r="M595" s="24">
        <f>M600+M596</f>
        <v>89753.743000000002</v>
      </c>
    </row>
    <row r="596" spans="1:13" s="120" customFormat="1" ht="18" customHeight="1" x14ac:dyDescent="0.35">
      <c r="A596" s="11"/>
      <c r="B596" s="510" t="s">
        <v>210</v>
      </c>
      <c r="C596" s="23" t="s">
        <v>423</v>
      </c>
      <c r="D596" s="10" t="s">
        <v>224</v>
      </c>
      <c r="E596" s="10" t="s">
        <v>79</v>
      </c>
      <c r="F596" s="709" t="s">
        <v>39</v>
      </c>
      <c r="G596" s="710" t="s">
        <v>89</v>
      </c>
      <c r="H596" s="710" t="s">
        <v>43</v>
      </c>
      <c r="I596" s="711" t="s">
        <v>44</v>
      </c>
      <c r="J596" s="10"/>
      <c r="K596" s="24">
        <f t="shared" ref="K596:M598" si="81">K597</f>
        <v>72</v>
      </c>
      <c r="L596" s="24">
        <f t="shared" si="81"/>
        <v>36</v>
      </c>
      <c r="M596" s="24">
        <f t="shared" si="81"/>
        <v>108</v>
      </c>
    </row>
    <row r="597" spans="1:13" s="120" customFormat="1" ht="18" customHeight="1" x14ac:dyDescent="0.35">
      <c r="A597" s="11"/>
      <c r="B597" s="510" t="s">
        <v>277</v>
      </c>
      <c r="C597" s="23" t="s">
        <v>423</v>
      </c>
      <c r="D597" s="10" t="s">
        <v>224</v>
      </c>
      <c r="E597" s="10" t="s">
        <v>79</v>
      </c>
      <c r="F597" s="709" t="s">
        <v>39</v>
      </c>
      <c r="G597" s="710" t="s">
        <v>89</v>
      </c>
      <c r="H597" s="710" t="s">
        <v>39</v>
      </c>
      <c r="I597" s="711" t="s">
        <v>44</v>
      </c>
      <c r="J597" s="10"/>
      <c r="K597" s="24">
        <f t="shared" si="81"/>
        <v>72</v>
      </c>
      <c r="L597" s="24">
        <f t="shared" si="81"/>
        <v>36</v>
      </c>
      <c r="M597" s="24">
        <f t="shared" si="81"/>
        <v>108</v>
      </c>
    </row>
    <row r="598" spans="1:13" s="120" customFormat="1" ht="36" customHeight="1" x14ac:dyDescent="0.35">
      <c r="A598" s="11"/>
      <c r="B598" s="510" t="s">
        <v>278</v>
      </c>
      <c r="C598" s="23" t="s">
        <v>423</v>
      </c>
      <c r="D598" s="10" t="s">
        <v>224</v>
      </c>
      <c r="E598" s="10" t="s">
        <v>79</v>
      </c>
      <c r="F598" s="709" t="s">
        <v>39</v>
      </c>
      <c r="G598" s="710" t="s">
        <v>89</v>
      </c>
      <c r="H598" s="710" t="s">
        <v>39</v>
      </c>
      <c r="I598" s="711" t="s">
        <v>279</v>
      </c>
      <c r="J598" s="10"/>
      <c r="K598" s="24">
        <f t="shared" si="81"/>
        <v>72</v>
      </c>
      <c r="L598" s="24">
        <f t="shared" si="81"/>
        <v>36</v>
      </c>
      <c r="M598" s="24">
        <f t="shared" si="81"/>
        <v>108</v>
      </c>
    </row>
    <row r="599" spans="1:13" s="120" customFormat="1" ht="36" customHeight="1" x14ac:dyDescent="0.35">
      <c r="A599" s="11"/>
      <c r="B599" s="510" t="s">
        <v>120</v>
      </c>
      <c r="C599" s="23" t="s">
        <v>423</v>
      </c>
      <c r="D599" s="10" t="s">
        <v>224</v>
      </c>
      <c r="E599" s="10" t="s">
        <v>79</v>
      </c>
      <c r="F599" s="709" t="s">
        <v>39</v>
      </c>
      <c r="G599" s="710" t="s">
        <v>89</v>
      </c>
      <c r="H599" s="710" t="s">
        <v>39</v>
      </c>
      <c r="I599" s="711" t="s">
        <v>279</v>
      </c>
      <c r="J599" s="10" t="s">
        <v>121</v>
      </c>
      <c r="K599" s="24">
        <f>60+12</f>
        <v>72</v>
      </c>
      <c r="L599" s="24">
        <f>M599-K599</f>
        <v>36</v>
      </c>
      <c r="M599" s="24">
        <f>60+12+36</f>
        <v>108</v>
      </c>
    </row>
    <row r="600" spans="1:13" s="120" customFormat="1" ht="54" customHeight="1" x14ac:dyDescent="0.35">
      <c r="A600" s="11"/>
      <c r="B600" s="510" t="s">
        <v>212</v>
      </c>
      <c r="C600" s="23" t="s">
        <v>423</v>
      </c>
      <c r="D600" s="10" t="s">
        <v>224</v>
      </c>
      <c r="E600" s="10" t="s">
        <v>79</v>
      </c>
      <c r="F600" s="709" t="s">
        <v>39</v>
      </c>
      <c r="G600" s="710" t="s">
        <v>30</v>
      </c>
      <c r="H600" s="710" t="s">
        <v>43</v>
      </c>
      <c r="I600" s="711" t="s">
        <v>44</v>
      </c>
      <c r="J600" s="10"/>
      <c r="K600" s="24">
        <f>K601+K619</f>
        <v>89663.743000000002</v>
      </c>
      <c r="L600" s="24">
        <f>L601+L619</f>
        <v>-18</v>
      </c>
      <c r="M600" s="24">
        <f>M601+M619</f>
        <v>89645.743000000002</v>
      </c>
    </row>
    <row r="601" spans="1:13" s="120" customFormat="1" ht="36" customHeight="1" x14ac:dyDescent="0.35">
      <c r="A601" s="11"/>
      <c r="B601" s="510" t="s">
        <v>282</v>
      </c>
      <c r="C601" s="23" t="s">
        <v>423</v>
      </c>
      <c r="D601" s="10" t="s">
        <v>224</v>
      </c>
      <c r="E601" s="10" t="s">
        <v>79</v>
      </c>
      <c r="F601" s="709" t="s">
        <v>39</v>
      </c>
      <c r="G601" s="710" t="s">
        <v>30</v>
      </c>
      <c r="H601" s="710" t="s">
        <v>37</v>
      </c>
      <c r="I601" s="711" t="s">
        <v>44</v>
      </c>
      <c r="J601" s="10"/>
      <c r="K601" s="24">
        <f>K602+K606+K616+K611+K614</f>
        <v>81932.043000000005</v>
      </c>
      <c r="L601" s="24">
        <f>L602+L606+L616+L611+L614</f>
        <v>-18</v>
      </c>
      <c r="M601" s="24">
        <f>M602+M606+M616+M611+M614</f>
        <v>81914.043000000005</v>
      </c>
    </row>
    <row r="602" spans="1:13" s="120" customFormat="1" ht="36" customHeight="1" x14ac:dyDescent="0.35">
      <c r="A602" s="11"/>
      <c r="B602" s="510" t="s">
        <v>47</v>
      </c>
      <c r="C602" s="23" t="s">
        <v>423</v>
      </c>
      <c r="D602" s="10" t="s">
        <v>224</v>
      </c>
      <c r="E602" s="10" t="s">
        <v>79</v>
      </c>
      <c r="F602" s="709" t="s">
        <v>39</v>
      </c>
      <c r="G602" s="710" t="s">
        <v>30</v>
      </c>
      <c r="H602" s="710" t="s">
        <v>37</v>
      </c>
      <c r="I602" s="711" t="s">
        <v>48</v>
      </c>
      <c r="J602" s="10"/>
      <c r="K602" s="24">
        <f>K603+K604+K605</f>
        <v>12417.831</v>
      </c>
      <c r="L602" s="24">
        <f>L603+L604+L605</f>
        <v>0</v>
      </c>
      <c r="M602" s="24">
        <f>M603+M604+M605</f>
        <v>12417.831</v>
      </c>
    </row>
    <row r="603" spans="1:13" s="120" customFormat="1" ht="108" customHeight="1" x14ac:dyDescent="0.35">
      <c r="A603" s="11"/>
      <c r="B603" s="510" t="s">
        <v>49</v>
      </c>
      <c r="C603" s="23" t="s">
        <v>423</v>
      </c>
      <c r="D603" s="10" t="s">
        <v>224</v>
      </c>
      <c r="E603" s="10" t="s">
        <v>79</v>
      </c>
      <c r="F603" s="709" t="s">
        <v>39</v>
      </c>
      <c r="G603" s="710" t="s">
        <v>30</v>
      </c>
      <c r="H603" s="710" t="s">
        <v>37</v>
      </c>
      <c r="I603" s="711" t="s">
        <v>48</v>
      </c>
      <c r="J603" s="10" t="s">
        <v>50</v>
      </c>
      <c r="K603" s="24">
        <f>11475.4-2926.6+2926.6</f>
        <v>11475.4</v>
      </c>
      <c r="L603" s="24">
        <f>M603-K603</f>
        <v>0</v>
      </c>
      <c r="M603" s="24">
        <f>11475.4-2926.6+2926.6</f>
        <v>11475.4</v>
      </c>
    </row>
    <row r="604" spans="1:13" s="120" customFormat="1" ht="54" customHeight="1" x14ac:dyDescent="0.35">
      <c r="A604" s="11"/>
      <c r="B604" s="510" t="s">
        <v>55</v>
      </c>
      <c r="C604" s="23" t="s">
        <v>423</v>
      </c>
      <c r="D604" s="10" t="s">
        <v>224</v>
      </c>
      <c r="E604" s="10" t="s">
        <v>79</v>
      </c>
      <c r="F604" s="709" t="s">
        <v>39</v>
      </c>
      <c r="G604" s="710" t="s">
        <v>30</v>
      </c>
      <c r="H604" s="710" t="s">
        <v>37</v>
      </c>
      <c r="I604" s="711" t="s">
        <v>48</v>
      </c>
      <c r="J604" s="10" t="s">
        <v>56</v>
      </c>
      <c r="K604" s="24">
        <f>923.8+1.631</f>
        <v>925.43099999999993</v>
      </c>
      <c r="L604" s="24">
        <f>M604-K604</f>
        <v>0</v>
      </c>
      <c r="M604" s="24">
        <f>923.8+1.631</f>
        <v>925.43099999999993</v>
      </c>
    </row>
    <row r="605" spans="1:13" s="120" customFormat="1" ht="18" customHeight="1" x14ac:dyDescent="0.35">
      <c r="A605" s="11"/>
      <c r="B605" s="510" t="s">
        <v>57</v>
      </c>
      <c r="C605" s="23" t="s">
        <v>423</v>
      </c>
      <c r="D605" s="10" t="s">
        <v>224</v>
      </c>
      <c r="E605" s="10" t="s">
        <v>79</v>
      </c>
      <c r="F605" s="709" t="s">
        <v>39</v>
      </c>
      <c r="G605" s="710" t="s">
        <v>30</v>
      </c>
      <c r="H605" s="710" t="s">
        <v>37</v>
      </c>
      <c r="I605" s="711" t="s">
        <v>48</v>
      </c>
      <c r="J605" s="10" t="s">
        <v>58</v>
      </c>
      <c r="K605" s="24">
        <v>17</v>
      </c>
      <c r="L605" s="24">
        <f>M605-K605</f>
        <v>0</v>
      </c>
      <c r="M605" s="24">
        <v>17</v>
      </c>
    </row>
    <row r="606" spans="1:13" s="120" customFormat="1" ht="36" customHeight="1" x14ac:dyDescent="0.35">
      <c r="A606" s="11"/>
      <c r="B606" s="543" t="s">
        <v>464</v>
      </c>
      <c r="C606" s="23" t="s">
        <v>423</v>
      </c>
      <c r="D606" s="10" t="s">
        <v>224</v>
      </c>
      <c r="E606" s="10" t="s">
        <v>79</v>
      </c>
      <c r="F606" s="709" t="s">
        <v>39</v>
      </c>
      <c r="G606" s="710" t="s">
        <v>30</v>
      </c>
      <c r="H606" s="710" t="s">
        <v>37</v>
      </c>
      <c r="I606" s="711" t="s">
        <v>91</v>
      </c>
      <c r="J606" s="10"/>
      <c r="K606" s="24">
        <f>K607+K608+K610+K609</f>
        <v>61639.212</v>
      </c>
      <c r="L606" s="24">
        <f>L607+L608+L610+L609</f>
        <v>-18</v>
      </c>
      <c r="M606" s="24">
        <f>M607+M608+M610+M609</f>
        <v>61621.212</v>
      </c>
    </row>
    <row r="607" spans="1:13" s="120" customFormat="1" ht="108" customHeight="1" x14ac:dyDescent="0.35">
      <c r="A607" s="11"/>
      <c r="B607" s="510" t="s">
        <v>49</v>
      </c>
      <c r="C607" s="23" t="s">
        <v>423</v>
      </c>
      <c r="D607" s="10" t="s">
        <v>224</v>
      </c>
      <c r="E607" s="10" t="s">
        <v>79</v>
      </c>
      <c r="F607" s="709" t="s">
        <v>39</v>
      </c>
      <c r="G607" s="710" t="s">
        <v>30</v>
      </c>
      <c r="H607" s="710" t="s">
        <v>37</v>
      </c>
      <c r="I607" s="711" t="s">
        <v>91</v>
      </c>
      <c r="J607" s="10" t="s">
        <v>50</v>
      </c>
      <c r="K607" s="24">
        <f>36731.8+619.3-209.9+209.9-7581.4+7581.4</f>
        <v>37351.100000000006</v>
      </c>
      <c r="L607" s="24">
        <f>M607-K607</f>
        <v>0</v>
      </c>
      <c r="M607" s="24">
        <f>36731.8+619.3-209.9+209.9-7581.4+7581.4</f>
        <v>37351.100000000006</v>
      </c>
    </row>
    <row r="608" spans="1:13" s="120" customFormat="1" ht="54" customHeight="1" x14ac:dyDescent="0.35">
      <c r="A608" s="11"/>
      <c r="B608" s="510" t="s">
        <v>55</v>
      </c>
      <c r="C608" s="23" t="s">
        <v>423</v>
      </c>
      <c r="D608" s="10" t="s">
        <v>224</v>
      </c>
      <c r="E608" s="10" t="s">
        <v>79</v>
      </c>
      <c r="F608" s="709" t="s">
        <v>39</v>
      </c>
      <c r="G608" s="710" t="s">
        <v>30</v>
      </c>
      <c r="H608" s="710" t="s">
        <v>37</v>
      </c>
      <c r="I608" s="711" t="s">
        <v>91</v>
      </c>
      <c r="J608" s="10" t="s">
        <v>56</v>
      </c>
      <c r="K608" s="24">
        <f>4235.7+13.612</f>
        <v>4249.3119999999999</v>
      </c>
      <c r="L608" s="24">
        <f>M608-K608</f>
        <v>-18</v>
      </c>
      <c r="M608" s="24">
        <f>4235.7+13.612-18</f>
        <v>4231.3119999999999</v>
      </c>
    </row>
    <row r="609" spans="1:13" s="120" customFormat="1" ht="54" customHeight="1" x14ac:dyDescent="0.35">
      <c r="A609" s="11"/>
      <c r="B609" s="510" t="s">
        <v>76</v>
      </c>
      <c r="C609" s="23" t="s">
        <v>423</v>
      </c>
      <c r="D609" s="10" t="s">
        <v>224</v>
      </c>
      <c r="E609" s="10" t="s">
        <v>79</v>
      </c>
      <c r="F609" s="709" t="s">
        <v>39</v>
      </c>
      <c r="G609" s="710" t="s">
        <v>30</v>
      </c>
      <c r="H609" s="710" t="s">
        <v>37</v>
      </c>
      <c r="I609" s="711" t="s">
        <v>91</v>
      </c>
      <c r="J609" s="10" t="s">
        <v>77</v>
      </c>
      <c r="K609" s="24">
        <f>20085.9-52.8</f>
        <v>20033.100000000002</v>
      </c>
      <c r="L609" s="24">
        <f>M609-K609</f>
        <v>0</v>
      </c>
      <c r="M609" s="24">
        <f>20085.9-52.8</f>
        <v>20033.100000000002</v>
      </c>
    </row>
    <row r="610" spans="1:13" s="120" customFormat="1" ht="18" customHeight="1" x14ac:dyDescent="0.35">
      <c r="A610" s="11"/>
      <c r="B610" s="510" t="s">
        <v>57</v>
      </c>
      <c r="C610" s="23" t="s">
        <v>423</v>
      </c>
      <c r="D610" s="10" t="s">
        <v>224</v>
      </c>
      <c r="E610" s="10" t="s">
        <v>79</v>
      </c>
      <c r="F610" s="709" t="s">
        <v>39</v>
      </c>
      <c r="G610" s="710" t="s">
        <v>30</v>
      </c>
      <c r="H610" s="710" t="s">
        <v>37</v>
      </c>
      <c r="I610" s="711" t="s">
        <v>91</v>
      </c>
      <c r="J610" s="10" t="s">
        <v>58</v>
      </c>
      <c r="K610" s="24">
        <v>5.7</v>
      </c>
      <c r="L610" s="24">
        <f>M610-K610</f>
        <v>0</v>
      </c>
      <c r="M610" s="24">
        <v>5.7</v>
      </c>
    </row>
    <row r="611" spans="1:13" s="120" customFormat="1" ht="36" customHeight="1" x14ac:dyDescent="0.35">
      <c r="A611" s="11"/>
      <c r="B611" s="510" t="s">
        <v>208</v>
      </c>
      <c r="C611" s="23" t="s">
        <v>423</v>
      </c>
      <c r="D611" s="10" t="s">
        <v>224</v>
      </c>
      <c r="E611" s="10" t="s">
        <v>79</v>
      </c>
      <c r="F611" s="709" t="s">
        <v>39</v>
      </c>
      <c r="G611" s="710" t="s">
        <v>30</v>
      </c>
      <c r="H611" s="710" t="s">
        <v>37</v>
      </c>
      <c r="I611" s="711" t="s">
        <v>274</v>
      </c>
      <c r="J611" s="10"/>
      <c r="K611" s="24">
        <f>K612+K613</f>
        <v>311.7</v>
      </c>
      <c r="L611" s="24">
        <f>L612+L613</f>
        <v>0</v>
      </c>
      <c r="M611" s="24">
        <f>M612+M613</f>
        <v>311.7</v>
      </c>
    </row>
    <row r="612" spans="1:13" s="120" customFormat="1" ht="54" customHeight="1" x14ac:dyDescent="0.35">
      <c r="A612" s="11"/>
      <c r="B612" s="510" t="s">
        <v>55</v>
      </c>
      <c r="C612" s="23" t="s">
        <v>423</v>
      </c>
      <c r="D612" s="10" t="s">
        <v>224</v>
      </c>
      <c r="E612" s="10" t="s">
        <v>79</v>
      </c>
      <c r="F612" s="709" t="s">
        <v>39</v>
      </c>
      <c r="G612" s="710" t="s">
        <v>30</v>
      </c>
      <c r="H612" s="710" t="s">
        <v>37</v>
      </c>
      <c r="I612" s="711" t="s">
        <v>274</v>
      </c>
      <c r="J612" s="10" t="s">
        <v>56</v>
      </c>
      <c r="K612" s="24">
        <v>10</v>
      </c>
      <c r="L612" s="24">
        <f>M612-K612</f>
        <v>0</v>
      </c>
      <c r="M612" s="24">
        <v>10</v>
      </c>
    </row>
    <row r="613" spans="1:13" s="120" customFormat="1" ht="54" customHeight="1" x14ac:dyDescent="0.35">
      <c r="A613" s="11"/>
      <c r="B613" s="510" t="s">
        <v>76</v>
      </c>
      <c r="C613" s="23" t="s">
        <v>423</v>
      </c>
      <c r="D613" s="10" t="s">
        <v>224</v>
      </c>
      <c r="E613" s="10" t="s">
        <v>79</v>
      </c>
      <c r="F613" s="709" t="s">
        <v>39</v>
      </c>
      <c r="G613" s="710" t="s">
        <v>30</v>
      </c>
      <c r="H613" s="710" t="s">
        <v>37</v>
      </c>
      <c r="I613" s="711" t="s">
        <v>274</v>
      </c>
      <c r="J613" s="10" t="s">
        <v>77</v>
      </c>
      <c r="K613" s="24">
        <f>52.8+248.9</f>
        <v>301.7</v>
      </c>
      <c r="L613" s="24">
        <f>M613-K613</f>
        <v>0</v>
      </c>
      <c r="M613" s="24">
        <f>52.8+248.9</f>
        <v>301.7</v>
      </c>
    </row>
    <row r="614" spans="1:13" s="120" customFormat="1" ht="54" customHeight="1" x14ac:dyDescent="0.35">
      <c r="A614" s="11"/>
      <c r="B614" s="510" t="s">
        <v>579</v>
      </c>
      <c r="C614" s="23" t="s">
        <v>423</v>
      </c>
      <c r="D614" s="10" t="s">
        <v>224</v>
      </c>
      <c r="E614" s="10" t="s">
        <v>79</v>
      </c>
      <c r="F614" s="709" t="s">
        <v>39</v>
      </c>
      <c r="G614" s="710" t="s">
        <v>30</v>
      </c>
      <c r="H614" s="710" t="s">
        <v>37</v>
      </c>
      <c r="I614" s="711" t="s">
        <v>578</v>
      </c>
      <c r="J614" s="10"/>
      <c r="K614" s="24">
        <f>K615</f>
        <v>518.6</v>
      </c>
      <c r="L614" s="24">
        <f>L615</f>
        <v>0</v>
      </c>
      <c r="M614" s="24">
        <f>M615</f>
        <v>518.6</v>
      </c>
    </row>
    <row r="615" spans="1:13" s="120" customFormat="1" ht="54" customHeight="1" x14ac:dyDescent="0.35">
      <c r="A615" s="11"/>
      <c r="B615" s="510" t="s">
        <v>76</v>
      </c>
      <c r="C615" s="23" t="s">
        <v>423</v>
      </c>
      <c r="D615" s="10" t="s">
        <v>224</v>
      </c>
      <c r="E615" s="10" t="s">
        <v>79</v>
      </c>
      <c r="F615" s="709" t="s">
        <v>39</v>
      </c>
      <c r="G615" s="710" t="s">
        <v>30</v>
      </c>
      <c r="H615" s="710" t="s">
        <v>37</v>
      </c>
      <c r="I615" s="711" t="s">
        <v>578</v>
      </c>
      <c r="J615" s="10" t="s">
        <v>77</v>
      </c>
      <c r="K615" s="24">
        <v>518.6</v>
      </c>
      <c r="L615" s="24">
        <f>M615-K615</f>
        <v>0</v>
      </c>
      <c r="M615" s="24">
        <v>518.6</v>
      </c>
    </row>
    <row r="616" spans="1:13" s="120" customFormat="1" ht="108" customHeight="1" x14ac:dyDescent="0.35">
      <c r="A616" s="11"/>
      <c r="B616" s="510" t="s">
        <v>345</v>
      </c>
      <c r="C616" s="23" t="s">
        <v>423</v>
      </c>
      <c r="D616" s="10" t="s">
        <v>224</v>
      </c>
      <c r="E616" s="10" t="s">
        <v>79</v>
      </c>
      <c r="F616" s="709" t="s">
        <v>39</v>
      </c>
      <c r="G616" s="710" t="s">
        <v>30</v>
      </c>
      <c r="H616" s="710" t="s">
        <v>37</v>
      </c>
      <c r="I616" s="711" t="s">
        <v>270</v>
      </c>
      <c r="J616" s="10"/>
      <c r="K616" s="24">
        <f>K617+K618</f>
        <v>7044.7000000000007</v>
      </c>
      <c r="L616" s="24">
        <f>L617+L618</f>
        <v>0</v>
      </c>
      <c r="M616" s="24">
        <f>M617+M618</f>
        <v>7044.7000000000007</v>
      </c>
    </row>
    <row r="617" spans="1:13" s="120" customFormat="1" ht="108" customHeight="1" x14ac:dyDescent="0.35">
      <c r="A617" s="11"/>
      <c r="B617" s="510" t="s">
        <v>49</v>
      </c>
      <c r="C617" s="23" t="s">
        <v>423</v>
      </c>
      <c r="D617" s="10" t="s">
        <v>224</v>
      </c>
      <c r="E617" s="10" t="s">
        <v>79</v>
      </c>
      <c r="F617" s="709" t="s">
        <v>39</v>
      </c>
      <c r="G617" s="710" t="s">
        <v>30</v>
      </c>
      <c r="H617" s="710" t="s">
        <v>37</v>
      </c>
      <c r="I617" s="711" t="s">
        <v>270</v>
      </c>
      <c r="J617" s="10" t="s">
        <v>50</v>
      </c>
      <c r="K617" s="24">
        <v>6762.6</v>
      </c>
      <c r="L617" s="24">
        <f>M617-K617</f>
        <v>0</v>
      </c>
      <c r="M617" s="24">
        <v>6762.6</v>
      </c>
    </row>
    <row r="618" spans="1:13" s="120" customFormat="1" ht="54" customHeight="1" x14ac:dyDescent="0.35">
      <c r="A618" s="11"/>
      <c r="B618" s="510" t="s">
        <v>55</v>
      </c>
      <c r="C618" s="23" t="s">
        <v>423</v>
      </c>
      <c r="D618" s="10" t="s">
        <v>224</v>
      </c>
      <c r="E618" s="10" t="s">
        <v>79</v>
      </c>
      <c r="F618" s="709" t="s">
        <v>39</v>
      </c>
      <c r="G618" s="710" t="s">
        <v>30</v>
      </c>
      <c r="H618" s="710" t="s">
        <v>37</v>
      </c>
      <c r="I618" s="711" t="s">
        <v>270</v>
      </c>
      <c r="J618" s="10" t="s">
        <v>56</v>
      </c>
      <c r="K618" s="24">
        <f>266.5+15.6</f>
        <v>282.10000000000002</v>
      </c>
      <c r="L618" s="24">
        <f>M618-K618</f>
        <v>0</v>
      </c>
      <c r="M618" s="24">
        <f>266.5+15.6</f>
        <v>282.10000000000002</v>
      </c>
    </row>
    <row r="619" spans="1:13" s="120" customFormat="1" ht="54" customHeight="1" x14ac:dyDescent="0.35">
      <c r="A619" s="11"/>
      <c r="B619" s="507" t="s">
        <v>281</v>
      </c>
      <c r="C619" s="220" t="s">
        <v>423</v>
      </c>
      <c r="D619" s="28" t="s">
        <v>224</v>
      </c>
      <c r="E619" s="28" t="s">
        <v>79</v>
      </c>
      <c r="F619" s="212" t="s">
        <v>39</v>
      </c>
      <c r="G619" s="213" t="s">
        <v>30</v>
      </c>
      <c r="H619" s="213" t="s">
        <v>39</v>
      </c>
      <c r="I619" s="214" t="s">
        <v>44</v>
      </c>
      <c r="J619" s="28"/>
      <c r="K619" s="215">
        <f>K620+K622</f>
        <v>7731.7</v>
      </c>
      <c r="L619" s="215">
        <f>L620+L622</f>
        <v>0</v>
      </c>
      <c r="M619" s="215">
        <f>M620+M622</f>
        <v>7731.7</v>
      </c>
    </row>
    <row r="620" spans="1:13" s="120" customFormat="1" ht="36" customHeight="1" x14ac:dyDescent="0.35">
      <c r="A620" s="11"/>
      <c r="B620" s="507" t="s">
        <v>470</v>
      </c>
      <c r="C620" s="220" t="s">
        <v>423</v>
      </c>
      <c r="D620" s="28" t="s">
        <v>224</v>
      </c>
      <c r="E620" s="28" t="s">
        <v>79</v>
      </c>
      <c r="F620" s="212" t="s">
        <v>39</v>
      </c>
      <c r="G620" s="213" t="s">
        <v>30</v>
      </c>
      <c r="H620" s="213" t="s">
        <v>39</v>
      </c>
      <c r="I620" s="214" t="s">
        <v>469</v>
      </c>
      <c r="J620" s="28"/>
      <c r="K620" s="215">
        <f>K621</f>
        <v>2157</v>
      </c>
      <c r="L620" s="215">
        <f>L621</f>
        <v>0</v>
      </c>
      <c r="M620" s="215">
        <f>M621</f>
        <v>2157</v>
      </c>
    </row>
    <row r="621" spans="1:13" s="120" customFormat="1" ht="54" customHeight="1" x14ac:dyDescent="0.35">
      <c r="A621" s="11"/>
      <c r="B621" s="507" t="s">
        <v>76</v>
      </c>
      <c r="C621" s="220" t="s">
        <v>423</v>
      </c>
      <c r="D621" s="28" t="s">
        <v>224</v>
      </c>
      <c r="E621" s="28" t="s">
        <v>79</v>
      </c>
      <c r="F621" s="212" t="s">
        <v>39</v>
      </c>
      <c r="G621" s="213" t="s">
        <v>30</v>
      </c>
      <c r="H621" s="213" t="s">
        <v>39</v>
      </c>
      <c r="I621" s="214" t="s">
        <v>469</v>
      </c>
      <c r="J621" s="28" t="s">
        <v>77</v>
      </c>
      <c r="K621" s="215">
        <f>2107.5+49.5</f>
        <v>2157</v>
      </c>
      <c r="L621" s="24">
        <f>M621-K621</f>
        <v>0</v>
      </c>
      <c r="M621" s="215">
        <f>2107.5+49.5</f>
        <v>2157</v>
      </c>
    </row>
    <row r="622" spans="1:13" s="120" customFormat="1" ht="108" customHeight="1" x14ac:dyDescent="0.35">
      <c r="A622" s="11"/>
      <c r="B622" s="507" t="s">
        <v>439</v>
      </c>
      <c r="C622" s="220" t="s">
        <v>423</v>
      </c>
      <c r="D622" s="28" t="s">
        <v>224</v>
      </c>
      <c r="E622" s="28" t="s">
        <v>79</v>
      </c>
      <c r="F622" s="212" t="s">
        <v>39</v>
      </c>
      <c r="G622" s="213" t="s">
        <v>30</v>
      </c>
      <c r="H622" s="213" t="s">
        <v>39</v>
      </c>
      <c r="I622" s="214" t="s">
        <v>438</v>
      </c>
      <c r="J622" s="28"/>
      <c r="K622" s="215">
        <f>K623</f>
        <v>5574.7</v>
      </c>
      <c r="L622" s="215">
        <f>L623</f>
        <v>0</v>
      </c>
      <c r="M622" s="215">
        <f>M623</f>
        <v>5574.7</v>
      </c>
    </row>
    <row r="623" spans="1:13" s="120" customFormat="1" ht="54" customHeight="1" x14ac:dyDescent="0.35">
      <c r="A623" s="11"/>
      <c r="B623" s="507" t="s">
        <v>76</v>
      </c>
      <c r="C623" s="220" t="s">
        <v>423</v>
      </c>
      <c r="D623" s="28" t="s">
        <v>224</v>
      </c>
      <c r="E623" s="28" t="s">
        <v>79</v>
      </c>
      <c r="F623" s="212" t="s">
        <v>39</v>
      </c>
      <c r="G623" s="213" t="s">
        <v>30</v>
      </c>
      <c r="H623" s="213" t="s">
        <v>39</v>
      </c>
      <c r="I623" s="214" t="s">
        <v>438</v>
      </c>
      <c r="J623" s="28" t="s">
        <v>77</v>
      </c>
      <c r="K623" s="215">
        <v>5574.7</v>
      </c>
      <c r="L623" s="24">
        <f>M623-K623</f>
        <v>0</v>
      </c>
      <c r="M623" s="215">
        <v>5574.7</v>
      </c>
    </row>
    <row r="624" spans="1:13" s="120" customFormat="1" ht="18" customHeight="1" x14ac:dyDescent="0.35">
      <c r="A624" s="11"/>
      <c r="B624" s="559" t="s">
        <v>119</v>
      </c>
      <c r="C624" s="23" t="s">
        <v>423</v>
      </c>
      <c r="D624" s="10" t="s">
        <v>104</v>
      </c>
      <c r="E624" s="10"/>
      <c r="F624" s="709"/>
      <c r="G624" s="710"/>
      <c r="H624" s="710"/>
      <c r="I624" s="711"/>
      <c r="J624" s="10"/>
      <c r="K624" s="24">
        <f>K625+K631</f>
        <v>7212.9</v>
      </c>
      <c r="L624" s="24">
        <f>L625+L631</f>
        <v>392.3</v>
      </c>
      <c r="M624" s="24">
        <f>M625+M631</f>
        <v>7605.2</v>
      </c>
    </row>
    <row r="625" spans="1:13" s="120" customFormat="1" ht="18" x14ac:dyDescent="0.35">
      <c r="A625" s="11"/>
      <c r="B625" s="510" t="s">
        <v>733</v>
      </c>
      <c r="C625" s="23" t="s">
        <v>423</v>
      </c>
      <c r="D625" s="10" t="s">
        <v>104</v>
      </c>
      <c r="E625" s="10" t="s">
        <v>63</v>
      </c>
      <c r="F625" s="709"/>
      <c r="G625" s="710"/>
      <c r="H625" s="710"/>
      <c r="I625" s="711"/>
      <c r="J625" s="10"/>
      <c r="K625" s="24">
        <f>K626+K638</f>
        <v>920</v>
      </c>
      <c r="L625" s="24">
        <f>L626+L638</f>
        <v>0</v>
      </c>
      <c r="M625" s="24">
        <f>M626+M638</f>
        <v>920</v>
      </c>
    </row>
    <row r="626" spans="1:13" s="120" customFormat="1" ht="54" x14ac:dyDescent="0.35">
      <c r="A626" s="11"/>
      <c r="B626" s="562" t="s">
        <v>295</v>
      </c>
      <c r="C626" s="23" t="s">
        <v>423</v>
      </c>
      <c r="D626" s="10" t="s">
        <v>104</v>
      </c>
      <c r="E626" s="10" t="s">
        <v>63</v>
      </c>
      <c r="F626" s="709" t="s">
        <v>79</v>
      </c>
      <c r="G626" s="710" t="s">
        <v>42</v>
      </c>
      <c r="H626" s="710" t="s">
        <v>43</v>
      </c>
      <c r="I626" s="711" t="s">
        <v>44</v>
      </c>
      <c r="J626" s="10"/>
      <c r="K626" s="24">
        <f t="shared" ref="K626:M629" si="82">K627</f>
        <v>920</v>
      </c>
      <c r="L626" s="24">
        <f t="shared" si="82"/>
        <v>0</v>
      </c>
      <c r="M626" s="24">
        <f t="shared" si="82"/>
        <v>920</v>
      </c>
    </row>
    <row r="627" spans="1:13" s="120" customFormat="1" ht="36" x14ac:dyDescent="0.35">
      <c r="A627" s="11"/>
      <c r="B627" s="510" t="s">
        <v>339</v>
      </c>
      <c r="C627" s="23" t="s">
        <v>423</v>
      </c>
      <c r="D627" s="10" t="s">
        <v>104</v>
      </c>
      <c r="E627" s="10" t="s">
        <v>63</v>
      </c>
      <c r="F627" s="709" t="s">
        <v>79</v>
      </c>
      <c r="G627" s="710" t="s">
        <v>45</v>
      </c>
      <c r="H627" s="710" t="s">
        <v>43</v>
      </c>
      <c r="I627" s="711" t="s">
        <v>44</v>
      </c>
      <c r="J627" s="10"/>
      <c r="K627" s="24">
        <f t="shared" si="82"/>
        <v>920</v>
      </c>
      <c r="L627" s="24">
        <f t="shared" si="82"/>
        <v>0</v>
      </c>
      <c r="M627" s="24">
        <f t="shared" si="82"/>
        <v>920</v>
      </c>
    </row>
    <row r="628" spans="1:13" s="120" customFormat="1" ht="54" x14ac:dyDescent="0.35">
      <c r="A628" s="11"/>
      <c r="B628" s="510" t="s">
        <v>731</v>
      </c>
      <c r="C628" s="23" t="s">
        <v>423</v>
      </c>
      <c r="D628" s="10" t="s">
        <v>104</v>
      </c>
      <c r="E628" s="10" t="s">
        <v>63</v>
      </c>
      <c r="F628" s="709" t="s">
        <v>79</v>
      </c>
      <c r="G628" s="710" t="s">
        <v>45</v>
      </c>
      <c r="H628" s="710" t="s">
        <v>224</v>
      </c>
      <c r="I628" s="711" t="s">
        <v>44</v>
      </c>
      <c r="J628" s="10"/>
      <c r="K628" s="24">
        <f t="shared" si="82"/>
        <v>920</v>
      </c>
      <c r="L628" s="24">
        <f t="shared" si="82"/>
        <v>0</v>
      </c>
      <c r="M628" s="24">
        <f t="shared" si="82"/>
        <v>920</v>
      </c>
    </row>
    <row r="629" spans="1:13" s="120" customFormat="1" ht="72" x14ac:dyDescent="0.35">
      <c r="A629" s="11"/>
      <c r="B629" s="510" t="s">
        <v>732</v>
      </c>
      <c r="C629" s="23" t="s">
        <v>423</v>
      </c>
      <c r="D629" s="10" t="s">
        <v>104</v>
      </c>
      <c r="E629" s="10" t="s">
        <v>63</v>
      </c>
      <c r="F629" s="709" t="s">
        <v>79</v>
      </c>
      <c r="G629" s="710" t="s">
        <v>45</v>
      </c>
      <c r="H629" s="710" t="s">
        <v>224</v>
      </c>
      <c r="I629" s="711" t="s">
        <v>730</v>
      </c>
      <c r="J629" s="10"/>
      <c r="K629" s="24">
        <f t="shared" si="82"/>
        <v>920</v>
      </c>
      <c r="L629" s="24">
        <f t="shared" si="82"/>
        <v>0</v>
      </c>
      <c r="M629" s="24">
        <f t="shared" si="82"/>
        <v>920</v>
      </c>
    </row>
    <row r="630" spans="1:13" s="120" customFormat="1" ht="36" x14ac:dyDescent="0.35">
      <c r="A630" s="11"/>
      <c r="B630" s="517" t="s">
        <v>120</v>
      </c>
      <c r="C630" s="23" t="s">
        <v>423</v>
      </c>
      <c r="D630" s="10" t="s">
        <v>104</v>
      </c>
      <c r="E630" s="10" t="s">
        <v>63</v>
      </c>
      <c r="F630" s="709" t="s">
        <v>79</v>
      </c>
      <c r="G630" s="710" t="s">
        <v>45</v>
      </c>
      <c r="H630" s="710" t="s">
        <v>224</v>
      </c>
      <c r="I630" s="711" t="s">
        <v>730</v>
      </c>
      <c r="J630" s="10" t="s">
        <v>121</v>
      </c>
      <c r="K630" s="24">
        <f>591.2+98.8+230</f>
        <v>920</v>
      </c>
      <c r="L630" s="24">
        <f>M630-K630</f>
        <v>0</v>
      </c>
      <c r="M630" s="24">
        <f>591.2+98.8+230</f>
        <v>920</v>
      </c>
    </row>
    <row r="631" spans="1:13" s="120" customFormat="1" ht="18" x14ac:dyDescent="0.35">
      <c r="A631" s="11"/>
      <c r="B631" s="559" t="s">
        <v>193</v>
      </c>
      <c r="C631" s="23" t="s">
        <v>423</v>
      </c>
      <c r="D631" s="10" t="s">
        <v>104</v>
      </c>
      <c r="E631" s="10" t="s">
        <v>52</v>
      </c>
      <c r="F631" s="709"/>
      <c r="G631" s="710"/>
      <c r="H631" s="710"/>
      <c r="I631" s="711"/>
      <c r="J631" s="10"/>
      <c r="K631" s="24">
        <f t="shared" ref="K631:M631" si="83">K632</f>
        <v>6292.9</v>
      </c>
      <c r="L631" s="24">
        <f t="shared" si="83"/>
        <v>392.3</v>
      </c>
      <c r="M631" s="24">
        <f t="shared" si="83"/>
        <v>6685.2</v>
      </c>
    </row>
    <row r="632" spans="1:13" s="120" customFormat="1" ht="54" customHeight="1" x14ac:dyDescent="0.35">
      <c r="A632" s="11"/>
      <c r="B632" s="510" t="s">
        <v>205</v>
      </c>
      <c r="C632" s="23" t="s">
        <v>423</v>
      </c>
      <c r="D632" s="10" t="s">
        <v>104</v>
      </c>
      <c r="E632" s="10" t="s">
        <v>52</v>
      </c>
      <c r="F632" s="709" t="s">
        <v>39</v>
      </c>
      <c r="G632" s="710" t="s">
        <v>42</v>
      </c>
      <c r="H632" s="710" t="s">
        <v>43</v>
      </c>
      <c r="I632" s="711" t="s">
        <v>44</v>
      </c>
      <c r="J632" s="10"/>
      <c r="K632" s="24">
        <f t="shared" ref="K632:M634" si="84">K633</f>
        <v>6292.9</v>
      </c>
      <c r="L632" s="24">
        <f t="shared" si="84"/>
        <v>392.3</v>
      </c>
      <c r="M632" s="24">
        <f t="shared" si="84"/>
        <v>6685.2</v>
      </c>
    </row>
    <row r="633" spans="1:13" s="120" customFormat="1" ht="36" customHeight="1" x14ac:dyDescent="0.35">
      <c r="A633" s="11"/>
      <c r="B633" s="510" t="s">
        <v>206</v>
      </c>
      <c r="C633" s="23" t="s">
        <v>423</v>
      </c>
      <c r="D633" s="10" t="s">
        <v>104</v>
      </c>
      <c r="E633" s="10" t="s">
        <v>52</v>
      </c>
      <c r="F633" s="709" t="s">
        <v>39</v>
      </c>
      <c r="G633" s="710" t="s">
        <v>45</v>
      </c>
      <c r="H633" s="710" t="s">
        <v>43</v>
      </c>
      <c r="I633" s="711" t="s">
        <v>44</v>
      </c>
      <c r="J633" s="10"/>
      <c r="K633" s="24">
        <f t="shared" si="84"/>
        <v>6292.9</v>
      </c>
      <c r="L633" s="24">
        <f t="shared" si="84"/>
        <v>392.3</v>
      </c>
      <c r="M633" s="24">
        <f t="shared" si="84"/>
        <v>6685.2</v>
      </c>
    </row>
    <row r="634" spans="1:13" s="120" customFormat="1" ht="36" customHeight="1" x14ac:dyDescent="0.35">
      <c r="A634" s="11"/>
      <c r="B634" s="510" t="s">
        <v>267</v>
      </c>
      <c r="C634" s="23" t="s">
        <v>423</v>
      </c>
      <c r="D634" s="10" t="s">
        <v>104</v>
      </c>
      <c r="E634" s="10" t="s">
        <v>52</v>
      </c>
      <c r="F634" s="709" t="s">
        <v>39</v>
      </c>
      <c r="G634" s="710" t="s">
        <v>45</v>
      </c>
      <c r="H634" s="710" t="s">
        <v>37</v>
      </c>
      <c r="I634" s="711" t="s">
        <v>44</v>
      </c>
      <c r="J634" s="10"/>
      <c r="K634" s="24">
        <f t="shared" si="84"/>
        <v>6292.9</v>
      </c>
      <c r="L634" s="24">
        <f t="shared" si="84"/>
        <v>392.3</v>
      </c>
      <c r="M634" s="24">
        <f t="shared" si="84"/>
        <v>6685.2</v>
      </c>
    </row>
    <row r="635" spans="1:13" s="120" customFormat="1" ht="126" customHeight="1" x14ac:dyDescent="0.35">
      <c r="A635" s="11"/>
      <c r="B635" s="510" t="s">
        <v>283</v>
      </c>
      <c r="C635" s="23" t="s">
        <v>423</v>
      </c>
      <c r="D635" s="10" t="s">
        <v>104</v>
      </c>
      <c r="E635" s="10" t="s">
        <v>52</v>
      </c>
      <c r="F635" s="709" t="s">
        <v>39</v>
      </c>
      <c r="G635" s="710" t="s">
        <v>45</v>
      </c>
      <c r="H635" s="710" t="s">
        <v>37</v>
      </c>
      <c r="I635" s="711" t="s">
        <v>284</v>
      </c>
      <c r="J635" s="10"/>
      <c r="K635" s="24">
        <f>K636+K637</f>
        <v>6292.9</v>
      </c>
      <c r="L635" s="24">
        <f>L636+L637</f>
        <v>392.3</v>
      </c>
      <c r="M635" s="24">
        <f>M636+M637</f>
        <v>6685.2</v>
      </c>
    </row>
    <row r="636" spans="1:13" s="120" customFormat="1" ht="54" customHeight="1" x14ac:dyDescent="0.35">
      <c r="A636" s="11"/>
      <c r="B636" s="510" t="s">
        <v>55</v>
      </c>
      <c r="C636" s="23" t="s">
        <v>423</v>
      </c>
      <c r="D636" s="10" t="s">
        <v>104</v>
      </c>
      <c r="E636" s="10" t="s">
        <v>52</v>
      </c>
      <c r="F636" s="709" t="s">
        <v>39</v>
      </c>
      <c r="G636" s="710" t="s">
        <v>45</v>
      </c>
      <c r="H636" s="710" t="s">
        <v>37</v>
      </c>
      <c r="I636" s="711" t="s">
        <v>284</v>
      </c>
      <c r="J636" s="10" t="s">
        <v>56</v>
      </c>
      <c r="K636" s="24">
        <v>92.9</v>
      </c>
      <c r="L636" s="24">
        <f>M636-K636</f>
        <v>5.7999999999999972</v>
      </c>
      <c r="M636" s="24">
        <f>92.9+5.8</f>
        <v>98.7</v>
      </c>
    </row>
    <row r="637" spans="1:13" s="120" customFormat="1" ht="36" customHeight="1" x14ac:dyDescent="0.35">
      <c r="A637" s="11"/>
      <c r="B637" s="517" t="s">
        <v>120</v>
      </c>
      <c r="C637" s="23" t="s">
        <v>423</v>
      </c>
      <c r="D637" s="10" t="s">
        <v>104</v>
      </c>
      <c r="E637" s="10" t="s">
        <v>52</v>
      </c>
      <c r="F637" s="709" t="s">
        <v>39</v>
      </c>
      <c r="G637" s="710" t="s">
        <v>45</v>
      </c>
      <c r="H637" s="710" t="s">
        <v>37</v>
      </c>
      <c r="I637" s="711" t="s">
        <v>284</v>
      </c>
      <c r="J637" s="10" t="s">
        <v>121</v>
      </c>
      <c r="K637" s="24">
        <v>6200</v>
      </c>
      <c r="L637" s="24">
        <f>M637-K637</f>
        <v>386.5</v>
      </c>
      <c r="M637" s="24">
        <f>6200+386.5</f>
        <v>6586.5</v>
      </c>
    </row>
    <row r="638" spans="1:13" s="136" customFormat="1" ht="18" customHeight="1" x14ac:dyDescent="0.35">
      <c r="A638" s="630"/>
      <c r="B638" s="554"/>
      <c r="C638" s="159"/>
      <c r="D638" s="160"/>
      <c r="E638" s="160"/>
      <c r="F638" s="161"/>
      <c r="G638" s="162"/>
      <c r="H638" s="162"/>
      <c r="I638" s="163"/>
      <c r="J638" s="160"/>
      <c r="K638" s="135"/>
      <c r="L638" s="135"/>
      <c r="M638" s="135"/>
    </row>
    <row r="639" spans="1:13" s="116" customFormat="1" ht="52.2" customHeight="1" x14ac:dyDescent="0.3">
      <c r="A639" s="115">
        <v>6</v>
      </c>
      <c r="B639" s="580" t="s">
        <v>9</v>
      </c>
      <c r="C639" s="18" t="s">
        <v>314</v>
      </c>
      <c r="D639" s="19"/>
      <c r="E639" s="19"/>
      <c r="F639" s="20"/>
      <c r="G639" s="21"/>
      <c r="H639" s="21"/>
      <c r="I639" s="22"/>
      <c r="J639" s="19"/>
      <c r="K639" s="32">
        <f>K647+K669+K640</f>
        <v>142184</v>
      </c>
      <c r="L639" s="32">
        <f>L647+L669+L640</f>
        <v>2691.8000000000029</v>
      </c>
      <c r="M639" s="32">
        <f>M647+M669+M640</f>
        <v>144875.80000000002</v>
      </c>
    </row>
    <row r="640" spans="1:13" s="116" customFormat="1" ht="18" customHeight="1" x14ac:dyDescent="0.35">
      <c r="A640" s="115"/>
      <c r="B640" s="510" t="s">
        <v>36</v>
      </c>
      <c r="C640" s="23" t="s">
        <v>314</v>
      </c>
      <c r="D640" s="28" t="s">
        <v>37</v>
      </c>
      <c r="E640" s="19"/>
      <c r="F640" s="20"/>
      <c r="G640" s="21"/>
      <c r="H640" s="21"/>
      <c r="I640" s="22"/>
      <c r="J640" s="19"/>
      <c r="K640" s="215">
        <f>K641</f>
        <v>54.1</v>
      </c>
      <c r="L640" s="215">
        <f>L641</f>
        <v>0</v>
      </c>
      <c r="M640" s="215">
        <f>M641</f>
        <v>54.1</v>
      </c>
    </row>
    <row r="641" spans="1:13" s="116" customFormat="1" ht="18" customHeight="1" x14ac:dyDescent="0.35">
      <c r="A641" s="115"/>
      <c r="B641" s="510" t="s">
        <v>70</v>
      </c>
      <c r="C641" s="23" t="s">
        <v>314</v>
      </c>
      <c r="D641" s="28" t="s">
        <v>37</v>
      </c>
      <c r="E641" s="28" t="s">
        <v>71</v>
      </c>
      <c r="F641" s="20"/>
      <c r="G641" s="21"/>
      <c r="H641" s="21"/>
      <c r="I641" s="22"/>
      <c r="J641" s="19"/>
      <c r="K641" s="215">
        <f>K643</f>
        <v>54.1</v>
      </c>
      <c r="L641" s="215">
        <f>L643</f>
        <v>0</v>
      </c>
      <c r="M641" s="215">
        <f>M643</f>
        <v>54.1</v>
      </c>
    </row>
    <row r="642" spans="1:13" s="116" customFormat="1" ht="54" customHeight="1" x14ac:dyDescent="0.35">
      <c r="A642" s="115"/>
      <c r="B642" s="560" t="s">
        <v>213</v>
      </c>
      <c r="C642" s="23" t="s">
        <v>314</v>
      </c>
      <c r="D642" s="10" t="s">
        <v>37</v>
      </c>
      <c r="E642" s="10" t="s">
        <v>71</v>
      </c>
      <c r="F642" s="709" t="s">
        <v>63</v>
      </c>
      <c r="G642" s="710" t="s">
        <v>42</v>
      </c>
      <c r="H642" s="710" t="s">
        <v>43</v>
      </c>
      <c r="I642" s="711" t="s">
        <v>44</v>
      </c>
      <c r="J642" s="19"/>
      <c r="K642" s="215">
        <f t="shared" ref="K642:M643" si="85">K643</f>
        <v>54.1</v>
      </c>
      <c r="L642" s="215">
        <f t="shared" si="85"/>
        <v>0</v>
      </c>
      <c r="M642" s="215">
        <f t="shared" si="85"/>
        <v>54.1</v>
      </c>
    </row>
    <row r="643" spans="1:13" s="116" customFormat="1" ht="54" customHeight="1" x14ac:dyDescent="0.35">
      <c r="A643" s="115"/>
      <c r="B643" s="510" t="s">
        <v>216</v>
      </c>
      <c r="C643" s="23" t="s">
        <v>314</v>
      </c>
      <c r="D643" s="28" t="s">
        <v>37</v>
      </c>
      <c r="E643" s="28" t="s">
        <v>71</v>
      </c>
      <c r="F643" s="212" t="s">
        <v>63</v>
      </c>
      <c r="G643" s="213" t="s">
        <v>30</v>
      </c>
      <c r="H643" s="213" t="s">
        <v>43</v>
      </c>
      <c r="I643" s="214" t="s">
        <v>44</v>
      </c>
      <c r="J643" s="19"/>
      <c r="K643" s="215">
        <f t="shared" si="85"/>
        <v>54.1</v>
      </c>
      <c r="L643" s="215">
        <f t="shared" si="85"/>
        <v>0</v>
      </c>
      <c r="M643" s="215">
        <f t="shared" si="85"/>
        <v>54.1</v>
      </c>
    </row>
    <row r="644" spans="1:13" s="116" customFormat="1" ht="36" customHeight="1" x14ac:dyDescent="0.35">
      <c r="A644" s="115"/>
      <c r="B644" s="510" t="s">
        <v>351</v>
      </c>
      <c r="C644" s="23" t="s">
        <v>314</v>
      </c>
      <c r="D644" s="28" t="s">
        <v>37</v>
      </c>
      <c r="E644" s="28" t="s">
        <v>71</v>
      </c>
      <c r="F644" s="212" t="s">
        <v>63</v>
      </c>
      <c r="G644" s="213" t="s">
        <v>30</v>
      </c>
      <c r="H644" s="213" t="s">
        <v>39</v>
      </c>
      <c r="I644" s="214" t="s">
        <v>44</v>
      </c>
      <c r="J644" s="19"/>
      <c r="K644" s="215">
        <f t="shared" ref="K644:M645" si="86">K645</f>
        <v>54.1</v>
      </c>
      <c r="L644" s="215">
        <f t="shared" si="86"/>
        <v>0</v>
      </c>
      <c r="M644" s="215">
        <f t="shared" si="86"/>
        <v>54.1</v>
      </c>
    </row>
    <row r="645" spans="1:13" s="116" customFormat="1" ht="54" customHeight="1" x14ac:dyDescent="0.35">
      <c r="A645" s="115"/>
      <c r="B645" s="510" t="s">
        <v>352</v>
      </c>
      <c r="C645" s="23" t="s">
        <v>314</v>
      </c>
      <c r="D645" s="28" t="s">
        <v>37</v>
      </c>
      <c r="E645" s="28" t="s">
        <v>71</v>
      </c>
      <c r="F645" s="212" t="s">
        <v>63</v>
      </c>
      <c r="G645" s="213" t="s">
        <v>30</v>
      </c>
      <c r="H645" s="213" t="s">
        <v>39</v>
      </c>
      <c r="I645" s="214" t="s">
        <v>105</v>
      </c>
      <c r="J645" s="19"/>
      <c r="K645" s="215">
        <f t="shared" si="86"/>
        <v>54.1</v>
      </c>
      <c r="L645" s="215">
        <f t="shared" si="86"/>
        <v>0</v>
      </c>
      <c r="M645" s="215">
        <f t="shared" si="86"/>
        <v>54.1</v>
      </c>
    </row>
    <row r="646" spans="1:13" s="116" customFormat="1" ht="54" customHeight="1" x14ac:dyDescent="0.35">
      <c r="A646" s="115"/>
      <c r="B646" s="510" t="s">
        <v>55</v>
      </c>
      <c r="C646" s="23" t="s">
        <v>314</v>
      </c>
      <c r="D646" s="28" t="s">
        <v>37</v>
      </c>
      <c r="E646" s="28" t="s">
        <v>71</v>
      </c>
      <c r="F646" s="212" t="s">
        <v>63</v>
      </c>
      <c r="G646" s="213" t="s">
        <v>30</v>
      </c>
      <c r="H646" s="213" t="s">
        <v>39</v>
      </c>
      <c r="I646" s="214" t="s">
        <v>105</v>
      </c>
      <c r="J646" s="28" t="s">
        <v>56</v>
      </c>
      <c r="K646" s="215">
        <v>54.1</v>
      </c>
      <c r="L646" s="24">
        <f>M646-K646</f>
        <v>0</v>
      </c>
      <c r="M646" s="215">
        <v>54.1</v>
      </c>
    </row>
    <row r="647" spans="1:13" s="7" customFormat="1" ht="18" customHeight="1" x14ac:dyDescent="0.35">
      <c r="A647" s="11"/>
      <c r="B647" s="560" t="s">
        <v>179</v>
      </c>
      <c r="C647" s="23" t="s">
        <v>314</v>
      </c>
      <c r="D647" s="10" t="s">
        <v>224</v>
      </c>
      <c r="E647" s="10"/>
      <c r="F647" s="709"/>
      <c r="G647" s="710"/>
      <c r="H647" s="710"/>
      <c r="I647" s="711"/>
      <c r="J647" s="10"/>
      <c r="K647" s="24">
        <f>K648+K660</f>
        <v>76605.400000000009</v>
      </c>
      <c r="L647" s="24">
        <f>L648+L660</f>
        <v>836.30000000000291</v>
      </c>
      <c r="M647" s="24">
        <f>M648+M660</f>
        <v>77441.700000000012</v>
      </c>
    </row>
    <row r="648" spans="1:13" s="116" customFormat="1" ht="18" customHeight="1" x14ac:dyDescent="0.35">
      <c r="A648" s="11"/>
      <c r="B648" s="560" t="s">
        <v>349</v>
      </c>
      <c r="C648" s="23" t="s">
        <v>314</v>
      </c>
      <c r="D648" s="10" t="s">
        <v>224</v>
      </c>
      <c r="E648" s="10" t="s">
        <v>63</v>
      </c>
      <c r="F648" s="709"/>
      <c r="G648" s="710"/>
      <c r="H648" s="710"/>
      <c r="I648" s="711"/>
      <c r="J648" s="10"/>
      <c r="K648" s="24">
        <f t="shared" ref="K648:M649" si="87">K649</f>
        <v>75854.8</v>
      </c>
      <c r="L648" s="24">
        <f t="shared" si="87"/>
        <v>836.30000000000291</v>
      </c>
      <c r="M648" s="24">
        <f t="shared" si="87"/>
        <v>76691.100000000006</v>
      </c>
    </row>
    <row r="649" spans="1:13" s="116" customFormat="1" ht="54" customHeight="1" x14ac:dyDescent="0.35">
      <c r="A649" s="11"/>
      <c r="B649" s="560" t="s">
        <v>213</v>
      </c>
      <c r="C649" s="23" t="s">
        <v>314</v>
      </c>
      <c r="D649" s="10" t="s">
        <v>224</v>
      </c>
      <c r="E649" s="10" t="s">
        <v>63</v>
      </c>
      <c r="F649" s="709" t="s">
        <v>63</v>
      </c>
      <c r="G649" s="710" t="s">
        <v>42</v>
      </c>
      <c r="H649" s="710" t="s">
        <v>43</v>
      </c>
      <c r="I649" s="711" t="s">
        <v>44</v>
      </c>
      <c r="J649" s="10"/>
      <c r="K649" s="24">
        <f t="shared" si="87"/>
        <v>75854.8</v>
      </c>
      <c r="L649" s="24">
        <f t="shared" si="87"/>
        <v>836.30000000000291</v>
      </c>
      <c r="M649" s="24">
        <f t="shared" si="87"/>
        <v>76691.100000000006</v>
      </c>
    </row>
    <row r="650" spans="1:13" s="116" customFormat="1" ht="72" customHeight="1" x14ac:dyDescent="0.35">
      <c r="A650" s="11"/>
      <c r="B650" s="560" t="s">
        <v>214</v>
      </c>
      <c r="C650" s="23" t="s">
        <v>314</v>
      </c>
      <c r="D650" s="10" t="s">
        <v>224</v>
      </c>
      <c r="E650" s="10" t="s">
        <v>63</v>
      </c>
      <c r="F650" s="709" t="s">
        <v>63</v>
      </c>
      <c r="G650" s="710" t="s">
        <v>45</v>
      </c>
      <c r="H650" s="710" t="s">
        <v>43</v>
      </c>
      <c r="I650" s="711" t="s">
        <v>44</v>
      </c>
      <c r="J650" s="10"/>
      <c r="K650" s="24">
        <f>K651</f>
        <v>75854.8</v>
      </c>
      <c r="L650" s="24">
        <f>L651</f>
        <v>836.30000000000291</v>
      </c>
      <c r="M650" s="24">
        <f>M651</f>
        <v>76691.100000000006</v>
      </c>
    </row>
    <row r="651" spans="1:13" s="116" customFormat="1" ht="36" customHeight="1" x14ac:dyDescent="0.35">
      <c r="A651" s="11"/>
      <c r="B651" s="560" t="s">
        <v>276</v>
      </c>
      <c r="C651" s="23" t="s">
        <v>314</v>
      </c>
      <c r="D651" s="10" t="s">
        <v>224</v>
      </c>
      <c r="E651" s="10" t="s">
        <v>63</v>
      </c>
      <c r="F651" s="709" t="s">
        <v>63</v>
      </c>
      <c r="G651" s="710" t="s">
        <v>45</v>
      </c>
      <c r="H651" s="710" t="s">
        <v>37</v>
      </c>
      <c r="I651" s="711" t="s">
        <v>44</v>
      </c>
      <c r="J651" s="10"/>
      <c r="K651" s="24">
        <f>K652+K656+K654+K658</f>
        <v>75854.8</v>
      </c>
      <c r="L651" s="24">
        <f>L652+L656+L654+L658</f>
        <v>836.30000000000291</v>
      </c>
      <c r="M651" s="24">
        <f>M652+M656+M654+M658</f>
        <v>76691.100000000006</v>
      </c>
    </row>
    <row r="652" spans="1:13" s="116" customFormat="1" ht="36" customHeight="1" x14ac:dyDescent="0.35">
      <c r="A652" s="11"/>
      <c r="B652" s="543" t="s">
        <v>464</v>
      </c>
      <c r="C652" s="23" t="s">
        <v>314</v>
      </c>
      <c r="D652" s="10" t="s">
        <v>224</v>
      </c>
      <c r="E652" s="10" t="s">
        <v>63</v>
      </c>
      <c r="F652" s="709" t="s">
        <v>63</v>
      </c>
      <c r="G652" s="710" t="s">
        <v>45</v>
      </c>
      <c r="H652" s="710" t="s">
        <v>37</v>
      </c>
      <c r="I652" s="711" t="s">
        <v>91</v>
      </c>
      <c r="J652" s="10"/>
      <c r="K652" s="24">
        <f>K653</f>
        <v>59245.7</v>
      </c>
      <c r="L652" s="24">
        <f>L653</f>
        <v>836.30000000000291</v>
      </c>
      <c r="M652" s="24">
        <f>M653</f>
        <v>60082</v>
      </c>
    </row>
    <row r="653" spans="1:13" s="7" customFormat="1" ht="54" customHeight="1" x14ac:dyDescent="0.35">
      <c r="A653" s="11"/>
      <c r="B653" s="517" t="s">
        <v>76</v>
      </c>
      <c r="C653" s="23" t="s">
        <v>314</v>
      </c>
      <c r="D653" s="10" t="s">
        <v>224</v>
      </c>
      <c r="E653" s="10" t="s">
        <v>63</v>
      </c>
      <c r="F653" s="709" t="s">
        <v>63</v>
      </c>
      <c r="G653" s="710" t="s">
        <v>45</v>
      </c>
      <c r="H653" s="710" t="s">
        <v>37</v>
      </c>
      <c r="I653" s="711" t="s">
        <v>91</v>
      </c>
      <c r="J653" s="10" t="s">
        <v>77</v>
      </c>
      <c r="K653" s="24">
        <f>56997.1+186.2+126.9+1050.4+292.9+88+504.2</f>
        <v>59245.7</v>
      </c>
      <c r="L653" s="24">
        <f>M653-K653</f>
        <v>836.30000000000291</v>
      </c>
      <c r="M653" s="24">
        <f>56997.1+186.2+126.9+1050.4+292.9+88+504.2+836.3</f>
        <v>60082</v>
      </c>
    </row>
    <row r="654" spans="1:13" s="7" customFormat="1" ht="18" customHeight="1" x14ac:dyDescent="0.35">
      <c r="A654" s="11"/>
      <c r="B654" s="517" t="s">
        <v>465</v>
      </c>
      <c r="C654" s="23" t="s">
        <v>314</v>
      </c>
      <c r="D654" s="10" t="s">
        <v>224</v>
      </c>
      <c r="E654" s="10" t="s">
        <v>63</v>
      </c>
      <c r="F654" s="709" t="s">
        <v>63</v>
      </c>
      <c r="G654" s="710" t="s">
        <v>45</v>
      </c>
      <c r="H654" s="710" t="s">
        <v>37</v>
      </c>
      <c r="I654" s="711" t="s">
        <v>380</v>
      </c>
      <c r="J654" s="10"/>
      <c r="K654" s="24">
        <f>K655</f>
        <v>6735</v>
      </c>
      <c r="L654" s="24">
        <f>L655</f>
        <v>-387.19999999999982</v>
      </c>
      <c r="M654" s="24">
        <f>M655</f>
        <v>6347.8</v>
      </c>
    </row>
    <row r="655" spans="1:13" s="7" customFormat="1" ht="54" customHeight="1" x14ac:dyDescent="0.35">
      <c r="A655" s="11"/>
      <c r="B655" s="517" t="s">
        <v>76</v>
      </c>
      <c r="C655" s="23" t="s">
        <v>314</v>
      </c>
      <c r="D655" s="10" t="s">
        <v>224</v>
      </c>
      <c r="E655" s="10" t="s">
        <v>63</v>
      </c>
      <c r="F655" s="709" t="s">
        <v>63</v>
      </c>
      <c r="G655" s="710" t="s">
        <v>45</v>
      </c>
      <c r="H655" s="710" t="s">
        <v>37</v>
      </c>
      <c r="I655" s="711" t="s">
        <v>380</v>
      </c>
      <c r="J655" s="10" t="s">
        <v>77</v>
      </c>
      <c r="K655" s="24">
        <f>3380.6+28.4+2046.7+127.1-318.5+1470.7</f>
        <v>6735</v>
      </c>
      <c r="L655" s="24">
        <f>M655-K655</f>
        <v>-387.19999999999982</v>
      </c>
      <c r="M655" s="24">
        <f>3380.6+28.4+2046.7+127.1-318.5+1470.7-119-147-121.2</f>
        <v>6347.8</v>
      </c>
    </row>
    <row r="656" spans="1:13" s="7" customFormat="1" ht="36" customHeight="1" x14ac:dyDescent="0.35">
      <c r="A656" s="11"/>
      <c r="B656" s="517" t="s">
        <v>315</v>
      </c>
      <c r="C656" s="23" t="s">
        <v>314</v>
      </c>
      <c r="D656" s="10" t="s">
        <v>224</v>
      </c>
      <c r="E656" s="10" t="s">
        <v>63</v>
      </c>
      <c r="F656" s="709" t="s">
        <v>63</v>
      </c>
      <c r="G656" s="710" t="s">
        <v>45</v>
      </c>
      <c r="H656" s="710" t="s">
        <v>37</v>
      </c>
      <c r="I656" s="711" t="s">
        <v>316</v>
      </c>
      <c r="J656" s="10"/>
      <c r="K656" s="24">
        <f>K657</f>
        <v>6579.5</v>
      </c>
      <c r="L656" s="24">
        <f>L657</f>
        <v>387.19999999999982</v>
      </c>
      <c r="M656" s="24">
        <f>M657</f>
        <v>6966.7</v>
      </c>
    </row>
    <row r="657" spans="1:13" s="7" customFormat="1" ht="54" customHeight="1" x14ac:dyDescent="0.35">
      <c r="A657" s="11"/>
      <c r="B657" s="517" t="s">
        <v>76</v>
      </c>
      <c r="C657" s="23" t="s">
        <v>314</v>
      </c>
      <c r="D657" s="10" t="s">
        <v>224</v>
      </c>
      <c r="E657" s="10" t="s">
        <v>63</v>
      </c>
      <c r="F657" s="709" t="s">
        <v>63</v>
      </c>
      <c r="G657" s="710" t="s">
        <v>45</v>
      </c>
      <c r="H657" s="710" t="s">
        <v>37</v>
      </c>
      <c r="I657" s="711" t="s">
        <v>316</v>
      </c>
      <c r="J657" s="10" t="s">
        <v>77</v>
      </c>
      <c r="K657" s="24">
        <f>5517+600+12.6+131.4+318.5</f>
        <v>6579.5</v>
      </c>
      <c r="L657" s="24">
        <f>M657-K657</f>
        <v>387.19999999999982</v>
      </c>
      <c r="M657" s="24">
        <f>5517+600+12.6+131.4+318.5+55.9+63.1+147+55.8+65.4</f>
        <v>6966.7</v>
      </c>
    </row>
    <row r="658" spans="1:13" s="7" customFormat="1" ht="54" customHeight="1" x14ac:dyDescent="0.35">
      <c r="A658" s="11"/>
      <c r="B658" s="593" t="s">
        <v>695</v>
      </c>
      <c r="C658" s="23" t="s">
        <v>314</v>
      </c>
      <c r="D658" s="10" t="s">
        <v>224</v>
      </c>
      <c r="E658" s="10" t="s">
        <v>63</v>
      </c>
      <c r="F658" s="709" t="s">
        <v>63</v>
      </c>
      <c r="G658" s="710" t="s">
        <v>45</v>
      </c>
      <c r="H658" s="710" t="s">
        <v>37</v>
      </c>
      <c r="I658" s="711" t="s">
        <v>694</v>
      </c>
      <c r="J658" s="10"/>
      <c r="K658" s="24">
        <f>K659</f>
        <v>3294.6</v>
      </c>
      <c r="L658" s="24">
        <f>L659</f>
        <v>0</v>
      </c>
      <c r="M658" s="24">
        <f>M659</f>
        <v>3294.6</v>
      </c>
    </row>
    <row r="659" spans="1:13" s="7" customFormat="1" ht="54" customHeight="1" x14ac:dyDescent="0.35">
      <c r="A659" s="11"/>
      <c r="B659" s="517" t="s">
        <v>76</v>
      </c>
      <c r="C659" s="23" t="s">
        <v>314</v>
      </c>
      <c r="D659" s="10" t="s">
        <v>224</v>
      </c>
      <c r="E659" s="10" t="s">
        <v>63</v>
      </c>
      <c r="F659" s="709" t="s">
        <v>63</v>
      </c>
      <c r="G659" s="710" t="s">
        <v>45</v>
      </c>
      <c r="H659" s="710" t="s">
        <v>37</v>
      </c>
      <c r="I659" s="711" t="s">
        <v>694</v>
      </c>
      <c r="J659" s="10" t="s">
        <v>77</v>
      </c>
      <c r="K659" s="24">
        <f>750+2544.6</f>
        <v>3294.6</v>
      </c>
      <c r="L659" s="24">
        <f>M659-K659</f>
        <v>0</v>
      </c>
      <c r="M659" s="24">
        <f>750+2544.6</f>
        <v>3294.6</v>
      </c>
    </row>
    <row r="660" spans="1:13" s="7" customFormat="1" ht="18" customHeight="1" x14ac:dyDescent="0.35">
      <c r="A660" s="11"/>
      <c r="B660" s="510" t="s">
        <v>186</v>
      </c>
      <c r="C660" s="23" t="s">
        <v>314</v>
      </c>
      <c r="D660" s="10" t="s">
        <v>224</v>
      </c>
      <c r="E660" s="10" t="s">
        <v>79</v>
      </c>
      <c r="F660" s="709"/>
      <c r="G660" s="710"/>
      <c r="H660" s="710"/>
      <c r="I660" s="711"/>
      <c r="J660" s="10"/>
      <c r="K660" s="24">
        <f t="shared" ref="K660:M664" si="88">K661</f>
        <v>750.6</v>
      </c>
      <c r="L660" s="24">
        <f t="shared" si="88"/>
        <v>0</v>
      </c>
      <c r="M660" s="24">
        <f t="shared" si="88"/>
        <v>750.6</v>
      </c>
    </row>
    <row r="661" spans="1:13" s="7" customFormat="1" ht="54" customHeight="1" x14ac:dyDescent="0.35">
      <c r="A661" s="11"/>
      <c r="B661" s="560" t="s">
        <v>213</v>
      </c>
      <c r="C661" s="23" t="s">
        <v>314</v>
      </c>
      <c r="D661" s="10" t="s">
        <v>224</v>
      </c>
      <c r="E661" s="10" t="s">
        <v>79</v>
      </c>
      <c r="F661" s="709" t="s">
        <v>63</v>
      </c>
      <c r="G661" s="710" t="s">
        <v>42</v>
      </c>
      <c r="H661" s="710" t="s">
        <v>43</v>
      </c>
      <c r="I661" s="711" t="s">
        <v>44</v>
      </c>
      <c r="J661" s="10"/>
      <c r="K661" s="24">
        <f t="shared" si="88"/>
        <v>750.6</v>
      </c>
      <c r="L661" s="24">
        <f t="shared" si="88"/>
        <v>0</v>
      </c>
      <c r="M661" s="24">
        <f t="shared" si="88"/>
        <v>750.6</v>
      </c>
    </row>
    <row r="662" spans="1:13" s="7" customFormat="1" ht="72" customHeight="1" x14ac:dyDescent="0.35">
      <c r="A662" s="11"/>
      <c r="B662" s="560" t="s">
        <v>214</v>
      </c>
      <c r="C662" s="23" t="s">
        <v>314</v>
      </c>
      <c r="D662" s="10" t="s">
        <v>224</v>
      </c>
      <c r="E662" s="10" t="s">
        <v>79</v>
      </c>
      <c r="F662" s="709" t="s">
        <v>63</v>
      </c>
      <c r="G662" s="710" t="s">
        <v>45</v>
      </c>
      <c r="H662" s="710" t="s">
        <v>43</v>
      </c>
      <c r="I662" s="711" t="s">
        <v>44</v>
      </c>
      <c r="J662" s="10"/>
      <c r="K662" s="24">
        <f>K663+K666</f>
        <v>750.6</v>
      </c>
      <c r="L662" s="24">
        <f>L663+L666</f>
        <v>0</v>
      </c>
      <c r="M662" s="24">
        <f>M663+M666</f>
        <v>750.6</v>
      </c>
    </row>
    <row r="663" spans="1:13" s="7" customFormat="1" ht="18" customHeight="1" x14ac:dyDescent="0.35">
      <c r="A663" s="11"/>
      <c r="B663" s="517" t="s">
        <v>277</v>
      </c>
      <c r="C663" s="23" t="s">
        <v>314</v>
      </c>
      <c r="D663" s="10" t="s">
        <v>224</v>
      </c>
      <c r="E663" s="10" t="s">
        <v>79</v>
      </c>
      <c r="F663" s="709" t="s">
        <v>63</v>
      </c>
      <c r="G663" s="710" t="s">
        <v>45</v>
      </c>
      <c r="H663" s="710" t="s">
        <v>39</v>
      </c>
      <c r="I663" s="711" t="s">
        <v>44</v>
      </c>
      <c r="J663" s="10"/>
      <c r="K663" s="24">
        <f t="shared" si="88"/>
        <v>450</v>
      </c>
      <c r="L663" s="24">
        <f t="shared" si="88"/>
        <v>0</v>
      </c>
      <c r="M663" s="24">
        <f t="shared" si="88"/>
        <v>450</v>
      </c>
    </row>
    <row r="664" spans="1:13" s="7" customFormat="1" ht="36" customHeight="1" x14ac:dyDescent="0.35">
      <c r="A664" s="11"/>
      <c r="B664" s="517" t="s">
        <v>211</v>
      </c>
      <c r="C664" s="23" t="s">
        <v>314</v>
      </c>
      <c r="D664" s="10" t="s">
        <v>224</v>
      </c>
      <c r="E664" s="10" t="s">
        <v>79</v>
      </c>
      <c r="F664" s="709" t="s">
        <v>63</v>
      </c>
      <c r="G664" s="710" t="s">
        <v>45</v>
      </c>
      <c r="H664" s="710" t="s">
        <v>39</v>
      </c>
      <c r="I664" s="711" t="s">
        <v>279</v>
      </c>
      <c r="J664" s="10"/>
      <c r="K664" s="24">
        <f t="shared" si="88"/>
        <v>450</v>
      </c>
      <c r="L664" s="24">
        <f t="shared" si="88"/>
        <v>0</v>
      </c>
      <c r="M664" s="24">
        <f t="shared" si="88"/>
        <v>450</v>
      </c>
    </row>
    <row r="665" spans="1:13" s="7" customFormat="1" ht="36" customHeight="1" x14ac:dyDescent="0.35">
      <c r="A665" s="11"/>
      <c r="B665" s="517" t="s">
        <v>120</v>
      </c>
      <c r="C665" s="23" t="s">
        <v>314</v>
      </c>
      <c r="D665" s="10" t="s">
        <v>224</v>
      </c>
      <c r="E665" s="10" t="s">
        <v>79</v>
      </c>
      <c r="F665" s="709" t="s">
        <v>63</v>
      </c>
      <c r="G665" s="710" t="s">
        <v>45</v>
      </c>
      <c r="H665" s="710" t="s">
        <v>39</v>
      </c>
      <c r="I665" s="711" t="s">
        <v>279</v>
      </c>
      <c r="J665" s="10" t="s">
        <v>121</v>
      </c>
      <c r="K665" s="24">
        <f>375+75</f>
        <v>450</v>
      </c>
      <c r="L665" s="24">
        <f>M665-K665</f>
        <v>0</v>
      </c>
      <c r="M665" s="24">
        <f>375+75</f>
        <v>450</v>
      </c>
    </row>
    <row r="666" spans="1:13" s="7" customFormat="1" ht="54" customHeight="1" x14ac:dyDescent="0.35">
      <c r="A666" s="11"/>
      <c r="B666" s="517" t="s">
        <v>281</v>
      </c>
      <c r="C666" s="23" t="s">
        <v>314</v>
      </c>
      <c r="D666" s="10" t="s">
        <v>224</v>
      </c>
      <c r="E666" s="10" t="s">
        <v>79</v>
      </c>
      <c r="F666" s="709" t="s">
        <v>63</v>
      </c>
      <c r="G666" s="710" t="s">
        <v>45</v>
      </c>
      <c r="H666" s="710" t="s">
        <v>65</v>
      </c>
      <c r="I666" s="711" t="s">
        <v>44</v>
      </c>
      <c r="J666" s="10"/>
      <c r="K666" s="24">
        <f t="shared" ref="K666:M667" si="89">K667</f>
        <v>300.60000000000002</v>
      </c>
      <c r="L666" s="24">
        <f t="shared" si="89"/>
        <v>0</v>
      </c>
      <c r="M666" s="24">
        <f t="shared" si="89"/>
        <v>300.60000000000002</v>
      </c>
    </row>
    <row r="667" spans="1:13" s="7" customFormat="1" ht="36" customHeight="1" x14ac:dyDescent="0.35">
      <c r="A667" s="11"/>
      <c r="B667" s="517" t="s">
        <v>470</v>
      </c>
      <c r="C667" s="23" t="s">
        <v>314</v>
      </c>
      <c r="D667" s="10" t="s">
        <v>224</v>
      </c>
      <c r="E667" s="10" t="s">
        <v>79</v>
      </c>
      <c r="F667" s="709" t="s">
        <v>63</v>
      </c>
      <c r="G667" s="710" t="s">
        <v>45</v>
      </c>
      <c r="H667" s="710" t="s">
        <v>65</v>
      </c>
      <c r="I667" s="711" t="s">
        <v>469</v>
      </c>
      <c r="J667" s="10"/>
      <c r="K667" s="24">
        <f t="shared" si="89"/>
        <v>300.60000000000002</v>
      </c>
      <c r="L667" s="24">
        <f t="shared" si="89"/>
        <v>0</v>
      </c>
      <c r="M667" s="24">
        <f t="shared" si="89"/>
        <v>300.60000000000002</v>
      </c>
    </row>
    <row r="668" spans="1:13" s="7" customFormat="1" ht="54" customHeight="1" x14ac:dyDescent="0.35">
      <c r="A668" s="11"/>
      <c r="B668" s="517" t="s">
        <v>76</v>
      </c>
      <c r="C668" s="23" t="s">
        <v>314</v>
      </c>
      <c r="D668" s="10" t="s">
        <v>224</v>
      </c>
      <c r="E668" s="10" t="s">
        <v>79</v>
      </c>
      <c r="F668" s="709" t="s">
        <v>63</v>
      </c>
      <c r="G668" s="710" t="s">
        <v>45</v>
      </c>
      <c r="H668" s="710" t="s">
        <v>65</v>
      </c>
      <c r="I668" s="711" t="s">
        <v>469</v>
      </c>
      <c r="J668" s="10" t="s">
        <v>77</v>
      </c>
      <c r="K668" s="24">
        <v>300.60000000000002</v>
      </c>
      <c r="L668" s="24">
        <f>M668-K668</f>
        <v>0</v>
      </c>
      <c r="M668" s="24">
        <v>300.60000000000002</v>
      </c>
    </row>
    <row r="669" spans="1:13" s="7" customFormat="1" ht="18" customHeight="1" x14ac:dyDescent="0.35">
      <c r="A669" s="11"/>
      <c r="B669" s="510" t="s">
        <v>188</v>
      </c>
      <c r="C669" s="23" t="s">
        <v>314</v>
      </c>
      <c r="D669" s="10" t="s">
        <v>226</v>
      </c>
      <c r="E669" s="10"/>
      <c r="F669" s="709"/>
      <c r="G669" s="710"/>
      <c r="H669" s="710"/>
      <c r="I669" s="711"/>
      <c r="J669" s="10"/>
      <c r="K669" s="24">
        <f>K670+K704</f>
        <v>65524.499999999993</v>
      </c>
      <c r="L669" s="24">
        <f>L670+L704</f>
        <v>1855.5</v>
      </c>
      <c r="M669" s="24">
        <f>M670+M704</f>
        <v>67380</v>
      </c>
    </row>
    <row r="670" spans="1:13" s="7" customFormat="1" ht="18" customHeight="1" x14ac:dyDescent="0.35">
      <c r="A670" s="11"/>
      <c r="B670" s="510" t="s">
        <v>190</v>
      </c>
      <c r="C670" s="23" t="s">
        <v>314</v>
      </c>
      <c r="D670" s="10" t="s">
        <v>226</v>
      </c>
      <c r="E670" s="10" t="s">
        <v>37</v>
      </c>
      <c r="F670" s="709"/>
      <c r="G670" s="710"/>
      <c r="H670" s="710"/>
      <c r="I670" s="711"/>
      <c r="J670" s="10"/>
      <c r="K670" s="24">
        <f>K671</f>
        <v>53329.499999999993</v>
      </c>
      <c r="L670" s="24">
        <f>L671</f>
        <v>1628.5</v>
      </c>
      <c r="M670" s="24">
        <f>M671</f>
        <v>54957.999999999993</v>
      </c>
    </row>
    <row r="671" spans="1:13" s="7" customFormat="1" ht="54" customHeight="1" x14ac:dyDescent="0.35">
      <c r="A671" s="11"/>
      <c r="B671" s="560" t="s">
        <v>213</v>
      </c>
      <c r="C671" s="23" t="s">
        <v>314</v>
      </c>
      <c r="D671" s="10" t="s">
        <v>226</v>
      </c>
      <c r="E671" s="10" t="s">
        <v>37</v>
      </c>
      <c r="F671" s="709" t="s">
        <v>63</v>
      </c>
      <c r="G671" s="710" t="s">
        <v>42</v>
      </c>
      <c r="H671" s="710" t="s">
        <v>43</v>
      </c>
      <c r="I671" s="711" t="s">
        <v>44</v>
      </c>
      <c r="J671" s="10"/>
      <c r="K671" s="24">
        <f>K672+K697</f>
        <v>53329.499999999993</v>
      </c>
      <c r="L671" s="24">
        <f>L672+L697</f>
        <v>1628.5</v>
      </c>
      <c r="M671" s="24">
        <f>M672+M697</f>
        <v>54957.999999999993</v>
      </c>
    </row>
    <row r="672" spans="1:13" s="7" customFormat="1" ht="72" customHeight="1" x14ac:dyDescent="0.35">
      <c r="A672" s="11"/>
      <c r="B672" s="560" t="s">
        <v>214</v>
      </c>
      <c r="C672" s="23" t="s">
        <v>314</v>
      </c>
      <c r="D672" s="10" t="s">
        <v>226</v>
      </c>
      <c r="E672" s="10" t="s">
        <v>37</v>
      </c>
      <c r="F672" s="27" t="s">
        <v>63</v>
      </c>
      <c r="G672" s="93" t="s">
        <v>45</v>
      </c>
      <c r="H672" s="93" t="s">
        <v>43</v>
      </c>
      <c r="I672" s="94" t="s">
        <v>44</v>
      </c>
      <c r="J672" s="95"/>
      <c r="K672" s="24">
        <f>K673+K686</f>
        <v>51239.299999999996</v>
      </c>
      <c r="L672" s="24">
        <f>L673+L686</f>
        <v>1855.5</v>
      </c>
      <c r="M672" s="24">
        <f>M673+M686</f>
        <v>53094.799999999996</v>
      </c>
    </row>
    <row r="673" spans="1:13" s="7" customFormat="1" ht="18" customHeight="1" x14ac:dyDescent="0.35">
      <c r="A673" s="11"/>
      <c r="B673" s="510" t="s">
        <v>317</v>
      </c>
      <c r="C673" s="23" t="s">
        <v>314</v>
      </c>
      <c r="D673" s="10" t="s">
        <v>226</v>
      </c>
      <c r="E673" s="10" t="s">
        <v>37</v>
      </c>
      <c r="F673" s="27" t="s">
        <v>63</v>
      </c>
      <c r="G673" s="93" t="s">
        <v>45</v>
      </c>
      <c r="H673" s="93" t="s">
        <v>63</v>
      </c>
      <c r="I673" s="94" t="s">
        <v>44</v>
      </c>
      <c r="J673" s="95"/>
      <c r="K673" s="24">
        <f>K674+K676+K678+K680+K684+K682</f>
        <v>15622.6</v>
      </c>
      <c r="L673" s="24">
        <f>L674+L676+L678+L680+L684+L682</f>
        <v>-7.6000000000003638</v>
      </c>
      <c r="M673" s="24">
        <f>M674+M676+M678+M680+M684+M682</f>
        <v>15615</v>
      </c>
    </row>
    <row r="674" spans="1:13" s="7" customFormat="1" ht="36" customHeight="1" x14ac:dyDescent="0.35">
      <c r="A674" s="11"/>
      <c r="B674" s="543" t="s">
        <v>464</v>
      </c>
      <c r="C674" s="23" t="s">
        <v>314</v>
      </c>
      <c r="D674" s="10" t="s">
        <v>226</v>
      </c>
      <c r="E674" s="10" t="s">
        <v>37</v>
      </c>
      <c r="F674" s="27" t="s">
        <v>63</v>
      </c>
      <c r="G674" s="93" t="s">
        <v>45</v>
      </c>
      <c r="H674" s="93" t="s">
        <v>63</v>
      </c>
      <c r="I674" s="94" t="s">
        <v>91</v>
      </c>
      <c r="J674" s="95"/>
      <c r="K674" s="24">
        <f>K675</f>
        <v>13192.500000000002</v>
      </c>
      <c r="L674" s="24">
        <f>L675</f>
        <v>-7.6000000000003638</v>
      </c>
      <c r="M674" s="24">
        <f>M675</f>
        <v>13184.900000000001</v>
      </c>
    </row>
    <row r="675" spans="1:13" s="7" customFormat="1" ht="54" customHeight="1" x14ac:dyDescent="0.35">
      <c r="A675" s="11"/>
      <c r="B675" s="517" t="s">
        <v>76</v>
      </c>
      <c r="C675" s="23" t="s">
        <v>314</v>
      </c>
      <c r="D675" s="10" t="s">
        <v>226</v>
      </c>
      <c r="E675" s="10" t="s">
        <v>37</v>
      </c>
      <c r="F675" s="709" t="s">
        <v>63</v>
      </c>
      <c r="G675" s="710" t="s">
        <v>45</v>
      </c>
      <c r="H675" s="710" t="s">
        <v>63</v>
      </c>
      <c r="I675" s="711" t="s">
        <v>91</v>
      </c>
      <c r="J675" s="10" t="s">
        <v>77</v>
      </c>
      <c r="K675" s="24">
        <f>12748.6+78.6+28+84.6+285.5+77.6+81.1-191.5</f>
        <v>13192.500000000002</v>
      </c>
      <c r="L675" s="24">
        <f>M675-K675</f>
        <v>-7.6000000000003638</v>
      </c>
      <c r="M675" s="24">
        <f>12748.6+78.6+28+84.6+285.5+77.6+81.1-191.5-7.6</f>
        <v>13184.900000000001</v>
      </c>
    </row>
    <row r="676" spans="1:13" s="7" customFormat="1" ht="18" customHeight="1" x14ac:dyDescent="0.35">
      <c r="A676" s="11"/>
      <c r="B676" s="516" t="s">
        <v>465</v>
      </c>
      <c r="C676" s="23" t="s">
        <v>314</v>
      </c>
      <c r="D676" s="10" t="s">
        <v>226</v>
      </c>
      <c r="E676" s="10" t="s">
        <v>37</v>
      </c>
      <c r="F676" s="709" t="s">
        <v>63</v>
      </c>
      <c r="G676" s="710" t="s">
        <v>45</v>
      </c>
      <c r="H676" s="710" t="s">
        <v>63</v>
      </c>
      <c r="I676" s="711" t="s">
        <v>380</v>
      </c>
      <c r="J676" s="10"/>
      <c r="K676" s="24">
        <f>K677</f>
        <v>396.3</v>
      </c>
      <c r="L676" s="24">
        <f>L677</f>
        <v>0</v>
      </c>
      <c r="M676" s="24">
        <f>M677</f>
        <v>396.3</v>
      </c>
    </row>
    <row r="677" spans="1:13" s="7" customFormat="1" ht="54" customHeight="1" x14ac:dyDescent="0.35">
      <c r="A677" s="11"/>
      <c r="B677" s="517" t="s">
        <v>76</v>
      </c>
      <c r="C677" s="23" t="s">
        <v>314</v>
      </c>
      <c r="D677" s="10" t="s">
        <v>226</v>
      </c>
      <c r="E677" s="10" t="s">
        <v>37</v>
      </c>
      <c r="F677" s="709" t="s">
        <v>63</v>
      </c>
      <c r="G677" s="710" t="s">
        <v>45</v>
      </c>
      <c r="H677" s="710" t="s">
        <v>63</v>
      </c>
      <c r="I677" s="711" t="s">
        <v>380</v>
      </c>
      <c r="J677" s="10" t="s">
        <v>77</v>
      </c>
      <c r="K677" s="24">
        <f>335+61.3</f>
        <v>396.3</v>
      </c>
      <c r="L677" s="24">
        <f>M677-K677</f>
        <v>0</v>
      </c>
      <c r="M677" s="24">
        <f>335+61.3</f>
        <v>396.3</v>
      </c>
    </row>
    <row r="678" spans="1:13" s="7" customFormat="1" ht="36" customHeight="1" x14ac:dyDescent="0.35">
      <c r="A678" s="11"/>
      <c r="B678" s="517" t="s">
        <v>315</v>
      </c>
      <c r="C678" s="23" t="s">
        <v>314</v>
      </c>
      <c r="D678" s="10" t="s">
        <v>226</v>
      </c>
      <c r="E678" s="10" t="s">
        <v>37</v>
      </c>
      <c r="F678" s="27" t="s">
        <v>63</v>
      </c>
      <c r="G678" s="93" t="s">
        <v>45</v>
      </c>
      <c r="H678" s="93" t="s">
        <v>63</v>
      </c>
      <c r="I678" s="94" t="s">
        <v>316</v>
      </c>
      <c r="J678" s="95"/>
      <c r="K678" s="24">
        <f>K679</f>
        <v>476.59999999999997</v>
      </c>
      <c r="L678" s="24">
        <f>L679</f>
        <v>0</v>
      </c>
      <c r="M678" s="24">
        <f>M679</f>
        <v>476.59999999999997</v>
      </c>
    </row>
    <row r="679" spans="1:13" s="7" customFormat="1" ht="54" customHeight="1" x14ac:dyDescent="0.35">
      <c r="A679" s="11"/>
      <c r="B679" s="517" t="s">
        <v>76</v>
      </c>
      <c r="C679" s="23" t="s">
        <v>314</v>
      </c>
      <c r="D679" s="10" t="s">
        <v>226</v>
      </c>
      <c r="E679" s="10" t="s">
        <v>37</v>
      </c>
      <c r="F679" s="27" t="s">
        <v>63</v>
      </c>
      <c r="G679" s="93" t="s">
        <v>45</v>
      </c>
      <c r="H679" s="93" t="s">
        <v>63</v>
      </c>
      <c r="I679" s="94" t="s">
        <v>316</v>
      </c>
      <c r="J679" s="95" t="s">
        <v>77</v>
      </c>
      <c r="K679" s="24">
        <f>162.2+314.4</f>
        <v>476.59999999999997</v>
      </c>
      <c r="L679" s="24">
        <f>M679-K679</f>
        <v>0</v>
      </c>
      <c r="M679" s="24">
        <f>162.2+314.4</f>
        <v>476.59999999999997</v>
      </c>
    </row>
    <row r="680" spans="1:13" s="7" customFormat="1" ht="54" customHeight="1" x14ac:dyDescent="0.35">
      <c r="A680" s="11"/>
      <c r="B680" s="517" t="s">
        <v>215</v>
      </c>
      <c r="C680" s="23" t="s">
        <v>314</v>
      </c>
      <c r="D680" s="10" t="s">
        <v>226</v>
      </c>
      <c r="E680" s="10" t="s">
        <v>37</v>
      </c>
      <c r="F680" s="709" t="s">
        <v>63</v>
      </c>
      <c r="G680" s="710" t="s">
        <v>45</v>
      </c>
      <c r="H680" s="710" t="s">
        <v>63</v>
      </c>
      <c r="I680" s="711" t="s">
        <v>318</v>
      </c>
      <c r="J680" s="10"/>
      <c r="K680" s="24">
        <f>K681</f>
        <v>512</v>
      </c>
      <c r="L680" s="24">
        <f>L681</f>
        <v>0</v>
      </c>
      <c r="M680" s="24">
        <f>M681</f>
        <v>512</v>
      </c>
    </row>
    <row r="681" spans="1:13" s="7" customFormat="1" ht="54" customHeight="1" x14ac:dyDescent="0.35">
      <c r="A681" s="11"/>
      <c r="B681" s="517" t="s">
        <v>76</v>
      </c>
      <c r="C681" s="23" t="s">
        <v>314</v>
      </c>
      <c r="D681" s="10" t="s">
        <v>226</v>
      </c>
      <c r="E681" s="10" t="s">
        <v>37</v>
      </c>
      <c r="F681" s="709" t="s">
        <v>63</v>
      </c>
      <c r="G681" s="710" t="s">
        <v>45</v>
      </c>
      <c r="H681" s="710" t="s">
        <v>63</v>
      </c>
      <c r="I681" s="711" t="s">
        <v>318</v>
      </c>
      <c r="J681" s="10" t="s">
        <v>77</v>
      </c>
      <c r="K681" s="24">
        <v>512</v>
      </c>
      <c r="L681" s="24">
        <f>M681-K681</f>
        <v>0</v>
      </c>
      <c r="M681" s="24">
        <v>512</v>
      </c>
    </row>
    <row r="682" spans="1:13" s="7" customFormat="1" ht="54" customHeight="1" x14ac:dyDescent="0.35">
      <c r="A682" s="11"/>
      <c r="B682" s="593" t="s">
        <v>695</v>
      </c>
      <c r="C682" s="23" t="s">
        <v>314</v>
      </c>
      <c r="D682" s="10" t="s">
        <v>226</v>
      </c>
      <c r="E682" s="10" t="s">
        <v>37</v>
      </c>
      <c r="F682" s="709" t="s">
        <v>63</v>
      </c>
      <c r="G682" s="710" t="s">
        <v>45</v>
      </c>
      <c r="H682" s="710" t="s">
        <v>63</v>
      </c>
      <c r="I682" s="711" t="s">
        <v>694</v>
      </c>
      <c r="J682" s="10"/>
      <c r="K682" s="24">
        <f>K683</f>
        <v>493.8</v>
      </c>
      <c r="L682" s="24">
        <f>L683</f>
        <v>0</v>
      </c>
      <c r="M682" s="24">
        <f>M683</f>
        <v>493.8</v>
      </c>
    </row>
    <row r="683" spans="1:13" s="7" customFormat="1" ht="54" customHeight="1" x14ac:dyDescent="0.35">
      <c r="A683" s="11"/>
      <c r="B683" s="517" t="s">
        <v>76</v>
      </c>
      <c r="C683" s="23" t="s">
        <v>314</v>
      </c>
      <c r="D683" s="10" t="s">
        <v>226</v>
      </c>
      <c r="E683" s="10" t="s">
        <v>37</v>
      </c>
      <c r="F683" s="709" t="s">
        <v>63</v>
      </c>
      <c r="G683" s="710" t="s">
        <v>45</v>
      </c>
      <c r="H683" s="710" t="s">
        <v>63</v>
      </c>
      <c r="I683" s="711" t="s">
        <v>694</v>
      </c>
      <c r="J683" s="10" t="s">
        <v>77</v>
      </c>
      <c r="K683" s="24">
        <v>493.8</v>
      </c>
      <c r="L683" s="24">
        <f>M683-K683</f>
        <v>0</v>
      </c>
      <c r="M683" s="24">
        <v>493.8</v>
      </c>
    </row>
    <row r="684" spans="1:13" s="7" customFormat="1" ht="18" customHeight="1" x14ac:dyDescent="0.35">
      <c r="A684" s="11"/>
      <c r="B684" s="517" t="s">
        <v>568</v>
      </c>
      <c r="C684" s="23" t="s">
        <v>314</v>
      </c>
      <c r="D684" s="10" t="s">
        <v>226</v>
      </c>
      <c r="E684" s="10" t="s">
        <v>37</v>
      </c>
      <c r="F684" s="709" t="s">
        <v>63</v>
      </c>
      <c r="G684" s="710" t="s">
        <v>45</v>
      </c>
      <c r="H684" s="710" t="s">
        <v>63</v>
      </c>
      <c r="I684" s="711" t="s">
        <v>567</v>
      </c>
      <c r="J684" s="10"/>
      <c r="K684" s="24">
        <f>K685</f>
        <v>551.4</v>
      </c>
      <c r="L684" s="24">
        <f>L685</f>
        <v>0</v>
      </c>
      <c r="M684" s="24">
        <f>M685</f>
        <v>551.4</v>
      </c>
    </row>
    <row r="685" spans="1:13" s="7" customFormat="1" ht="54" customHeight="1" x14ac:dyDescent="0.35">
      <c r="A685" s="11"/>
      <c r="B685" s="517" t="s">
        <v>76</v>
      </c>
      <c r="C685" s="23" t="s">
        <v>314</v>
      </c>
      <c r="D685" s="10" t="s">
        <v>226</v>
      </c>
      <c r="E685" s="10" t="s">
        <v>37</v>
      </c>
      <c r="F685" s="709" t="s">
        <v>63</v>
      </c>
      <c r="G685" s="710" t="s">
        <v>45</v>
      </c>
      <c r="H685" s="710" t="s">
        <v>63</v>
      </c>
      <c r="I685" s="711" t="s">
        <v>567</v>
      </c>
      <c r="J685" s="10" t="s">
        <v>77</v>
      </c>
      <c r="K685" s="24">
        <f>496.2+55.2</f>
        <v>551.4</v>
      </c>
      <c r="L685" s="24">
        <f>M685-K685</f>
        <v>0</v>
      </c>
      <c r="M685" s="24">
        <f>496.2+55.2</f>
        <v>551.4</v>
      </c>
    </row>
    <row r="686" spans="1:13" s="7" customFormat="1" ht="36" customHeight="1" x14ac:dyDescent="0.35">
      <c r="A686" s="11"/>
      <c r="B686" s="517" t="s">
        <v>319</v>
      </c>
      <c r="C686" s="23" t="s">
        <v>314</v>
      </c>
      <c r="D686" s="10" t="s">
        <v>226</v>
      </c>
      <c r="E686" s="10" t="s">
        <v>37</v>
      </c>
      <c r="F686" s="27" t="s">
        <v>63</v>
      </c>
      <c r="G686" s="93" t="s">
        <v>45</v>
      </c>
      <c r="H686" s="93" t="s">
        <v>52</v>
      </c>
      <c r="I686" s="711" t="s">
        <v>44</v>
      </c>
      <c r="J686" s="10"/>
      <c r="K686" s="24">
        <f>K687+K691+K695+K693</f>
        <v>35616.699999999997</v>
      </c>
      <c r="L686" s="24">
        <f>L687+L691+L695+L693</f>
        <v>1863.1000000000004</v>
      </c>
      <c r="M686" s="24">
        <f>M687+M691+M695+M693</f>
        <v>37479.799999999996</v>
      </c>
    </row>
    <row r="687" spans="1:13" s="7" customFormat="1" ht="36" customHeight="1" x14ac:dyDescent="0.35">
      <c r="A687" s="11"/>
      <c r="B687" s="543" t="s">
        <v>464</v>
      </c>
      <c r="C687" s="23" t="s">
        <v>314</v>
      </c>
      <c r="D687" s="10" t="s">
        <v>226</v>
      </c>
      <c r="E687" s="10" t="s">
        <v>37</v>
      </c>
      <c r="F687" s="27" t="s">
        <v>63</v>
      </c>
      <c r="G687" s="93" t="s">
        <v>45</v>
      </c>
      <c r="H687" s="93" t="s">
        <v>52</v>
      </c>
      <c r="I687" s="94" t="s">
        <v>91</v>
      </c>
      <c r="J687" s="95"/>
      <c r="K687" s="24">
        <f>K688+K689+K690</f>
        <v>15027.199999999999</v>
      </c>
      <c r="L687" s="24">
        <f>L688+L689+L690</f>
        <v>1863.1000000000004</v>
      </c>
      <c r="M687" s="24">
        <f>M688+M689+M690</f>
        <v>16890.3</v>
      </c>
    </row>
    <row r="688" spans="1:13" s="7" customFormat="1" ht="108" customHeight="1" x14ac:dyDescent="0.35">
      <c r="A688" s="11"/>
      <c r="B688" s="510" t="s">
        <v>49</v>
      </c>
      <c r="C688" s="23" t="s">
        <v>314</v>
      </c>
      <c r="D688" s="10" t="s">
        <v>226</v>
      </c>
      <c r="E688" s="10" t="s">
        <v>37</v>
      </c>
      <c r="F688" s="709" t="s">
        <v>63</v>
      </c>
      <c r="G688" s="710" t="s">
        <v>45</v>
      </c>
      <c r="H688" s="710" t="s">
        <v>52</v>
      </c>
      <c r="I688" s="711" t="s">
        <v>91</v>
      </c>
      <c r="J688" s="10" t="s">
        <v>50</v>
      </c>
      <c r="K688" s="24">
        <f>12177.3+92.1+526.4+959.3</f>
        <v>13755.099999999999</v>
      </c>
      <c r="L688" s="24">
        <f>M688-K688</f>
        <v>1863.1000000000004</v>
      </c>
      <c r="M688" s="24">
        <f>12177.3+92.1+526.4+959.3+1863.1</f>
        <v>15618.199999999999</v>
      </c>
    </row>
    <row r="689" spans="1:13" s="7" customFormat="1" ht="54" customHeight="1" x14ac:dyDescent="0.35">
      <c r="A689" s="11"/>
      <c r="B689" s="510" t="s">
        <v>55</v>
      </c>
      <c r="C689" s="23" t="s">
        <v>314</v>
      </c>
      <c r="D689" s="10" t="s">
        <v>226</v>
      </c>
      <c r="E689" s="10" t="s">
        <v>37</v>
      </c>
      <c r="F689" s="709" t="s">
        <v>63</v>
      </c>
      <c r="G689" s="710" t="s">
        <v>45</v>
      </c>
      <c r="H689" s="710" t="s">
        <v>52</v>
      </c>
      <c r="I689" s="711" t="s">
        <v>91</v>
      </c>
      <c r="J689" s="10" t="s">
        <v>56</v>
      </c>
      <c r="K689" s="24">
        <f>1106.6-6.8+125.3</f>
        <v>1225.0999999999999</v>
      </c>
      <c r="L689" s="24">
        <f>M689-K689</f>
        <v>0</v>
      </c>
      <c r="M689" s="24">
        <f>1106.6-6.8+125.3</f>
        <v>1225.0999999999999</v>
      </c>
    </row>
    <row r="690" spans="1:13" s="7" customFormat="1" ht="18" customHeight="1" x14ac:dyDescent="0.35">
      <c r="A690" s="11"/>
      <c r="B690" s="510" t="s">
        <v>57</v>
      </c>
      <c r="C690" s="23" t="s">
        <v>314</v>
      </c>
      <c r="D690" s="10" t="s">
        <v>226</v>
      </c>
      <c r="E690" s="10" t="s">
        <v>37</v>
      </c>
      <c r="F690" s="709" t="s">
        <v>63</v>
      </c>
      <c r="G690" s="710" t="s">
        <v>45</v>
      </c>
      <c r="H690" s="710" t="s">
        <v>52</v>
      </c>
      <c r="I690" s="711" t="s">
        <v>91</v>
      </c>
      <c r="J690" s="10" t="s">
        <v>58</v>
      </c>
      <c r="K690" s="24">
        <f>40.2+6.8</f>
        <v>47</v>
      </c>
      <c r="L690" s="24">
        <f>M690-K690</f>
        <v>0</v>
      </c>
      <c r="M690" s="24">
        <f>40.2+6.8</f>
        <v>47</v>
      </c>
    </row>
    <row r="691" spans="1:13" s="7" customFormat="1" ht="54" customHeight="1" x14ac:dyDescent="0.35">
      <c r="A691" s="11"/>
      <c r="B691" s="517" t="s">
        <v>76</v>
      </c>
      <c r="C691" s="23" t="s">
        <v>314</v>
      </c>
      <c r="D691" s="10" t="s">
        <v>226</v>
      </c>
      <c r="E691" s="10" t="s">
        <v>37</v>
      </c>
      <c r="F691" s="709" t="s">
        <v>63</v>
      </c>
      <c r="G691" s="710" t="s">
        <v>45</v>
      </c>
      <c r="H691" s="710" t="s">
        <v>52</v>
      </c>
      <c r="I691" s="711" t="s">
        <v>380</v>
      </c>
      <c r="J691" s="10"/>
      <c r="K691" s="24">
        <f>K692</f>
        <v>833.3</v>
      </c>
      <c r="L691" s="24">
        <f>L692</f>
        <v>0</v>
      </c>
      <c r="M691" s="24">
        <f>M692</f>
        <v>833.3</v>
      </c>
    </row>
    <row r="692" spans="1:13" s="7" customFormat="1" ht="54" customHeight="1" x14ac:dyDescent="0.35">
      <c r="A692" s="11"/>
      <c r="B692" s="510" t="s">
        <v>55</v>
      </c>
      <c r="C692" s="23" t="s">
        <v>314</v>
      </c>
      <c r="D692" s="10" t="s">
        <v>226</v>
      </c>
      <c r="E692" s="10" t="s">
        <v>37</v>
      </c>
      <c r="F692" s="709" t="s">
        <v>63</v>
      </c>
      <c r="G692" s="710" t="s">
        <v>45</v>
      </c>
      <c r="H692" s="710" t="s">
        <v>52</v>
      </c>
      <c r="I692" s="711" t="s">
        <v>380</v>
      </c>
      <c r="J692" s="10" t="s">
        <v>56</v>
      </c>
      <c r="K692" s="24">
        <f>735.8+97.5</f>
        <v>833.3</v>
      </c>
      <c r="L692" s="24">
        <f>M692-K692</f>
        <v>0</v>
      </c>
      <c r="M692" s="24">
        <f>735.8+97.5</f>
        <v>833.3</v>
      </c>
    </row>
    <row r="693" spans="1:13" s="7" customFormat="1" ht="54" customHeight="1" x14ac:dyDescent="0.35">
      <c r="A693" s="11"/>
      <c r="B693" s="593" t="s">
        <v>695</v>
      </c>
      <c r="C693" s="23" t="s">
        <v>314</v>
      </c>
      <c r="D693" s="10" t="s">
        <v>226</v>
      </c>
      <c r="E693" s="10" t="s">
        <v>37</v>
      </c>
      <c r="F693" s="709" t="s">
        <v>63</v>
      </c>
      <c r="G693" s="710" t="s">
        <v>45</v>
      </c>
      <c r="H693" s="710" t="s">
        <v>52</v>
      </c>
      <c r="I693" s="711" t="s">
        <v>694</v>
      </c>
      <c r="J693" s="10"/>
      <c r="K693" s="24">
        <f>K694</f>
        <v>1656.2</v>
      </c>
      <c r="L693" s="24">
        <f>L694</f>
        <v>0</v>
      </c>
      <c r="M693" s="24">
        <f>M694</f>
        <v>1656.2</v>
      </c>
    </row>
    <row r="694" spans="1:13" s="7" customFormat="1" ht="54" customHeight="1" x14ac:dyDescent="0.35">
      <c r="A694" s="11"/>
      <c r="B694" s="510" t="s">
        <v>55</v>
      </c>
      <c r="C694" s="23" t="s">
        <v>314</v>
      </c>
      <c r="D694" s="10" t="s">
        <v>226</v>
      </c>
      <c r="E694" s="10" t="s">
        <v>37</v>
      </c>
      <c r="F694" s="709" t="s">
        <v>63</v>
      </c>
      <c r="G694" s="710" t="s">
        <v>45</v>
      </c>
      <c r="H694" s="710" t="s">
        <v>52</v>
      </c>
      <c r="I694" s="711" t="s">
        <v>694</v>
      </c>
      <c r="J694" s="10" t="s">
        <v>56</v>
      </c>
      <c r="K694" s="24">
        <f>856.2+800</f>
        <v>1656.2</v>
      </c>
      <c r="L694" s="24">
        <f>M694-K694</f>
        <v>0</v>
      </c>
      <c r="M694" s="24">
        <f>856.2+800</f>
        <v>1656.2</v>
      </c>
    </row>
    <row r="695" spans="1:13" s="7" customFormat="1" ht="90" customHeight="1" x14ac:dyDescent="0.35">
      <c r="A695" s="11"/>
      <c r="B695" s="593" t="s">
        <v>626</v>
      </c>
      <c r="C695" s="23" t="s">
        <v>314</v>
      </c>
      <c r="D695" s="10" t="s">
        <v>226</v>
      </c>
      <c r="E695" s="10" t="s">
        <v>37</v>
      </c>
      <c r="F695" s="709" t="s">
        <v>63</v>
      </c>
      <c r="G695" s="710" t="s">
        <v>45</v>
      </c>
      <c r="H695" s="710" t="s">
        <v>52</v>
      </c>
      <c r="I695" s="711" t="s">
        <v>627</v>
      </c>
      <c r="J695" s="10"/>
      <c r="K695" s="24">
        <f>K696</f>
        <v>18100</v>
      </c>
      <c r="L695" s="24">
        <f>L696</f>
        <v>0</v>
      </c>
      <c r="M695" s="24">
        <f>M696</f>
        <v>18100</v>
      </c>
    </row>
    <row r="696" spans="1:13" s="7" customFormat="1" ht="54" customHeight="1" x14ac:dyDescent="0.35">
      <c r="A696" s="11"/>
      <c r="B696" s="593" t="s">
        <v>55</v>
      </c>
      <c r="C696" s="23" t="s">
        <v>314</v>
      </c>
      <c r="D696" s="10" t="s">
        <v>226</v>
      </c>
      <c r="E696" s="10" t="s">
        <v>37</v>
      </c>
      <c r="F696" s="709" t="s">
        <v>63</v>
      </c>
      <c r="G696" s="710" t="s">
        <v>45</v>
      </c>
      <c r="H696" s="710" t="s">
        <v>52</v>
      </c>
      <c r="I696" s="711" t="s">
        <v>627</v>
      </c>
      <c r="J696" s="10" t="s">
        <v>56</v>
      </c>
      <c r="K696" s="24">
        <f>16290+1810</f>
        <v>18100</v>
      </c>
      <c r="L696" s="24">
        <f>M696-K696</f>
        <v>0</v>
      </c>
      <c r="M696" s="24">
        <f>16290+1810</f>
        <v>18100</v>
      </c>
    </row>
    <row r="697" spans="1:13" s="7" customFormat="1" ht="54" customHeight="1" x14ac:dyDescent="0.35">
      <c r="A697" s="11"/>
      <c r="B697" s="510" t="s">
        <v>327</v>
      </c>
      <c r="C697" s="23" t="s">
        <v>314</v>
      </c>
      <c r="D697" s="10" t="s">
        <v>226</v>
      </c>
      <c r="E697" s="10" t="s">
        <v>37</v>
      </c>
      <c r="F697" s="27" t="s">
        <v>63</v>
      </c>
      <c r="G697" s="93" t="s">
        <v>89</v>
      </c>
      <c r="H697" s="93" t="s">
        <v>43</v>
      </c>
      <c r="I697" s="711" t="s">
        <v>44</v>
      </c>
      <c r="J697" s="10"/>
      <c r="K697" s="24">
        <f>K698</f>
        <v>2090.2000000000003</v>
      </c>
      <c r="L697" s="24">
        <f>L698</f>
        <v>-227</v>
      </c>
      <c r="M697" s="24">
        <f>M698</f>
        <v>1863.2</v>
      </c>
    </row>
    <row r="698" spans="1:13" s="7" customFormat="1" ht="90" customHeight="1" x14ac:dyDescent="0.35">
      <c r="A698" s="11"/>
      <c r="B698" s="517" t="s">
        <v>320</v>
      </c>
      <c r="C698" s="23" t="s">
        <v>314</v>
      </c>
      <c r="D698" s="10" t="s">
        <v>226</v>
      </c>
      <c r="E698" s="10" t="s">
        <v>37</v>
      </c>
      <c r="F698" s="27" t="s">
        <v>63</v>
      </c>
      <c r="G698" s="93" t="s">
        <v>89</v>
      </c>
      <c r="H698" s="93" t="s">
        <v>63</v>
      </c>
      <c r="I698" s="711" t="s">
        <v>44</v>
      </c>
      <c r="J698" s="10"/>
      <c r="K698" s="24">
        <f>K699+K702</f>
        <v>2090.2000000000003</v>
      </c>
      <c r="L698" s="24">
        <f>L699+L702</f>
        <v>-227</v>
      </c>
      <c r="M698" s="24">
        <f>M699+M702</f>
        <v>1863.2</v>
      </c>
    </row>
    <row r="699" spans="1:13" s="7" customFormat="1" ht="36" customHeight="1" x14ac:dyDescent="0.35">
      <c r="A699" s="11"/>
      <c r="B699" s="517" t="s">
        <v>315</v>
      </c>
      <c r="C699" s="23" t="s">
        <v>314</v>
      </c>
      <c r="D699" s="10" t="s">
        <v>226</v>
      </c>
      <c r="E699" s="10" t="s">
        <v>37</v>
      </c>
      <c r="F699" s="27" t="s">
        <v>63</v>
      </c>
      <c r="G699" s="93" t="s">
        <v>89</v>
      </c>
      <c r="H699" s="93" t="s">
        <v>63</v>
      </c>
      <c r="I699" s="94" t="s">
        <v>316</v>
      </c>
      <c r="J699" s="95"/>
      <c r="K699" s="24">
        <f>K701+K700</f>
        <v>2048.0940000000001</v>
      </c>
      <c r="L699" s="24">
        <f>L701+L700</f>
        <v>-227</v>
      </c>
      <c r="M699" s="24">
        <f>M701+M700</f>
        <v>1821.0940000000001</v>
      </c>
    </row>
    <row r="700" spans="1:13" s="7" customFormat="1" ht="54" customHeight="1" x14ac:dyDescent="0.35">
      <c r="A700" s="11"/>
      <c r="B700" s="517" t="s">
        <v>55</v>
      </c>
      <c r="C700" s="23" t="s">
        <v>314</v>
      </c>
      <c r="D700" s="10" t="s">
        <v>226</v>
      </c>
      <c r="E700" s="10" t="s">
        <v>37</v>
      </c>
      <c r="F700" s="27" t="s">
        <v>63</v>
      </c>
      <c r="G700" s="93" t="s">
        <v>89</v>
      </c>
      <c r="H700" s="93" t="s">
        <v>63</v>
      </c>
      <c r="I700" s="94" t="s">
        <v>316</v>
      </c>
      <c r="J700" s="95" t="s">
        <v>56</v>
      </c>
      <c r="K700" s="24">
        <f>377.8+9.9+854+360</f>
        <v>1601.7</v>
      </c>
      <c r="L700" s="24">
        <f>M700-K700</f>
        <v>-227</v>
      </c>
      <c r="M700" s="24">
        <f>377.8+9.9+854+360-227</f>
        <v>1374.7</v>
      </c>
    </row>
    <row r="701" spans="1:13" s="7" customFormat="1" ht="54" customHeight="1" x14ac:dyDescent="0.35">
      <c r="A701" s="11"/>
      <c r="B701" s="517" t="s">
        <v>76</v>
      </c>
      <c r="C701" s="23" t="s">
        <v>314</v>
      </c>
      <c r="D701" s="10" t="s">
        <v>226</v>
      </c>
      <c r="E701" s="10" t="s">
        <v>37</v>
      </c>
      <c r="F701" s="709" t="s">
        <v>63</v>
      </c>
      <c r="G701" s="710" t="s">
        <v>89</v>
      </c>
      <c r="H701" s="710" t="s">
        <v>63</v>
      </c>
      <c r="I701" s="711" t="s">
        <v>316</v>
      </c>
      <c r="J701" s="10" t="s">
        <v>77</v>
      </c>
      <c r="K701" s="24">
        <f>17.9-0.006+428.5</f>
        <v>446.39400000000001</v>
      </c>
      <c r="L701" s="24">
        <f>M701-K701</f>
        <v>0</v>
      </c>
      <c r="M701" s="24">
        <f>17.9-0.006+428.5</f>
        <v>446.39400000000001</v>
      </c>
    </row>
    <row r="702" spans="1:13" s="7" customFormat="1" ht="54" customHeight="1" x14ac:dyDescent="0.35">
      <c r="A702" s="11"/>
      <c r="B702" s="517" t="s">
        <v>410</v>
      </c>
      <c r="C702" s="23" t="s">
        <v>314</v>
      </c>
      <c r="D702" s="10" t="s">
        <v>226</v>
      </c>
      <c r="E702" s="10" t="s">
        <v>37</v>
      </c>
      <c r="F702" s="709" t="s">
        <v>63</v>
      </c>
      <c r="G702" s="710" t="s">
        <v>89</v>
      </c>
      <c r="H702" s="710" t="s">
        <v>63</v>
      </c>
      <c r="I702" s="711" t="s">
        <v>411</v>
      </c>
      <c r="J702" s="10"/>
      <c r="K702" s="24">
        <f>K703</f>
        <v>42.106000000000002</v>
      </c>
      <c r="L702" s="24">
        <f>L703</f>
        <v>0</v>
      </c>
      <c r="M702" s="24">
        <f>M703</f>
        <v>42.106000000000002</v>
      </c>
    </row>
    <row r="703" spans="1:13" s="7" customFormat="1" ht="54" customHeight="1" x14ac:dyDescent="0.35">
      <c r="A703" s="11"/>
      <c r="B703" s="517" t="s">
        <v>76</v>
      </c>
      <c r="C703" s="23" t="s">
        <v>314</v>
      </c>
      <c r="D703" s="10" t="s">
        <v>226</v>
      </c>
      <c r="E703" s="10" t="s">
        <v>37</v>
      </c>
      <c r="F703" s="709" t="s">
        <v>63</v>
      </c>
      <c r="G703" s="710" t="s">
        <v>89</v>
      </c>
      <c r="H703" s="710" t="s">
        <v>63</v>
      </c>
      <c r="I703" s="711" t="s">
        <v>411</v>
      </c>
      <c r="J703" s="10" t="s">
        <v>77</v>
      </c>
      <c r="K703" s="24">
        <f>40+2.1+0.006</f>
        <v>42.106000000000002</v>
      </c>
      <c r="L703" s="24">
        <f>M703-K703</f>
        <v>0</v>
      </c>
      <c r="M703" s="24">
        <f>40+2.1+0.006</f>
        <v>42.106000000000002</v>
      </c>
    </row>
    <row r="704" spans="1:13" s="7" customFormat="1" ht="36" customHeight="1" x14ac:dyDescent="0.35">
      <c r="A704" s="11"/>
      <c r="B704" s="510" t="s">
        <v>321</v>
      </c>
      <c r="C704" s="23" t="s">
        <v>314</v>
      </c>
      <c r="D704" s="10" t="s">
        <v>226</v>
      </c>
      <c r="E704" s="10" t="s">
        <v>52</v>
      </c>
      <c r="F704" s="27"/>
      <c r="G704" s="93"/>
      <c r="H704" s="93"/>
      <c r="I704" s="94"/>
      <c r="J704" s="95"/>
      <c r="K704" s="24">
        <f>K705</f>
        <v>12195</v>
      </c>
      <c r="L704" s="24">
        <f>L705</f>
        <v>227</v>
      </c>
      <c r="M704" s="24">
        <f>M705</f>
        <v>12422</v>
      </c>
    </row>
    <row r="705" spans="1:13" s="7" customFormat="1" ht="54" customHeight="1" x14ac:dyDescent="0.35">
      <c r="A705" s="11"/>
      <c r="B705" s="560" t="s">
        <v>213</v>
      </c>
      <c r="C705" s="23" t="s">
        <v>314</v>
      </c>
      <c r="D705" s="10" t="s">
        <v>226</v>
      </c>
      <c r="E705" s="10" t="s">
        <v>52</v>
      </c>
      <c r="F705" s="27" t="s">
        <v>63</v>
      </c>
      <c r="G705" s="93" t="s">
        <v>42</v>
      </c>
      <c r="H705" s="93" t="s">
        <v>43</v>
      </c>
      <c r="I705" s="94" t="s">
        <v>44</v>
      </c>
      <c r="J705" s="95"/>
      <c r="K705" s="24">
        <f>K710+K706</f>
        <v>12195</v>
      </c>
      <c r="L705" s="24">
        <f>L710+L706</f>
        <v>227</v>
      </c>
      <c r="M705" s="24">
        <f>M710+M706</f>
        <v>12422</v>
      </c>
    </row>
    <row r="706" spans="1:13" s="7" customFormat="1" ht="54" customHeight="1" x14ac:dyDescent="0.35">
      <c r="A706" s="11"/>
      <c r="B706" s="510" t="s">
        <v>327</v>
      </c>
      <c r="C706" s="23" t="s">
        <v>314</v>
      </c>
      <c r="D706" s="10" t="s">
        <v>226</v>
      </c>
      <c r="E706" s="10" t="s">
        <v>52</v>
      </c>
      <c r="F706" s="709" t="s">
        <v>63</v>
      </c>
      <c r="G706" s="710" t="s">
        <v>89</v>
      </c>
      <c r="H706" s="710" t="s">
        <v>43</v>
      </c>
      <c r="I706" s="711" t="s">
        <v>44</v>
      </c>
      <c r="J706" s="10"/>
      <c r="K706" s="24">
        <f t="shared" ref="K706:M708" si="90">K707</f>
        <v>673.3</v>
      </c>
      <c r="L706" s="24">
        <f t="shared" si="90"/>
        <v>227</v>
      </c>
      <c r="M706" s="24">
        <f t="shared" si="90"/>
        <v>900.3</v>
      </c>
    </row>
    <row r="707" spans="1:13" s="7" customFormat="1" ht="90" customHeight="1" x14ac:dyDescent="0.35">
      <c r="A707" s="11"/>
      <c r="B707" s="581" t="s">
        <v>320</v>
      </c>
      <c r="C707" s="23" t="s">
        <v>314</v>
      </c>
      <c r="D707" s="10" t="s">
        <v>226</v>
      </c>
      <c r="E707" s="10" t="s">
        <v>52</v>
      </c>
      <c r="F707" s="709" t="s">
        <v>63</v>
      </c>
      <c r="G707" s="710" t="s">
        <v>89</v>
      </c>
      <c r="H707" s="710" t="s">
        <v>63</v>
      </c>
      <c r="I707" s="711" t="s">
        <v>44</v>
      </c>
      <c r="J707" s="10"/>
      <c r="K707" s="24">
        <f t="shared" si="90"/>
        <v>673.3</v>
      </c>
      <c r="L707" s="24">
        <f t="shared" si="90"/>
        <v>227</v>
      </c>
      <c r="M707" s="24">
        <f t="shared" si="90"/>
        <v>900.3</v>
      </c>
    </row>
    <row r="708" spans="1:13" s="7" customFormat="1" ht="36" customHeight="1" x14ac:dyDescent="0.35">
      <c r="A708" s="11"/>
      <c r="B708" s="517" t="s">
        <v>315</v>
      </c>
      <c r="C708" s="23" t="s">
        <v>314</v>
      </c>
      <c r="D708" s="10" t="s">
        <v>226</v>
      </c>
      <c r="E708" s="10" t="s">
        <v>52</v>
      </c>
      <c r="F708" s="709" t="s">
        <v>63</v>
      </c>
      <c r="G708" s="710" t="s">
        <v>89</v>
      </c>
      <c r="H708" s="710" t="s">
        <v>63</v>
      </c>
      <c r="I708" s="711" t="s">
        <v>316</v>
      </c>
      <c r="J708" s="10"/>
      <c r="K708" s="24">
        <f t="shared" si="90"/>
        <v>673.3</v>
      </c>
      <c r="L708" s="24">
        <f t="shared" si="90"/>
        <v>227</v>
      </c>
      <c r="M708" s="24">
        <f t="shared" si="90"/>
        <v>900.3</v>
      </c>
    </row>
    <row r="709" spans="1:13" s="7" customFormat="1" ht="54" customHeight="1" x14ac:dyDescent="0.35">
      <c r="A709" s="11"/>
      <c r="B709" s="510" t="s">
        <v>55</v>
      </c>
      <c r="C709" s="23" t="s">
        <v>314</v>
      </c>
      <c r="D709" s="10" t="s">
        <v>226</v>
      </c>
      <c r="E709" s="10" t="s">
        <v>52</v>
      </c>
      <c r="F709" s="709" t="s">
        <v>63</v>
      </c>
      <c r="G709" s="710" t="s">
        <v>89</v>
      </c>
      <c r="H709" s="710" t="s">
        <v>63</v>
      </c>
      <c r="I709" s="711" t="s">
        <v>316</v>
      </c>
      <c r="J709" s="10" t="s">
        <v>56</v>
      </c>
      <c r="K709" s="24">
        <f>769.9+0.9-97.5</f>
        <v>673.3</v>
      </c>
      <c r="L709" s="24">
        <f>M709-K709</f>
        <v>227</v>
      </c>
      <c r="M709" s="24">
        <f>769.9+0.9-97.5+227</f>
        <v>900.3</v>
      </c>
    </row>
    <row r="710" spans="1:13" s="7" customFormat="1" ht="54" customHeight="1" x14ac:dyDescent="0.35">
      <c r="A710" s="11"/>
      <c r="B710" s="510" t="s">
        <v>216</v>
      </c>
      <c r="C710" s="23" t="s">
        <v>314</v>
      </c>
      <c r="D710" s="10" t="s">
        <v>226</v>
      </c>
      <c r="E710" s="10" t="s">
        <v>52</v>
      </c>
      <c r="F710" s="709" t="s">
        <v>63</v>
      </c>
      <c r="G710" s="710" t="s">
        <v>30</v>
      </c>
      <c r="H710" s="710" t="s">
        <v>43</v>
      </c>
      <c r="I710" s="711" t="s">
        <v>44</v>
      </c>
      <c r="J710" s="10"/>
      <c r="K710" s="24">
        <f>K711</f>
        <v>11521.7</v>
      </c>
      <c r="L710" s="24">
        <f>L711</f>
        <v>0</v>
      </c>
      <c r="M710" s="24">
        <f>M711</f>
        <v>11521.7</v>
      </c>
    </row>
    <row r="711" spans="1:13" s="7" customFormat="1" ht="36" customHeight="1" x14ac:dyDescent="0.35">
      <c r="A711" s="11"/>
      <c r="B711" s="510" t="s">
        <v>282</v>
      </c>
      <c r="C711" s="23" t="s">
        <v>314</v>
      </c>
      <c r="D711" s="10" t="s">
        <v>226</v>
      </c>
      <c r="E711" s="10" t="s">
        <v>52</v>
      </c>
      <c r="F711" s="709" t="s">
        <v>63</v>
      </c>
      <c r="G711" s="710" t="s">
        <v>30</v>
      </c>
      <c r="H711" s="710" t="s">
        <v>37</v>
      </c>
      <c r="I711" s="711" t="s">
        <v>44</v>
      </c>
      <c r="J711" s="10"/>
      <c r="K711" s="24">
        <f>K712+K716</f>
        <v>11521.7</v>
      </c>
      <c r="L711" s="24">
        <f>L712+L716</f>
        <v>0</v>
      </c>
      <c r="M711" s="24">
        <f>M712+M716</f>
        <v>11521.7</v>
      </c>
    </row>
    <row r="712" spans="1:13" s="7" customFormat="1" ht="36" customHeight="1" x14ac:dyDescent="0.35">
      <c r="A712" s="11"/>
      <c r="B712" s="510" t="s">
        <v>47</v>
      </c>
      <c r="C712" s="23" t="s">
        <v>314</v>
      </c>
      <c r="D712" s="10" t="s">
        <v>226</v>
      </c>
      <c r="E712" s="10" t="s">
        <v>52</v>
      </c>
      <c r="F712" s="709" t="s">
        <v>63</v>
      </c>
      <c r="G712" s="710" t="s">
        <v>30</v>
      </c>
      <c r="H712" s="710" t="s">
        <v>37</v>
      </c>
      <c r="I712" s="711" t="s">
        <v>48</v>
      </c>
      <c r="J712" s="95"/>
      <c r="K712" s="24">
        <f>K713+K714+K715</f>
        <v>3487.2000000000003</v>
      </c>
      <c r="L712" s="24">
        <f>L713+L714+L715</f>
        <v>0</v>
      </c>
      <c r="M712" s="24">
        <f>M713+M714+M715</f>
        <v>3487.2000000000003</v>
      </c>
    </row>
    <row r="713" spans="1:13" s="7" customFormat="1" ht="108" customHeight="1" x14ac:dyDescent="0.35">
      <c r="A713" s="11"/>
      <c r="B713" s="510" t="s">
        <v>49</v>
      </c>
      <c r="C713" s="23" t="s">
        <v>314</v>
      </c>
      <c r="D713" s="10" t="s">
        <v>226</v>
      </c>
      <c r="E713" s="10" t="s">
        <v>52</v>
      </c>
      <c r="F713" s="709" t="s">
        <v>63</v>
      </c>
      <c r="G713" s="710" t="s">
        <v>30</v>
      </c>
      <c r="H713" s="710" t="s">
        <v>37</v>
      </c>
      <c r="I713" s="711" t="s">
        <v>48</v>
      </c>
      <c r="J713" s="95" t="s">
        <v>50</v>
      </c>
      <c r="K713" s="24">
        <f>3157.9+36</f>
        <v>3193.9</v>
      </c>
      <c r="L713" s="24">
        <f>M713-K713</f>
        <v>0</v>
      </c>
      <c r="M713" s="24">
        <f>3157.9+36</f>
        <v>3193.9</v>
      </c>
    </row>
    <row r="714" spans="1:13" s="7" customFormat="1" ht="54" customHeight="1" x14ac:dyDescent="0.35">
      <c r="A714" s="11"/>
      <c r="B714" s="510" t="s">
        <v>55</v>
      </c>
      <c r="C714" s="23" t="s">
        <v>314</v>
      </c>
      <c r="D714" s="10" t="s">
        <v>226</v>
      </c>
      <c r="E714" s="10" t="s">
        <v>52</v>
      </c>
      <c r="F714" s="709" t="s">
        <v>63</v>
      </c>
      <c r="G714" s="710" t="s">
        <v>30</v>
      </c>
      <c r="H714" s="710" t="s">
        <v>37</v>
      </c>
      <c r="I714" s="711" t="s">
        <v>48</v>
      </c>
      <c r="J714" s="95" t="s">
        <v>56</v>
      </c>
      <c r="K714" s="24">
        <f>250.2+34.6</f>
        <v>284.8</v>
      </c>
      <c r="L714" s="24">
        <f>M714-K714</f>
        <v>0</v>
      </c>
      <c r="M714" s="24">
        <f>250.2+34.6</f>
        <v>284.8</v>
      </c>
    </row>
    <row r="715" spans="1:13" s="7" customFormat="1" ht="18" customHeight="1" x14ac:dyDescent="0.35">
      <c r="A715" s="11"/>
      <c r="B715" s="510" t="s">
        <v>57</v>
      </c>
      <c r="C715" s="23" t="s">
        <v>314</v>
      </c>
      <c r="D715" s="10" t="s">
        <v>226</v>
      </c>
      <c r="E715" s="10" t="s">
        <v>52</v>
      </c>
      <c r="F715" s="709" t="s">
        <v>63</v>
      </c>
      <c r="G715" s="710" t="s">
        <v>30</v>
      </c>
      <c r="H715" s="710" t="s">
        <v>37</v>
      </c>
      <c r="I715" s="711" t="s">
        <v>48</v>
      </c>
      <c r="J715" s="10" t="s">
        <v>58</v>
      </c>
      <c r="K715" s="24">
        <v>8.5</v>
      </c>
      <c r="L715" s="24">
        <f>M715-K715</f>
        <v>0</v>
      </c>
      <c r="M715" s="24">
        <v>8.5</v>
      </c>
    </row>
    <row r="716" spans="1:13" s="7" customFormat="1" ht="36" customHeight="1" x14ac:dyDescent="0.35">
      <c r="A716" s="11"/>
      <c r="B716" s="543" t="s">
        <v>464</v>
      </c>
      <c r="C716" s="23" t="s">
        <v>314</v>
      </c>
      <c r="D716" s="10" t="s">
        <v>226</v>
      </c>
      <c r="E716" s="10" t="s">
        <v>52</v>
      </c>
      <c r="F716" s="709" t="s">
        <v>63</v>
      </c>
      <c r="G716" s="710" t="s">
        <v>30</v>
      </c>
      <c r="H716" s="710" t="s">
        <v>37</v>
      </c>
      <c r="I716" s="711" t="s">
        <v>91</v>
      </c>
      <c r="J716" s="10"/>
      <c r="K716" s="24">
        <f>K717+K718+K719</f>
        <v>8034.5000000000009</v>
      </c>
      <c r="L716" s="24">
        <f>L717+L718+L719</f>
        <v>0</v>
      </c>
      <c r="M716" s="24">
        <f>M717+M718+M719</f>
        <v>8034.5000000000009</v>
      </c>
    </row>
    <row r="717" spans="1:13" s="7" customFormat="1" ht="108" customHeight="1" x14ac:dyDescent="0.35">
      <c r="A717" s="11"/>
      <c r="B717" s="510" t="s">
        <v>49</v>
      </c>
      <c r="C717" s="148" t="s">
        <v>314</v>
      </c>
      <c r="D717" s="95" t="s">
        <v>226</v>
      </c>
      <c r="E717" s="95" t="s">
        <v>52</v>
      </c>
      <c r="F717" s="709" t="s">
        <v>63</v>
      </c>
      <c r="G717" s="710" t="s">
        <v>30</v>
      </c>
      <c r="H717" s="710" t="s">
        <v>37</v>
      </c>
      <c r="I717" s="711" t="s">
        <v>91</v>
      </c>
      <c r="J717" s="95" t="s">
        <v>50</v>
      </c>
      <c r="K717" s="24">
        <f>7283.1-1470.7+1470.7</f>
        <v>7283.1</v>
      </c>
      <c r="L717" s="24">
        <f>M717-K717</f>
        <v>0</v>
      </c>
      <c r="M717" s="24">
        <f>7283.1-1470.7+1470.7</f>
        <v>7283.1</v>
      </c>
    </row>
    <row r="718" spans="1:13" s="7" customFormat="1" ht="54" customHeight="1" x14ac:dyDescent="0.35">
      <c r="A718" s="11"/>
      <c r="B718" s="510" t="s">
        <v>55</v>
      </c>
      <c r="C718" s="148" t="s">
        <v>314</v>
      </c>
      <c r="D718" s="95" t="s">
        <v>226</v>
      </c>
      <c r="E718" s="95" t="s">
        <v>52</v>
      </c>
      <c r="F718" s="709" t="s">
        <v>63</v>
      </c>
      <c r="G718" s="710" t="s">
        <v>30</v>
      </c>
      <c r="H718" s="710" t="s">
        <v>37</v>
      </c>
      <c r="I718" s="711" t="s">
        <v>91</v>
      </c>
      <c r="J718" s="95" t="s">
        <v>56</v>
      </c>
      <c r="K718" s="24">
        <f>642.6+107.2</f>
        <v>749.80000000000007</v>
      </c>
      <c r="L718" s="24">
        <f>M718-K718</f>
        <v>0</v>
      </c>
      <c r="M718" s="24">
        <f>642.6+107.2</f>
        <v>749.80000000000007</v>
      </c>
    </row>
    <row r="719" spans="1:13" s="7" customFormat="1" ht="18" customHeight="1" x14ac:dyDescent="0.35">
      <c r="A719" s="11"/>
      <c r="B719" s="510" t="s">
        <v>57</v>
      </c>
      <c r="C719" s="148" t="s">
        <v>314</v>
      </c>
      <c r="D719" s="95" t="s">
        <v>226</v>
      </c>
      <c r="E719" s="95" t="s">
        <v>52</v>
      </c>
      <c r="F719" s="709" t="s">
        <v>63</v>
      </c>
      <c r="G719" s="710" t="s">
        <v>30</v>
      </c>
      <c r="H719" s="710" t="s">
        <v>37</v>
      </c>
      <c r="I719" s="711" t="s">
        <v>91</v>
      </c>
      <c r="J719" s="10" t="s">
        <v>58</v>
      </c>
      <c r="K719" s="24">
        <v>1.6</v>
      </c>
      <c r="L719" s="24">
        <f>M719-K719</f>
        <v>0</v>
      </c>
      <c r="M719" s="24">
        <v>1.6</v>
      </c>
    </row>
    <row r="720" spans="1:13" s="136" customFormat="1" ht="18" customHeight="1" x14ac:dyDescent="0.35">
      <c r="A720" s="218"/>
      <c r="B720" s="582"/>
      <c r="C720" s="148"/>
      <c r="D720" s="95"/>
      <c r="E720" s="95"/>
      <c r="F720" s="709"/>
      <c r="G720" s="710"/>
      <c r="H720" s="710"/>
      <c r="I720" s="216"/>
      <c r="J720" s="217"/>
      <c r="K720" s="263"/>
      <c r="L720" s="263"/>
      <c r="M720" s="263"/>
    </row>
    <row r="721" spans="1:13" s="116" customFormat="1" ht="52.2" customHeight="1" x14ac:dyDescent="0.3">
      <c r="A721" s="115">
        <v>7</v>
      </c>
      <c r="B721" s="557" t="s">
        <v>10</v>
      </c>
      <c r="C721" s="18" t="s">
        <v>290</v>
      </c>
      <c r="D721" s="19"/>
      <c r="E721" s="19"/>
      <c r="F721" s="20"/>
      <c r="G721" s="21"/>
      <c r="H721" s="21"/>
      <c r="I721" s="22"/>
      <c r="J721" s="19"/>
      <c r="K721" s="32">
        <f>K729+K722</f>
        <v>80032</v>
      </c>
      <c r="L721" s="32">
        <f>L729+L722</f>
        <v>-414.800000000002</v>
      </c>
      <c r="M721" s="32">
        <f>M729+M722</f>
        <v>79617.2</v>
      </c>
    </row>
    <row r="722" spans="1:13" s="116" customFormat="1" ht="18" customHeight="1" x14ac:dyDescent="0.35">
      <c r="A722" s="115"/>
      <c r="B722" s="507" t="s">
        <v>36</v>
      </c>
      <c r="C722" s="220" t="s">
        <v>290</v>
      </c>
      <c r="D722" s="28" t="s">
        <v>37</v>
      </c>
      <c r="E722" s="28"/>
      <c r="F722" s="212"/>
      <c r="G722" s="213"/>
      <c r="H722" s="213"/>
      <c r="I722" s="214"/>
      <c r="J722" s="28"/>
      <c r="K722" s="215">
        <f t="shared" ref="K722:M726" si="91">K723</f>
        <v>60.8</v>
      </c>
      <c r="L722" s="215">
        <f t="shared" si="91"/>
        <v>0</v>
      </c>
      <c r="M722" s="215">
        <f t="shared" si="91"/>
        <v>60.8</v>
      </c>
    </row>
    <row r="723" spans="1:13" s="116" customFormat="1" ht="18" customHeight="1" x14ac:dyDescent="0.35">
      <c r="A723" s="115"/>
      <c r="B723" s="507" t="s">
        <v>70</v>
      </c>
      <c r="C723" s="220" t="s">
        <v>290</v>
      </c>
      <c r="D723" s="28" t="s">
        <v>37</v>
      </c>
      <c r="E723" s="28" t="s">
        <v>71</v>
      </c>
      <c r="F723" s="212"/>
      <c r="G723" s="213"/>
      <c r="H723" s="213"/>
      <c r="I723" s="214"/>
      <c r="J723" s="28"/>
      <c r="K723" s="215">
        <f t="shared" si="91"/>
        <v>60.8</v>
      </c>
      <c r="L723" s="215">
        <f t="shared" si="91"/>
        <v>0</v>
      </c>
      <c r="M723" s="215">
        <f t="shared" si="91"/>
        <v>60.8</v>
      </c>
    </row>
    <row r="724" spans="1:13" s="116" customFormat="1" ht="54" customHeight="1" x14ac:dyDescent="0.35">
      <c r="A724" s="115"/>
      <c r="B724" s="510" t="s">
        <v>217</v>
      </c>
      <c r="C724" s="220" t="s">
        <v>290</v>
      </c>
      <c r="D724" s="28" t="s">
        <v>37</v>
      </c>
      <c r="E724" s="28" t="s">
        <v>71</v>
      </c>
      <c r="F724" s="212" t="s">
        <v>52</v>
      </c>
      <c r="G724" s="213" t="s">
        <v>42</v>
      </c>
      <c r="H724" s="213" t="s">
        <v>43</v>
      </c>
      <c r="I724" s="214" t="s">
        <v>44</v>
      </c>
      <c r="J724" s="28"/>
      <c r="K724" s="215">
        <f t="shared" si="91"/>
        <v>60.8</v>
      </c>
      <c r="L724" s="215">
        <f t="shared" si="91"/>
        <v>0</v>
      </c>
      <c r="M724" s="215">
        <f t="shared" si="91"/>
        <v>60.8</v>
      </c>
    </row>
    <row r="725" spans="1:13" s="116" customFormat="1" ht="36" customHeight="1" x14ac:dyDescent="0.35">
      <c r="A725" s="115"/>
      <c r="B725" s="510" t="s">
        <v>220</v>
      </c>
      <c r="C725" s="220" t="s">
        <v>290</v>
      </c>
      <c r="D725" s="28" t="s">
        <v>37</v>
      </c>
      <c r="E725" s="28" t="s">
        <v>71</v>
      </c>
      <c r="F725" s="212" t="s">
        <v>52</v>
      </c>
      <c r="G725" s="213" t="s">
        <v>89</v>
      </c>
      <c r="H725" s="213" t="s">
        <v>43</v>
      </c>
      <c r="I725" s="214" t="s">
        <v>44</v>
      </c>
      <c r="J725" s="28"/>
      <c r="K725" s="215">
        <f t="shared" si="91"/>
        <v>60.8</v>
      </c>
      <c r="L725" s="215">
        <f t="shared" si="91"/>
        <v>0</v>
      </c>
      <c r="M725" s="215">
        <f t="shared" si="91"/>
        <v>60.8</v>
      </c>
    </row>
    <row r="726" spans="1:13" s="116" customFormat="1" ht="36" customHeight="1" x14ac:dyDescent="0.35">
      <c r="A726" s="115"/>
      <c r="B726" s="507" t="s">
        <v>351</v>
      </c>
      <c r="C726" s="220" t="s">
        <v>290</v>
      </c>
      <c r="D726" s="28" t="s">
        <v>37</v>
      </c>
      <c r="E726" s="28" t="s">
        <v>71</v>
      </c>
      <c r="F726" s="212" t="s">
        <v>52</v>
      </c>
      <c r="G726" s="213" t="s">
        <v>89</v>
      </c>
      <c r="H726" s="213" t="s">
        <v>63</v>
      </c>
      <c r="I726" s="214" t="s">
        <v>44</v>
      </c>
      <c r="J726" s="28"/>
      <c r="K726" s="215">
        <f t="shared" si="91"/>
        <v>60.8</v>
      </c>
      <c r="L726" s="215">
        <f t="shared" si="91"/>
        <v>0</v>
      </c>
      <c r="M726" s="215">
        <f t="shared" si="91"/>
        <v>60.8</v>
      </c>
    </row>
    <row r="727" spans="1:13" s="116" customFormat="1" ht="54" customHeight="1" x14ac:dyDescent="0.35">
      <c r="A727" s="115"/>
      <c r="B727" s="583" t="s">
        <v>352</v>
      </c>
      <c r="C727" s="220" t="s">
        <v>290</v>
      </c>
      <c r="D727" s="28" t="s">
        <v>37</v>
      </c>
      <c r="E727" s="28" t="s">
        <v>71</v>
      </c>
      <c r="F727" s="212" t="s">
        <v>52</v>
      </c>
      <c r="G727" s="213" t="s">
        <v>89</v>
      </c>
      <c r="H727" s="213" t="s">
        <v>63</v>
      </c>
      <c r="I727" s="214" t="s">
        <v>105</v>
      </c>
      <c r="J727" s="28"/>
      <c r="K727" s="215">
        <f>K728</f>
        <v>60.8</v>
      </c>
      <c r="L727" s="215">
        <f>L728</f>
        <v>0</v>
      </c>
      <c r="M727" s="215">
        <f>M728</f>
        <v>60.8</v>
      </c>
    </row>
    <row r="728" spans="1:13" s="116" customFormat="1" ht="54" customHeight="1" x14ac:dyDescent="0.35">
      <c r="A728" s="115"/>
      <c r="B728" s="510" t="s">
        <v>55</v>
      </c>
      <c r="C728" s="220" t="s">
        <v>290</v>
      </c>
      <c r="D728" s="28" t="s">
        <v>37</v>
      </c>
      <c r="E728" s="28" t="s">
        <v>71</v>
      </c>
      <c r="F728" s="212" t="s">
        <v>52</v>
      </c>
      <c r="G728" s="213" t="s">
        <v>89</v>
      </c>
      <c r="H728" s="213" t="s">
        <v>63</v>
      </c>
      <c r="I728" s="214" t="s">
        <v>105</v>
      </c>
      <c r="J728" s="28" t="s">
        <v>56</v>
      </c>
      <c r="K728" s="215">
        <f>38.4+22.4</f>
        <v>60.8</v>
      </c>
      <c r="L728" s="24">
        <f>M728-K728</f>
        <v>0</v>
      </c>
      <c r="M728" s="215">
        <f>38.4+22.4</f>
        <v>60.8</v>
      </c>
    </row>
    <row r="729" spans="1:13" s="7" customFormat="1" ht="18" customHeight="1" x14ac:dyDescent="0.35">
      <c r="A729" s="11"/>
      <c r="B729" s="560" t="s">
        <v>322</v>
      </c>
      <c r="C729" s="23" t="s">
        <v>290</v>
      </c>
      <c r="D729" s="10" t="s">
        <v>67</v>
      </c>
      <c r="E729" s="10"/>
      <c r="F729" s="709"/>
      <c r="G729" s="710"/>
      <c r="H729" s="710"/>
      <c r="I729" s="711"/>
      <c r="J729" s="10"/>
      <c r="K729" s="24">
        <f>K730+K751+K786+K764</f>
        <v>79971.199999999997</v>
      </c>
      <c r="L729" s="24">
        <f>L730+L751+L786+L764</f>
        <v>-414.800000000002</v>
      </c>
      <c r="M729" s="24">
        <f>M730+M751+M786+M764</f>
        <v>79556.399999999994</v>
      </c>
    </row>
    <row r="730" spans="1:13" s="116" customFormat="1" ht="18" customHeight="1" x14ac:dyDescent="0.35">
      <c r="A730" s="11"/>
      <c r="B730" s="560" t="s">
        <v>360</v>
      </c>
      <c r="C730" s="23" t="s">
        <v>290</v>
      </c>
      <c r="D730" s="10" t="s">
        <v>67</v>
      </c>
      <c r="E730" s="10" t="s">
        <v>37</v>
      </c>
      <c r="F730" s="709"/>
      <c r="G730" s="710"/>
      <c r="H730" s="710"/>
      <c r="I730" s="711"/>
      <c r="J730" s="10"/>
      <c r="K730" s="24">
        <f>K731</f>
        <v>8867.1064800000004</v>
      </c>
      <c r="L730" s="24">
        <f>L731</f>
        <v>0</v>
      </c>
      <c r="M730" s="24">
        <f>M731</f>
        <v>8867.1064800000004</v>
      </c>
    </row>
    <row r="731" spans="1:13" s="116" customFormat="1" ht="54" customHeight="1" x14ac:dyDescent="0.35">
      <c r="A731" s="11"/>
      <c r="B731" s="510" t="s">
        <v>217</v>
      </c>
      <c r="C731" s="23" t="s">
        <v>290</v>
      </c>
      <c r="D731" s="10" t="s">
        <v>67</v>
      </c>
      <c r="E731" s="10" t="s">
        <v>37</v>
      </c>
      <c r="F731" s="709" t="s">
        <v>52</v>
      </c>
      <c r="G731" s="710" t="s">
        <v>42</v>
      </c>
      <c r="H731" s="710" t="s">
        <v>43</v>
      </c>
      <c r="I731" s="711" t="s">
        <v>44</v>
      </c>
      <c r="J731" s="10"/>
      <c r="K731" s="24">
        <f>K732+K736</f>
        <v>8867.1064800000004</v>
      </c>
      <c r="L731" s="24">
        <f>L732+L736</f>
        <v>0</v>
      </c>
      <c r="M731" s="24">
        <f>M732+M736</f>
        <v>8867.1064800000004</v>
      </c>
    </row>
    <row r="732" spans="1:13" s="116" customFormat="1" ht="36" customHeight="1" x14ac:dyDescent="0.35">
      <c r="A732" s="11"/>
      <c r="B732" s="560" t="s">
        <v>218</v>
      </c>
      <c r="C732" s="23" t="s">
        <v>290</v>
      </c>
      <c r="D732" s="10" t="s">
        <v>67</v>
      </c>
      <c r="E732" s="10" t="s">
        <v>37</v>
      </c>
      <c r="F732" s="709" t="s">
        <v>52</v>
      </c>
      <c r="G732" s="710" t="s">
        <v>45</v>
      </c>
      <c r="H732" s="710" t="s">
        <v>43</v>
      </c>
      <c r="I732" s="711" t="s">
        <v>44</v>
      </c>
      <c r="J732" s="10"/>
      <c r="K732" s="24">
        <f>K733</f>
        <v>66</v>
      </c>
      <c r="L732" s="24">
        <f>L733</f>
        <v>0</v>
      </c>
      <c r="M732" s="24">
        <f>M733</f>
        <v>66</v>
      </c>
    </row>
    <row r="733" spans="1:13" s="116" customFormat="1" ht="18" customHeight="1" x14ac:dyDescent="0.35">
      <c r="A733" s="11"/>
      <c r="B733" s="510" t="s">
        <v>277</v>
      </c>
      <c r="C733" s="23" t="s">
        <v>290</v>
      </c>
      <c r="D733" s="10" t="s">
        <v>67</v>
      </c>
      <c r="E733" s="10" t="s">
        <v>37</v>
      </c>
      <c r="F733" s="709" t="s">
        <v>52</v>
      </c>
      <c r="G733" s="710" t="s">
        <v>45</v>
      </c>
      <c r="H733" s="710" t="s">
        <v>37</v>
      </c>
      <c r="I733" s="711" t="s">
        <v>44</v>
      </c>
      <c r="J733" s="10"/>
      <c r="K733" s="24">
        <f t="shared" ref="K733:M734" si="92">K734</f>
        <v>66</v>
      </c>
      <c r="L733" s="24">
        <f t="shared" si="92"/>
        <v>0</v>
      </c>
      <c r="M733" s="24">
        <f t="shared" si="92"/>
        <v>66</v>
      </c>
    </row>
    <row r="734" spans="1:13" s="116" customFormat="1" ht="36" customHeight="1" x14ac:dyDescent="0.35">
      <c r="A734" s="11"/>
      <c r="B734" s="510" t="s">
        <v>278</v>
      </c>
      <c r="C734" s="23" t="s">
        <v>290</v>
      </c>
      <c r="D734" s="10" t="s">
        <v>67</v>
      </c>
      <c r="E734" s="10" t="s">
        <v>37</v>
      </c>
      <c r="F734" s="709" t="s">
        <v>52</v>
      </c>
      <c r="G734" s="710" t="s">
        <v>45</v>
      </c>
      <c r="H734" s="710" t="s">
        <v>37</v>
      </c>
      <c r="I734" s="711" t="s">
        <v>279</v>
      </c>
      <c r="J734" s="10"/>
      <c r="K734" s="24">
        <f t="shared" si="92"/>
        <v>66</v>
      </c>
      <c r="L734" s="24">
        <f t="shared" si="92"/>
        <v>0</v>
      </c>
      <c r="M734" s="24">
        <f t="shared" si="92"/>
        <v>66</v>
      </c>
    </row>
    <row r="735" spans="1:13" s="116" customFormat="1" ht="36" customHeight="1" x14ac:dyDescent="0.35">
      <c r="A735" s="11"/>
      <c r="B735" s="510" t="s">
        <v>120</v>
      </c>
      <c r="C735" s="23" t="s">
        <v>290</v>
      </c>
      <c r="D735" s="10" t="s">
        <v>67</v>
      </c>
      <c r="E735" s="10" t="s">
        <v>37</v>
      </c>
      <c r="F735" s="709" t="s">
        <v>52</v>
      </c>
      <c r="G735" s="710" t="s">
        <v>45</v>
      </c>
      <c r="H735" s="710" t="s">
        <v>37</v>
      </c>
      <c r="I735" s="711" t="s">
        <v>279</v>
      </c>
      <c r="J735" s="10" t="s">
        <v>121</v>
      </c>
      <c r="K735" s="24">
        <f>315+63-312</f>
        <v>66</v>
      </c>
      <c r="L735" s="24">
        <f>M735-K735</f>
        <v>0</v>
      </c>
      <c r="M735" s="24">
        <f>315+63-312</f>
        <v>66</v>
      </c>
    </row>
    <row r="736" spans="1:13" s="7" customFormat="1" ht="36" customHeight="1" x14ac:dyDescent="0.35">
      <c r="A736" s="11"/>
      <c r="B736" s="510" t="s">
        <v>220</v>
      </c>
      <c r="C736" s="23" t="s">
        <v>290</v>
      </c>
      <c r="D736" s="10" t="s">
        <v>67</v>
      </c>
      <c r="E736" s="10" t="s">
        <v>37</v>
      </c>
      <c r="F736" s="709" t="s">
        <v>52</v>
      </c>
      <c r="G736" s="710" t="s">
        <v>89</v>
      </c>
      <c r="H736" s="710" t="s">
        <v>43</v>
      </c>
      <c r="I736" s="711" t="s">
        <v>44</v>
      </c>
      <c r="J736" s="10"/>
      <c r="K736" s="24">
        <f>K737+K744</f>
        <v>8801.1064800000004</v>
      </c>
      <c r="L736" s="24">
        <f>L737+L744</f>
        <v>0</v>
      </c>
      <c r="M736" s="24">
        <f>M737+M744</f>
        <v>8801.1064800000004</v>
      </c>
    </row>
    <row r="737" spans="1:14" s="116" customFormat="1" ht="36.6" customHeight="1" x14ac:dyDescent="0.35">
      <c r="A737" s="11"/>
      <c r="B737" s="510" t="s">
        <v>361</v>
      </c>
      <c r="C737" s="23" t="s">
        <v>290</v>
      </c>
      <c r="D737" s="10" t="s">
        <v>67</v>
      </c>
      <c r="E737" s="10" t="s">
        <v>37</v>
      </c>
      <c r="F737" s="709" t="s">
        <v>52</v>
      </c>
      <c r="G737" s="710" t="s">
        <v>89</v>
      </c>
      <c r="H737" s="710" t="s">
        <v>39</v>
      </c>
      <c r="I737" s="711" t="s">
        <v>44</v>
      </c>
      <c r="J737" s="10"/>
      <c r="K737" s="24">
        <f>K738+K742</f>
        <v>4221.5064800000009</v>
      </c>
      <c r="L737" s="24">
        <f>L738+L742</f>
        <v>0</v>
      </c>
      <c r="M737" s="24">
        <f>M738+M742</f>
        <v>4221.5064800000009</v>
      </c>
    </row>
    <row r="738" spans="1:14" s="116" customFormat="1" ht="36" customHeight="1" x14ac:dyDescent="0.35">
      <c r="A738" s="11"/>
      <c r="B738" s="543" t="s">
        <v>464</v>
      </c>
      <c r="C738" s="23" t="s">
        <v>290</v>
      </c>
      <c r="D738" s="10" t="s">
        <v>67</v>
      </c>
      <c r="E738" s="10" t="s">
        <v>37</v>
      </c>
      <c r="F738" s="709" t="s">
        <v>52</v>
      </c>
      <c r="G738" s="710" t="s">
        <v>89</v>
      </c>
      <c r="H738" s="710" t="s">
        <v>39</v>
      </c>
      <c r="I738" s="711" t="s">
        <v>91</v>
      </c>
      <c r="J738" s="10"/>
      <c r="K738" s="24">
        <f>K739+K740+K741</f>
        <v>3912.8184800000017</v>
      </c>
      <c r="L738" s="24">
        <f>L739+L740+L741</f>
        <v>0</v>
      </c>
      <c r="M738" s="24">
        <f>M739+M740+M741</f>
        <v>3912.8184800000017</v>
      </c>
    </row>
    <row r="739" spans="1:14" s="116" customFormat="1" ht="108" customHeight="1" x14ac:dyDescent="0.35">
      <c r="A739" s="11"/>
      <c r="B739" s="510" t="s">
        <v>49</v>
      </c>
      <c r="C739" s="23" t="s">
        <v>290</v>
      </c>
      <c r="D739" s="10" t="s">
        <v>67</v>
      </c>
      <c r="E739" s="10" t="s">
        <v>37</v>
      </c>
      <c r="F739" s="709" t="s">
        <v>52</v>
      </c>
      <c r="G739" s="710" t="s">
        <v>89</v>
      </c>
      <c r="H739" s="710" t="s">
        <v>39</v>
      </c>
      <c r="I739" s="711" t="s">
        <v>91</v>
      </c>
      <c r="J739" s="10" t="s">
        <v>50</v>
      </c>
      <c r="K739" s="24">
        <f>20027.9+85+852.7-17793.32805</f>
        <v>3172.2719500000021</v>
      </c>
      <c r="L739" s="24">
        <f>M739-K739</f>
        <v>0</v>
      </c>
      <c r="M739" s="24">
        <f>20027.9+85+852.7-17793.32805</f>
        <v>3172.2719500000021</v>
      </c>
    </row>
    <row r="740" spans="1:14" s="7" customFormat="1" ht="54" customHeight="1" x14ac:dyDescent="0.35">
      <c r="A740" s="11"/>
      <c r="B740" s="510" t="s">
        <v>55</v>
      </c>
      <c r="C740" s="23" t="s">
        <v>290</v>
      </c>
      <c r="D740" s="10" t="s">
        <v>67</v>
      </c>
      <c r="E740" s="10" t="s">
        <v>37</v>
      </c>
      <c r="F740" s="709" t="s">
        <v>52</v>
      </c>
      <c r="G740" s="710" t="s">
        <v>89</v>
      </c>
      <c r="H740" s="710" t="s">
        <v>39</v>
      </c>
      <c r="I740" s="711" t="s">
        <v>91</v>
      </c>
      <c r="J740" s="10" t="s">
        <v>56</v>
      </c>
      <c r="K740" s="24">
        <f>5504.9-0.1+2070.5-6834.83343</f>
        <v>740.46656999999959</v>
      </c>
      <c r="L740" s="24">
        <f>M740-K740</f>
        <v>0</v>
      </c>
      <c r="M740" s="24">
        <f>5504.9-0.1+2070.5-6834.83343</f>
        <v>740.46656999999959</v>
      </c>
    </row>
    <row r="741" spans="1:14" s="116" customFormat="1" ht="18" customHeight="1" x14ac:dyDescent="0.35">
      <c r="A741" s="11"/>
      <c r="B741" s="510" t="s">
        <v>57</v>
      </c>
      <c r="C741" s="23" t="s">
        <v>290</v>
      </c>
      <c r="D741" s="10" t="s">
        <v>67</v>
      </c>
      <c r="E741" s="10" t="s">
        <v>37</v>
      </c>
      <c r="F741" s="709" t="s">
        <v>52</v>
      </c>
      <c r="G741" s="710" t="s">
        <v>89</v>
      </c>
      <c r="H741" s="710" t="s">
        <v>39</v>
      </c>
      <c r="I741" s="711" t="s">
        <v>91</v>
      </c>
      <c r="J741" s="10" t="s">
        <v>58</v>
      </c>
      <c r="K741" s="24">
        <f>60.6+1105.5-1166.02004</f>
        <v>7.9959999999800857E-2</v>
      </c>
      <c r="L741" s="24">
        <f>M741-K741</f>
        <v>0</v>
      </c>
      <c r="M741" s="24">
        <f>60.6+1105.5-1166.02004</f>
        <v>7.9959999999800857E-2</v>
      </c>
    </row>
    <row r="742" spans="1:14" s="116" customFormat="1" ht="54" customHeight="1" x14ac:dyDescent="0.35">
      <c r="A742" s="11"/>
      <c r="B742" s="510" t="s">
        <v>219</v>
      </c>
      <c r="C742" s="23" t="s">
        <v>290</v>
      </c>
      <c r="D742" s="10" t="s">
        <v>67</v>
      </c>
      <c r="E742" s="10" t="s">
        <v>37</v>
      </c>
      <c r="F742" s="709" t="s">
        <v>52</v>
      </c>
      <c r="G742" s="710" t="s">
        <v>89</v>
      </c>
      <c r="H742" s="710" t="s">
        <v>39</v>
      </c>
      <c r="I742" s="711" t="s">
        <v>292</v>
      </c>
      <c r="J742" s="10"/>
      <c r="K742" s="24">
        <f>K743</f>
        <v>308.68799999999919</v>
      </c>
      <c r="L742" s="24">
        <f>L743</f>
        <v>0</v>
      </c>
      <c r="M742" s="24">
        <f>M743</f>
        <v>308.68799999999919</v>
      </c>
    </row>
    <row r="743" spans="1:14" s="116" customFormat="1" ht="54" customHeight="1" x14ac:dyDescent="0.35">
      <c r="A743" s="11"/>
      <c r="B743" s="510" t="s">
        <v>55</v>
      </c>
      <c r="C743" s="23" t="s">
        <v>290</v>
      </c>
      <c r="D743" s="10" t="s">
        <v>67</v>
      </c>
      <c r="E743" s="10" t="s">
        <v>37</v>
      </c>
      <c r="F743" s="709" t="s">
        <v>52</v>
      </c>
      <c r="G743" s="710" t="s">
        <v>89</v>
      </c>
      <c r="H743" s="710" t="s">
        <v>39</v>
      </c>
      <c r="I743" s="711" t="s">
        <v>292</v>
      </c>
      <c r="J743" s="10" t="s">
        <v>56</v>
      </c>
      <c r="K743" s="24">
        <f>4190.2+238.7-4120.212</f>
        <v>308.68799999999919</v>
      </c>
      <c r="L743" s="24">
        <f>M743-K743</f>
        <v>0</v>
      </c>
      <c r="M743" s="24">
        <f>4190.2+238.7-4120.212</f>
        <v>308.68799999999919</v>
      </c>
    </row>
    <row r="744" spans="1:14" s="116" customFormat="1" ht="36" customHeight="1" x14ac:dyDescent="0.35">
      <c r="A744" s="11"/>
      <c r="B744" s="510" t="s">
        <v>564</v>
      </c>
      <c r="C744" s="23" t="s">
        <v>290</v>
      </c>
      <c r="D744" s="10" t="s">
        <v>67</v>
      </c>
      <c r="E744" s="10" t="s">
        <v>37</v>
      </c>
      <c r="F744" s="709" t="s">
        <v>52</v>
      </c>
      <c r="G744" s="710" t="s">
        <v>89</v>
      </c>
      <c r="H744" s="710" t="s">
        <v>52</v>
      </c>
      <c r="I744" s="711" t="s">
        <v>44</v>
      </c>
      <c r="J744" s="10"/>
      <c r="K744" s="24">
        <f>K745+K749</f>
        <v>4579.5999999999995</v>
      </c>
      <c r="L744" s="24">
        <f>L745+L749</f>
        <v>0</v>
      </c>
      <c r="M744" s="24">
        <f>M745+M749</f>
        <v>4579.5999999999995</v>
      </c>
    </row>
    <row r="745" spans="1:14" s="116" customFormat="1" ht="36" customHeight="1" x14ac:dyDescent="0.35">
      <c r="A745" s="11"/>
      <c r="B745" s="510" t="s">
        <v>464</v>
      </c>
      <c r="C745" s="23" t="s">
        <v>290</v>
      </c>
      <c r="D745" s="10" t="s">
        <v>67</v>
      </c>
      <c r="E745" s="10" t="s">
        <v>37</v>
      </c>
      <c r="F745" s="709" t="s">
        <v>52</v>
      </c>
      <c r="G745" s="710" t="s">
        <v>89</v>
      </c>
      <c r="H745" s="710" t="s">
        <v>52</v>
      </c>
      <c r="I745" s="711" t="s">
        <v>91</v>
      </c>
      <c r="J745" s="10"/>
      <c r="K745" s="24">
        <f>K746+K747+K748</f>
        <v>3677.2999999999997</v>
      </c>
      <c r="L745" s="24">
        <f>L746+L747+L748</f>
        <v>0</v>
      </c>
      <c r="M745" s="24">
        <f>M746+M747+M748</f>
        <v>3677.2999999999997</v>
      </c>
    </row>
    <row r="746" spans="1:14" s="116" customFormat="1" ht="108" customHeight="1" x14ac:dyDescent="0.35">
      <c r="A746" s="11"/>
      <c r="B746" s="510" t="s">
        <v>49</v>
      </c>
      <c r="C746" s="23" t="s">
        <v>290</v>
      </c>
      <c r="D746" s="10" t="s">
        <v>67</v>
      </c>
      <c r="E746" s="10" t="s">
        <v>37</v>
      </c>
      <c r="F746" s="709" t="s">
        <v>52</v>
      </c>
      <c r="G746" s="710" t="s">
        <v>89</v>
      </c>
      <c r="H746" s="710" t="s">
        <v>52</v>
      </c>
      <c r="I746" s="711" t="s">
        <v>91</v>
      </c>
      <c r="J746" s="10" t="s">
        <v>50</v>
      </c>
      <c r="K746" s="24">
        <v>2045</v>
      </c>
      <c r="L746" s="24">
        <f>M746-K746</f>
        <v>0</v>
      </c>
      <c r="M746" s="24">
        <v>2045</v>
      </c>
    </row>
    <row r="747" spans="1:14" s="116" customFormat="1" ht="54" customHeight="1" x14ac:dyDescent="0.35">
      <c r="A747" s="11"/>
      <c r="B747" s="510" t="s">
        <v>55</v>
      </c>
      <c r="C747" s="23" t="s">
        <v>290</v>
      </c>
      <c r="D747" s="10" t="s">
        <v>67</v>
      </c>
      <c r="E747" s="10" t="s">
        <v>37</v>
      </c>
      <c r="F747" s="709" t="s">
        <v>52</v>
      </c>
      <c r="G747" s="710" t="s">
        <v>89</v>
      </c>
      <c r="H747" s="710" t="s">
        <v>52</v>
      </c>
      <c r="I747" s="711" t="s">
        <v>91</v>
      </c>
      <c r="J747" s="10" t="s">
        <v>56</v>
      </c>
      <c r="K747" s="24">
        <f>1194.6+429</f>
        <v>1623.6</v>
      </c>
      <c r="L747" s="24">
        <f>M747-K747</f>
        <v>0</v>
      </c>
      <c r="M747" s="24">
        <f>1194.6+429</f>
        <v>1623.6</v>
      </c>
    </row>
    <row r="748" spans="1:14" s="116" customFormat="1" ht="18" customHeight="1" x14ac:dyDescent="0.35">
      <c r="A748" s="11"/>
      <c r="B748" s="510" t="s">
        <v>57</v>
      </c>
      <c r="C748" s="23" t="s">
        <v>290</v>
      </c>
      <c r="D748" s="10" t="s">
        <v>67</v>
      </c>
      <c r="E748" s="10" t="s">
        <v>37</v>
      </c>
      <c r="F748" s="709" t="s">
        <v>52</v>
      </c>
      <c r="G748" s="710" t="s">
        <v>89</v>
      </c>
      <c r="H748" s="710" t="s">
        <v>52</v>
      </c>
      <c r="I748" s="711" t="s">
        <v>91</v>
      </c>
      <c r="J748" s="10" t="s">
        <v>58</v>
      </c>
      <c r="K748" s="24">
        <v>8.6999999999999993</v>
      </c>
      <c r="L748" s="24">
        <f>M748-K748</f>
        <v>0</v>
      </c>
      <c r="M748" s="24">
        <v>8.6999999999999993</v>
      </c>
    </row>
    <row r="749" spans="1:14" s="116" customFormat="1" ht="54" customHeight="1" x14ac:dyDescent="0.35">
      <c r="A749" s="11"/>
      <c r="B749" s="510" t="s">
        <v>219</v>
      </c>
      <c r="C749" s="23" t="s">
        <v>290</v>
      </c>
      <c r="D749" s="10" t="s">
        <v>67</v>
      </c>
      <c r="E749" s="10" t="s">
        <v>37</v>
      </c>
      <c r="F749" s="709" t="s">
        <v>52</v>
      </c>
      <c r="G749" s="710" t="s">
        <v>89</v>
      </c>
      <c r="H749" s="710" t="s">
        <v>52</v>
      </c>
      <c r="I749" s="711" t="s">
        <v>292</v>
      </c>
      <c r="J749" s="10"/>
      <c r="K749" s="24">
        <f>K750</f>
        <v>902.3</v>
      </c>
      <c r="L749" s="24">
        <f>L750</f>
        <v>0</v>
      </c>
      <c r="M749" s="24">
        <f>M750</f>
        <v>902.3</v>
      </c>
    </row>
    <row r="750" spans="1:14" s="116" customFormat="1" ht="54" customHeight="1" x14ac:dyDescent="0.35">
      <c r="A750" s="11"/>
      <c r="B750" s="510" t="s">
        <v>55</v>
      </c>
      <c r="C750" s="23" t="s">
        <v>290</v>
      </c>
      <c r="D750" s="10" t="s">
        <v>67</v>
      </c>
      <c r="E750" s="10" t="s">
        <v>37</v>
      </c>
      <c r="F750" s="709" t="s">
        <v>52</v>
      </c>
      <c r="G750" s="710" t="s">
        <v>89</v>
      </c>
      <c r="H750" s="710" t="s">
        <v>52</v>
      </c>
      <c r="I750" s="711" t="s">
        <v>292</v>
      </c>
      <c r="J750" s="10" t="s">
        <v>56</v>
      </c>
      <c r="K750" s="24">
        <v>902.3</v>
      </c>
      <c r="L750" s="24">
        <f>M750-K750</f>
        <v>0</v>
      </c>
      <c r="M750" s="24">
        <v>902.3</v>
      </c>
    </row>
    <row r="751" spans="1:14" s="7" customFormat="1" ht="18" customHeight="1" x14ac:dyDescent="0.35">
      <c r="A751" s="11"/>
      <c r="B751" s="560" t="s">
        <v>293</v>
      </c>
      <c r="C751" s="23" t="s">
        <v>290</v>
      </c>
      <c r="D751" s="10" t="s">
        <v>67</v>
      </c>
      <c r="E751" s="10" t="s">
        <v>39</v>
      </c>
      <c r="F751" s="709"/>
      <c r="G751" s="710"/>
      <c r="H751" s="710"/>
      <c r="I751" s="711"/>
      <c r="J751" s="10"/>
      <c r="K751" s="24">
        <f t="shared" ref="K751:M751" si="93">K752</f>
        <v>28674.6</v>
      </c>
      <c r="L751" s="24">
        <f t="shared" si="93"/>
        <v>-1417</v>
      </c>
      <c r="M751" s="24">
        <f t="shared" si="93"/>
        <v>27257.599999999999</v>
      </c>
      <c r="N751" s="157"/>
    </row>
    <row r="752" spans="1:14" s="7" customFormat="1" ht="54" customHeight="1" x14ac:dyDescent="0.35">
      <c r="A752" s="11"/>
      <c r="B752" s="510" t="s">
        <v>217</v>
      </c>
      <c r="C752" s="23" t="s">
        <v>290</v>
      </c>
      <c r="D752" s="10" t="s">
        <v>67</v>
      </c>
      <c r="E752" s="10" t="s">
        <v>39</v>
      </c>
      <c r="F752" s="709" t="s">
        <v>52</v>
      </c>
      <c r="G752" s="710" t="s">
        <v>42</v>
      </c>
      <c r="H752" s="710" t="s">
        <v>43</v>
      </c>
      <c r="I752" s="711" t="s">
        <v>44</v>
      </c>
      <c r="J752" s="10"/>
      <c r="K752" s="24">
        <f>K753+K760</f>
        <v>28674.6</v>
      </c>
      <c r="L752" s="24">
        <f>L753+L760</f>
        <v>-1417</v>
      </c>
      <c r="M752" s="24">
        <f>M753+M760</f>
        <v>27257.599999999999</v>
      </c>
    </row>
    <row r="753" spans="1:14" s="7" customFormat="1" ht="36" customHeight="1" x14ac:dyDescent="0.35">
      <c r="A753" s="11"/>
      <c r="B753" s="560" t="s">
        <v>218</v>
      </c>
      <c r="C753" s="23" t="s">
        <v>290</v>
      </c>
      <c r="D753" s="10" t="s">
        <v>67</v>
      </c>
      <c r="E753" s="10" t="s">
        <v>39</v>
      </c>
      <c r="F753" s="709" t="s">
        <v>52</v>
      </c>
      <c r="G753" s="710" t="s">
        <v>45</v>
      </c>
      <c r="H753" s="710" t="s">
        <v>43</v>
      </c>
      <c r="I753" s="711" t="s">
        <v>44</v>
      </c>
      <c r="J753" s="10"/>
      <c r="K753" s="24">
        <f>K754+K757</f>
        <v>3862.6</v>
      </c>
      <c r="L753" s="24">
        <f>L754+L757</f>
        <v>-1417</v>
      </c>
      <c r="M753" s="24">
        <f>M754+M757</f>
        <v>2445.6</v>
      </c>
      <c r="N753" s="157"/>
    </row>
    <row r="754" spans="1:14" s="7" customFormat="1" ht="54" customHeight="1" x14ac:dyDescent="0.35">
      <c r="A754" s="11"/>
      <c r="B754" s="510" t="s">
        <v>291</v>
      </c>
      <c r="C754" s="23" t="s">
        <v>290</v>
      </c>
      <c r="D754" s="10" t="s">
        <v>67</v>
      </c>
      <c r="E754" s="10" t="s">
        <v>39</v>
      </c>
      <c r="F754" s="709" t="s">
        <v>52</v>
      </c>
      <c r="G754" s="710" t="s">
        <v>45</v>
      </c>
      <c r="H754" s="710" t="s">
        <v>39</v>
      </c>
      <c r="I754" s="711" t="s">
        <v>44</v>
      </c>
      <c r="J754" s="10"/>
      <c r="K754" s="24">
        <f t="shared" ref="K754:M754" si="94">K755</f>
        <v>910.6</v>
      </c>
      <c r="L754" s="24">
        <f t="shared" si="94"/>
        <v>0</v>
      </c>
      <c r="M754" s="24">
        <f t="shared" si="94"/>
        <v>910.6</v>
      </c>
      <c r="N754" s="157"/>
    </row>
    <row r="755" spans="1:14" s="7" customFormat="1" ht="54" customHeight="1" x14ac:dyDescent="0.35">
      <c r="A755" s="11"/>
      <c r="B755" s="510" t="s">
        <v>219</v>
      </c>
      <c r="C755" s="23" t="s">
        <v>290</v>
      </c>
      <c r="D755" s="10" t="s">
        <v>67</v>
      </c>
      <c r="E755" s="10" t="s">
        <v>39</v>
      </c>
      <c r="F755" s="709" t="s">
        <v>52</v>
      </c>
      <c r="G755" s="710" t="s">
        <v>45</v>
      </c>
      <c r="H755" s="710" t="s">
        <v>39</v>
      </c>
      <c r="I755" s="711" t="s">
        <v>292</v>
      </c>
      <c r="J755" s="10"/>
      <c r="K755" s="24">
        <f>SUM(K756:K756)</f>
        <v>910.6</v>
      </c>
      <c r="L755" s="24">
        <f>SUM(L756:L756)</f>
        <v>0</v>
      </c>
      <c r="M755" s="24">
        <f>SUM(M756:M756)</f>
        <v>910.6</v>
      </c>
    </row>
    <row r="756" spans="1:14" s="7" customFormat="1" ht="54" customHeight="1" x14ac:dyDescent="0.35">
      <c r="A756" s="11"/>
      <c r="B756" s="510" t="s">
        <v>55</v>
      </c>
      <c r="C756" s="23" t="s">
        <v>290</v>
      </c>
      <c r="D756" s="10" t="s">
        <v>67</v>
      </c>
      <c r="E756" s="10" t="s">
        <v>39</v>
      </c>
      <c r="F756" s="709" t="s">
        <v>52</v>
      </c>
      <c r="G756" s="710" t="s">
        <v>45</v>
      </c>
      <c r="H756" s="710" t="s">
        <v>39</v>
      </c>
      <c r="I756" s="711" t="s">
        <v>292</v>
      </c>
      <c r="J756" s="10" t="s">
        <v>56</v>
      </c>
      <c r="K756" s="24">
        <f>629.7+280.9</f>
        <v>910.6</v>
      </c>
      <c r="L756" s="24">
        <f>M756-K756</f>
        <v>0</v>
      </c>
      <c r="M756" s="24">
        <f>629.7+280.9</f>
        <v>910.6</v>
      </c>
      <c r="N756" s="157"/>
    </row>
    <row r="757" spans="1:14" s="7" customFormat="1" ht="27.75" customHeight="1" x14ac:dyDescent="0.35">
      <c r="A757" s="11"/>
      <c r="B757" s="510" t="s">
        <v>488</v>
      </c>
      <c r="C757" s="23" t="s">
        <v>290</v>
      </c>
      <c r="D757" s="10" t="s">
        <v>67</v>
      </c>
      <c r="E757" s="10" t="s">
        <v>39</v>
      </c>
      <c r="F757" s="709" t="s">
        <v>52</v>
      </c>
      <c r="G757" s="710" t="s">
        <v>45</v>
      </c>
      <c r="H757" s="710" t="s">
        <v>487</v>
      </c>
      <c r="I757" s="711" t="s">
        <v>44</v>
      </c>
      <c r="J757" s="10"/>
      <c r="K757" s="24">
        <f t="shared" ref="K757:M758" si="95">K758</f>
        <v>2952</v>
      </c>
      <c r="L757" s="24">
        <f t="shared" si="95"/>
        <v>-1417</v>
      </c>
      <c r="M757" s="24">
        <f t="shared" si="95"/>
        <v>1535</v>
      </c>
      <c r="N757" s="157"/>
    </row>
    <row r="758" spans="1:14" s="7" customFormat="1" ht="54" customHeight="1" x14ac:dyDescent="0.35">
      <c r="A758" s="11"/>
      <c r="B758" s="510" t="s">
        <v>489</v>
      </c>
      <c r="C758" s="23" t="s">
        <v>290</v>
      </c>
      <c r="D758" s="10" t="s">
        <v>67</v>
      </c>
      <c r="E758" s="10" t="s">
        <v>39</v>
      </c>
      <c r="F758" s="709" t="s">
        <v>52</v>
      </c>
      <c r="G758" s="710" t="s">
        <v>45</v>
      </c>
      <c r="H758" s="710" t="s">
        <v>487</v>
      </c>
      <c r="I758" s="711" t="s">
        <v>499</v>
      </c>
      <c r="J758" s="10"/>
      <c r="K758" s="24">
        <f t="shared" si="95"/>
        <v>2952</v>
      </c>
      <c r="L758" s="24">
        <f t="shared" si="95"/>
        <v>-1417</v>
      </c>
      <c r="M758" s="24">
        <f t="shared" si="95"/>
        <v>1535</v>
      </c>
      <c r="N758" s="157"/>
    </row>
    <row r="759" spans="1:14" s="7" customFormat="1" ht="54" customHeight="1" x14ac:dyDescent="0.35">
      <c r="A759" s="11"/>
      <c r="B759" s="510" t="s">
        <v>55</v>
      </c>
      <c r="C759" s="23" t="s">
        <v>290</v>
      </c>
      <c r="D759" s="10" t="s">
        <v>67</v>
      </c>
      <c r="E759" s="10" t="s">
        <v>39</v>
      </c>
      <c r="F759" s="709" t="s">
        <v>52</v>
      </c>
      <c r="G759" s="710" t="s">
        <v>45</v>
      </c>
      <c r="H759" s="710" t="s">
        <v>487</v>
      </c>
      <c r="I759" s="711" t="s">
        <v>499</v>
      </c>
      <c r="J759" s="10" t="s">
        <v>56</v>
      </c>
      <c r="K759" s="24">
        <f>2863.4+88.6</f>
        <v>2952</v>
      </c>
      <c r="L759" s="24">
        <f>M759-K759</f>
        <v>-1417</v>
      </c>
      <c r="M759" s="24">
        <f>2863.4+88.6-1417</f>
        <v>1535</v>
      </c>
      <c r="N759" s="157"/>
    </row>
    <row r="760" spans="1:14" s="7" customFormat="1" ht="36" x14ac:dyDescent="0.35">
      <c r="A760" s="11"/>
      <c r="B760" s="510" t="s">
        <v>220</v>
      </c>
      <c r="C760" s="23" t="s">
        <v>290</v>
      </c>
      <c r="D760" s="10" t="s">
        <v>67</v>
      </c>
      <c r="E760" s="10" t="s">
        <v>39</v>
      </c>
      <c r="F760" s="709" t="s">
        <v>52</v>
      </c>
      <c r="G760" s="710" t="s">
        <v>89</v>
      </c>
      <c r="H760" s="710" t="s">
        <v>43</v>
      </c>
      <c r="I760" s="711" t="s">
        <v>44</v>
      </c>
      <c r="J760" s="10"/>
      <c r="K760" s="24">
        <f t="shared" ref="K760:M762" si="96">K761</f>
        <v>24812</v>
      </c>
      <c r="L760" s="24">
        <f t="shared" si="96"/>
        <v>0</v>
      </c>
      <c r="M760" s="24">
        <f t="shared" si="96"/>
        <v>24812</v>
      </c>
      <c r="N760" s="157"/>
    </row>
    <row r="761" spans="1:14" s="7" customFormat="1" ht="42" customHeight="1" x14ac:dyDescent="0.35">
      <c r="A761" s="11"/>
      <c r="B761" s="510" t="s">
        <v>361</v>
      </c>
      <c r="C761" s="23" t="s">
        <v>290</v>
      </c>
      <c r="D761" s="10" t="s">
        <v>67</v>
      </c>
      <c r="E761" s="10" t="s">
        <v>39</v>
      </c>
      <c r="F761" s="709" t="s">
        <v>52</v>
      </c>
      <c r="G761" s="710" t="s">
        <v>89</v>
      </c>
      <c r="H761" s="710" t="s">
        <v>39</v>
      </c>
      <c r="I761" s="711" t="s">
        <v>44</v>
      </c>
      <c r="J761" s="10"/>
      <c r="K761" s="24">
        <f t="shared" si="96"/>
        <v>24812</v>
      </c>
      <c r="L761" s="24">
        <f t="shared" si="96"/>
        <v>0</v>
      </c>
      <c r="M761" s="24">
        <f t="shared" si="96"/>
        <v>24812</v>
      </c>
      <c r="N761" s="157"/>
    </row>
    <row r="762" spans="1:14" s="7" customFormat="1" ht="90" x14ac:dyDescent="0.35">
      <c r="A762" s="11"/>
      <c r="B762" s="510" t="s">
        <v>738</v>
      </c>
      <c r="C762" s="23" t="s">
        <v>290</v>
      </c>
      <c r="D762" s="10" t="s">
        <v>67</v>
      </c>
      <c r="E762" s="10" t="s">
        <v>39</v>
      </c>
      <c r="F762" s="709" t="s">
        <v>52</v>
      </c>
      <c r="G762" s="710" t="s">
        <v>89</v>
      </c>
      <c r="H762" s="710" t="s">
        <v>39</v>
      </c>
      <c r="I762" s="711" t="s">
        <v>737</v>
      </c>
      <c r="J762" s="10"/>
      <c r="K762" s="24">
        <f t="shared" si="96"/>
        <v>24812</v>
      </c>
      <c r="L762" s="24">
        <f t="shared" si="96"/>
        <v>0</v>
      </c>
      <c r="M762" s="24">
        <f t="shared" si="96"/>
        <v>24812</v>
      </c>
      <c r="N762" s="157"/>
    </row>
    <row r="763" spans="1:14" s="7" customFormat="1" ht="54" customHeight="1" x14ac:dyDescent="0.35">
      <c r="A763" s="11"/>
      <c r="B763" s="510" t="s">
        <v>55</v>
      </c>
      <c r="C763" s="23" t="s">
        <v>290</v>
      </c>
      <c r="D763" s="10" t="s">
        <v>67</v>
      </c>
      <c r="E763" s="10" t="s">
        <v>39</v>
      </c>
      <c r="F763" s="709" t="s">
        <v>52</v>
      </c>
      <c r="G763" s="710" t="s">
        <v>89</v>
      </c>
      <c r="H763" s="710" t="s">
        <v>39</v>
      </c>
      <c r="I763" s="711" t="s">
        <v>737</v>
      </c>
      <c r="J763" s="10" t="s">
        <v>56</v>
      </c>
      <c r="K763" s="24">
        <v>24812</v>
      </c>
      <c r="L763" s="24">
        <f>M763-K763</f>
        <v>0</v>
      </c>
      <c r="M763" s="24">
        <v>24812</v>
      </c>
      <c r="N763" s="157"/>
    </row>
    <row r="764" spans="1:14" s="7" customFormat="1" ht="18" x14ac:dyDescent="0.35">
      <c r="A764" s="11"/>
      <c r="B764" s="510" t="s">
        <v>706</v>
      </c>
      <c r="C764" s="23" t="s">
        <v>290</v>
      </c>
      <c r="D764" s="10" t="s">
        <v>67</v>
      </c>
      <c r="E764" s="10" t="s">
        <v>63</v>
      </c>
      <c r="F764" s="709"/>
      <c r="G764" s="710"/>
      <c r="H764" s="710"/>
      <c r="I764" s="711"/>
      <c r="J764" s="10"/>
      <c r="K764" s="24">
        <f>K765</f>
        <v>39458.393519999998</v>
      </c>
      <c r="L764" s="24">
        <f>L765</f>
        <v>1002.199999999998</v>
      </c>
      <c r="M764" s="24">
        <f>M765</f>
        <v>40460.593520000002</v>
      </c>
      <c r="N764" s="157"/>
    </row>
    <row r="765" spans="1:14" s="7" customFormat="1" ht="54" x14ac:dyDescent="0.35">
      <c r="A765" s="11"/>
      <c r="B765" s="510" t="s">
        <v>217</v>
      </c>
      <c r="C765" s="23" t="s">
        <v>290</v>
      </c>
      <c r="D765" s="10" t="s">
        <v>67</v>
      </c>
      <c r="E765" s="10" t="s">
        <v>63</v>
      </c>
      <c r="F765" s="709" t="s">
        <v>52</v>
      </c>
      <c r="G765" s="710" t="s">
        <v>42</v>
      </c>
      <c r="H765" s="710" t="s">
        <v>43</v>
      </c>
      <c r="I765" s="711" t="s">
        <v>44</v>
      </c>
      <c r="J765" s="10"/>
      <c r="K765" s="24">
        <f>K766+K770</f>
        <v>39458.393519999998</v>
      </c>
      <c r="L765" s="24">
        <f>L766+L770</f>
        <v>1002.199999999998</v>
      </c>
      <c r="M765" s="24">
        <f>M766+M770</f>
        <v>40460.593520000002</v>
      </c>
      <c r="N765" s="157"/>
    </row>
    <row r="766" spans="1:14" s="7" customFormat="1" ht="36" x14ac:dyDescent="0.35">
      <c r="A766" s="11"/>
      <c r="B766" s="560" t="s">
        <v>218</v>
      </c>
      <c r="C766" s="23" t="s">
        <v>290</v>
      </c>
      <c r="D766" s="10" t="s">
        <v>67</v>
      </c>
      <c r="E766" s="10" t="s">
        <v>63</v>
      </c>
      <c r="F766" s="709" t="s">
        <v>52</v>
      </c>
      <c r="G766" s="710" t="s">
        <v>45</v>
      </c>
      <c r="H766" s="710" t="s">
        <v>43</v>
      </c>
      <c r="I766" s="711" t="s">
        <v>44</v>
      </c>
      <c r="J766" s="10"/>
      <c r="K766" s="24">
        <f>K767</f>
        <v>312</v>
      </c>
      <c r="L766" s="24">
        <f>L767</f>
        <v>-36</v>
      </c>
      <c r="M766" s="24">
        <f>M767</f>
        <v>276</v>
      </c>
      <c r="N766" s="157"/>
    </row>
    <row r="767" spans="1:14" s="7" customFormat="1" ht="18" x14ac:dyDescent="0.35">
      <c r="A767" s="11"/>
      <c r="B767" s="510" t="s">
        <v>277</v>
      </c>
      <c r="C767" s="23" t="s">
        <v>290</v>
      </c>
      <c r="D767" s="10" t="s">
        <v>67</v>
      </c>
      <c r="E767" s="10" t="s">
        <v>63</v>
      </c>
      <c r="F767" s="709" t="s">
        <v>52</v>
      </c>
      <c r="G767" s="710" t="s">
        <v>45</v>
      </c>
      <c r="H767" s="710" t="s">
        <v>37</v>
      </c>
      <c r="I767" s="711" t="s">
        <v>44</v>
      </c>
      <c r="J767" s="10"/>
      <c r="K767" s="24">
        <f t="shared" ref="K767:M768" si="97">K768</f>
        <v>312</v>
      </c>
      <c r="L767" s="24">
        <f t="shared" si="97"/>
        <v>-36</v>
      </c>
      <c r="M767" s="24">
        <f t="shared" si="97"/>
        <v>276</v>
      </c>
      <c r="N767" s="157"/>
    </row>
    <row r="768" spans="1:14" s="7" customFormat="1" ht="36" x14ac:dyDescent="0.35">
      <c r="A768" s="11"/>
      <c r="B768" s="510" t="s">
        <v>278</v>
      </c>
      <c r="C768" s="23" t="s">
        <v>290</v>
      </c>
      <c r="D768" s="10" t="s">
        <v>67</v>
      </c>
      <c r="E768" s="10" t="s">
        <v>63</v>
      </c>
      <c r="F768" s="709" t="s">
        <v>52</v>
      </c>
      <c r="G768" s="710" t="s">
        <v>45</v>
      </c>
      <c r="H768" s="710" t="s">
        <v>37</v>
      </c>
      <c r="I768" s="711" t="s">
        <v>279</v>
      </c>
      <c r="J768" s="10"/>
      <c r="K768" s="24">
        <f t="shared" si="97"/>
        <v>312</v>
      </c>
      <c r="L768" s="24">
        <f t="shared" si="97"/>
        <v>-36</v>
      </c>
      <c r="M768" s="24">
        <f t="shared" si="97"/>
        <v>276</v>
      </c>
      <c r="N768" s="157"/>
    </row>
    <row r="769" spans="1:14" s="7" customFormat="1" ht="36" x14ac:dyDescent="0.35">
      <c r="A769" s="11"/>
      <c r="B769" s="510" t="s">
        <v>120</v>
      </c>
      <c r="C769" s="23" t="s">
        <v>290</v>
      </c>
      <c r="D769" s="10" t="s">
        <v>67</v>
      </c>
      <c r="E769" s="10" t="s">
        <v>63</v>
      </c>
      <c r="F769" s="709" t="s">
        <v>52</v>
      </c>
      <c r="G769" s="710" t="s">
        <v>45</v>
      </c>
      <c r="H769" s="710" t="s">
        <v>37</v>
      </c>
      <c r="I769" s="711" t="s">
        <v>279</v>
      </c>
      <c r="J769" s="10" t="s">
        <v>121</v>
      </c>
      <c r="K769" s="24">
        <v>312</v>
      </c>
      <c r="L769" s="24">
        <f>M769-K769</f>
        <v>-36</v>
      </c>
      <c r="M769" s="24">
        <f>312-36</f>
        <v>276</v>
      </c>
      <c r="N769" s="157"/>
    </row>
    <row r="770" spans="1:14" s="7" customFormat="1" ht="36" x14ac:dyDescent="0.35">
      <c r="A770" s="11"/>
      <c r="B770" s="510" t="s">
        <v>220</v>
      </c>
      <c r="C770" s="23" t="s">
        <v>290</v>
      </c>
      <c r="D770" s="10" t="s">
        <v>67</v>
      </c>
      <c r="E770" s="10" t="s">
        <v>63</v>
      </c>
      <c r="F770" s="709" t="s">
        <v>52</v>
      </c>
      <c r="G770" s="710" t="s">
        <v>89</v>
      </c>
      <c r="H770" s="710" t="s">
        <v>43</v>
      </c>
      <c r="I770" s="711" t="s">
        <v>44</v>
      </c>
      <c r="J770" s="10"/>
      <c r="K770" s="24">
        <f>K771</f>
        <v>39146.393519999998</v>
      </c>
      <c r="L770" s="24">
        <f>L771</f>
        <v>1038.199999999998</v>
      </c>
      <c r="M770" s="24">
        <f>M771</f>
        <v>40184.593520000002</v>
      </c>
      <c r="N770" s="157"/>
    </row>
    <row r="771" spans="1:14" s="7" customFormat="1" ht="18" x14ac:dyDescent="0.35">
      <c r="A771" s="11"/>
      <c r="B771" s="510" t="s">
        <v>361</v>
      </c>
      <c r="C771" s="23" t="s">
        <v>290</v>
      </c>
      <c r="D771" s="10" t="s">
        <v>67</v>
      </c>
      <c r="E771" s="10" t="s">
        <v>63</v>
      </c>
      <c r="F771" s="709" t="s">
        <v>52</v>
      </c>
      <c r="G771" s="710" t="s">
        <v>89</v>
      </c>
      <c r="H771" s="710" t="s">
        <v>39</v>
      </c>
      <c r="I771" s="711" t="s">
        <v>44</v>
      </c>
      <c r="J771" s="10"/>
      <c r="K771" s="24">
        <f>K772+K782+K776+K778+K784+K780</f>
        <v>39146.393519999998</v>
      </c>
      <c r="L771" s="24">
        <f>L772+L782+L776+L778+L784+L780</f>
        <v>1038.199999999998</v>
      </c>
      <c r="M771" s="24">
        <f>M772+M782+M776+M778+M784+M780</f>
        <v>40184.593520000002</v>
      </c>
      <c r="N771" s="157"/>
    </row>
    <row r="772" spans="1:14" s="7" customFormat="1" ht="36" x14ac:dyDescent="0.35">
      <c r="A772" s="11"/>
      <c r="B772" s="543" t="s">
        <v>464</v>
      </c>
      <c r="C772" s="23" t="s">
        <v>290</v>
      </c>
      <c r="D772" s="10" t="s">
        <v>67</v>
      </c>
      <c r="E772" s="10" t="s">
        <v>63</v>
      </c>
      <c r="F772" s="709" t="s">
        <v>52</v>
      </c>
      <c r="G772" s="710" t="s">
        <v>89</v>
      </c>
      <c r="H772" s="710" t="s">
        <v>39</v>
      </c>
      <c r="I772" s="711" t="s">
        <v>91</v>
      </c>
      <c r="J772" s="10"/>
      <c r="K772" s="24">
        <f>K773+K774+K775</f>
        <v>29711.881519999999</v>
      </c>
      <c r="L772" s="24">
        <f>L773+L774+L775</f>
        <v>1210.0999999999981</v>
      </c>
      <c r="M772" s="24">
        <f>M773+M774+M775</f>
        <v>30921.981520000001</v>
      </c>
      <c r="N772" s="157"/>
    </row>
    <row r="773" spans="1:14" s="7" customFormat="1" ht="108" x14ac:dyDescent="0.35">
      <c r="A773" s="11"/>
      <c r="B773" s="510" t="s">
        <v>49</v>
      </c>
      <c r="C773" s="23" t="s">
        <v>290</v>
      </c>
      <c r="D773" s="10" t="s">
        <v>67</v>
      </c>
      <c r="E773" s="10" t="s">
        <v>63</v>
      </c>
      <c r="F773" s="709" t="s">
        <v>52</v>
      </c>
      <c r="G773" s="710" t="s">
        <v>89</v>
      </c>
      <c r="H773" s="710" t="s">
        <v>39</v>
      </c>
      <c r="I773" s="711" t="s">
        <v>91</v>
      </c>
      <c r="J773" s="10" t="s">
        <v>50</v>
      </c>
      <c r="K773" s="24">
        <v>17793.32805</v>
      </c>
      <c r="L773" s="24">
        <f>M773-K773</f>
        <v>954.79999999999927</v>
      </c>
      <c r="M773" s="24">
        <f>17793.32805+97.6+857.2</f>
        <v>18748.128049999999</v>
      </c>
      <c r="N773" s="157"/>
    </row>
    <row r="774" spans="1:14" s="7" customFormat="1" ht="54" x14ac:dyDescent="0.35">
      <c r="A774" s="11"/>
      <c r="B774" s="510" t="s">
        <v>55</v>
      </c>
      <c r="C774" s="23" t="s">
        <v>290</v>
      </c>
      <c r="D774" s="10" t="s">
        <v>67</v>
      </c>
      <c r="E774" s="10" t="s">
        <v>63</v>
      </c>
      <c r="F774" s="709" t="s">
        <v>52</v>
      </c>
      <c r="G774" s="710" t="s">
        <v>89</v>
      </c>
      <c r="H774" s="710" t="s">
        <v>39</v>
      </c>
      <c r="I774" s="711" t="s">
        <v>91</v>
      </c>
      <c r="J774" s="10" t="s">
        <v>56</v>
      </c>
      <c r="K774" s="24">
        <f>6834.83343+2385.6-5.9+5.9+539.5+10+750.1+52+180.5</f>
        <v>10752.533429999999</v>
      </c>
      <c r="L774" s="24">
        <f>M774-K774</f>
        <v>249.19999999999891</v>
      </c>
      <c r="M774" s="24">
        <f>6834.83343+2385.6-5.9+5.9+539.5+10+750.1+52+180.5+186.4+62.8</f>
        <v>11001.733429999998</v>
      </c>
      <c r="N774" s="157"/>
    </row>
    <row r="775" spans="1:14" s="7" customFormat="1" ht="18" x14ac:dyDescent="0.35">
      <c r="A775" s="11"/>
      <c r="B775" s="510" t="s">
        <v>57</v>
      </c>
      <c r="C775" s="23" t="s">
        <v>290</v>
      </c>
      <c r="D775" s="10" t="s">
        <v>67</v>
      </c>
      <c r="E775" s="10" t="s">
        <v>63</v>
      </c>
      <c r="F775" s="709" t="s">
        <v>52</v>
      </c>
      <c r="G775" s="710" t="s">
        <v>89</v>
      </c>
      <c r="H775" s="710" t="s">
        <v>39</v>
      </c>
      <c r="I775" s="711" t="s">
        <v>91</v>
      </c>
      <c r="J775" s="10" t="s">
        <v>58</v>
      </c>
      <c r="K775" s="24">
        <v>1166.0200400000001</v>
      </c>
      <c r="L775" s="24">
        <f>M775-K775</f>
        <v>6.0999999999999091</v>
      </c>
      <c r="M775" s="24">
        <f>1166.02004+6.1</f>
        <v>1172.12004</v>
      </c>
      <c r="N775" s="157"/>
    </row>
    <row r="776" spans="1:14" s="7" customFormat="1" ht="54" x14ac:dyDescent="0.35">
      <c r="A776" s="11"/>
      <c r="B776" s="510" t="s">
        <v>219</v>
      </c>
      <c r="C776" s="23" t="s">
        <v>290</v>
      </c>
      <c r="D776" s="10" t="s">
        <v>67</v>
      </c>
      <c r="E776" s="10" t="s">
        <v>63</v>
      </c>
      <c r="F776" s="709" t="s">
        <v>52</v>
      </c>
      <c r="G776" s="710" t="s">
        <v>89</v>
      </c>
      <c r="H776" s="710" t="s">
        <v>39</v>
      </c>
      <c r="I776" s="711" t="s">
        <v>292</v>
      </c>
      <c r="J776" s="10"/>
      <c r="K776" s="24">
        <f>K777</f>
        <v>1734.6120000000005</v>
      </c>
      <c r="L776" s="24">
        <f>L777</f>
        <v>0</v>
      </c>
      <c r="M776" s="24">
        <f>M777</f>
        <v>1734.6120000000005</v>
      </c>
      <c r="N776" s="157"/>
    </row>
    <row r="777" spans="1:14" s="7" customFormat="1" ht="54" x14ac:dyDescent="0.35">
      <c r="A777" s="11"/>
      <c r="B777" s="510" t="s">
        <v>55</v>
      </c>
      <c r="C777" s="23" t="s">
        <v>290</v>
      </c>
      <c r="D777" s="10" t="s">
        <v>67</v>
      </c>
      <c r="E777" s="10" t="s">
        <v>63</v>
      </c>
      <c r="F777" s="709" t="s">
        <v>52</v>
      </c>
      <c r="G777" s="710" t="s">
        <v>89</v>
      </c>
      <c r="H777" s="710" t="s">
        <v>39</v>
      </c>
      <c r="I777" s="711" t="s">
        <v>292</v>
      </c>
      <c r="J777" s="10" t="s">
        <v>56</v>
      </c>
      <c r="K777" s="24">
        <f>4120.212-2385.6</f>
        <v>1734.6120000000005</v>
      </c>
      <c r="L777" s="24">
        <f>M777-K777</f>
        <v>0</v>
      </c>
      <c r="M777" s="24">
        <f>4120.212-2385.6</f>
        <v>1734.6120000000005</v>
      </c>
      <c r="N777" s="157"/>
    </row>
    <row r="778" spans="1:14" s="7" customFormat="1" ht="180" x14ac:dyDescent="0.35">
      <c r="A778" s="11"/>
      <c r="B778" s="510" t="s">
        <v>435</v>
      </c>
      <c r="C778" s="23" t="s">
        <v>290</v>
      </c>
      <c r="D778" s="10" t="s">
        <v>67</v>
      </c>
      <c r="E778" s="10" t="s">
        <v>63</v>
      </c>
      <c r="F778" s="709" t="s">
        <v>52</v>
      </c>
      <c r="G778" s="710" t="s">
        <v>89</v>
      </c>
      <c r="H778" s="710" t="s">
        <v>39</v>
      </c>
      <c r="I778" s="711" t="s">
        <v>388</v>
      </c>
      <c r="J778" s="10"/>
      <c r="K778" s="24">
        <f>K779</f>
        <v>187.5</v>
      </c>
      <c r="L778" s="24">
        <f>L779</f>
        <v>-171.9</v>
      </c>
      <c r="M778" s="24">
        <f>M779</f>
        <v>15.599999999999994</v>
      </c>
      <c r="N778" s="157"/>
    </row>
    <row r="779" spans="1:14" s="7" customFormat="1" ht="108" x14ac:dyDescent="0.35">
      <c r="A779" s="11"/>
      <c r="B779" s="510" t="s">
        <v>49</v>
      </c>
      <c r="C779" s="23" t="s">
        <v>290</v>
      </c>
      <c r="D779" s="10" t="s">
        <v>67</v>
      </c>
      <c r="E779" s="10" t="s">
        <v>63</v>
      </c>
      <c r="F779" s="709" t="s">
        <v>52</v>
      </c>
      <c r="G779" s="710" t="s">
        <v>89</v>
      </c>
      <c r="H779" s="710" t="s">
        <v>39</v>
      </c>
      <c r="I779" s="711" t="s">
        <v>388</v>
      </c>
      <c r="J779" s="10" t="s">
        <v>50</v>
      </c>
      <c r="K779" s="24">
        <v>187.5</v>
      </c>
      <c r="L779" s="24">
        <f>M779-K779</f>
        <v>-171.9</v>
      </c>
      <c r="M779" s="24">
        <f>187.5-171.9</f>
        <v>15.599999999999994</v>
      </c>
      <c r="N779" s="157"/>
    </row>
    <row r="780" spans="1:14" s="7" customFormat="1" ht="54" x14ac:dyDescent="0.35">
      <c r="A780" s="11"/>
      <c r="B780" s="593" t="s">
        <v>695</v>
      </c>
      <c r="C780" s="23" t="s">
        <v>290</v>
      </c>
      <c r="D780" s="10" t="s">
        <v>67</v>
      </c>
      <c r="E780" s="10" t="s">
        <v>63</v>
      </c>
      <c r="F780" s="709" t="s">
        <v>52</v>
      </c>
      <c r="G780" s="710" t="s">
        <v>89</v>
      </c>
      <c r="H780" s="710" t="s">
        <v>39</v>
      </c>
      <c r="I780" s="711" t="s">
        <v>694</v>
      </c>
      <c r="J780" s="10"/>
      <c r="K780" s="24">
        <f>K781</f>
        <v>388.9</v>
      </c>
      <c r="L780" s="24">
        <f>L781</f>
        <v>0</v>
      </c>
      <c r="M780" s="24">
        <f>M781</f>
        <v>388.9</v>
      </c>
      <c r="N780" s="157"/>
    </row>
    <row r="781" spans="1:14" s="7" customFormat="1" ht="54" x14ac:dyDescent="0.35">
      <c r="A781" s="11"/>
      <c r="B781" s="510" t="s">
        <v>55</v>
      </c>
      <c r="C781" s="23" t="s">
        <v>290</v>
      </c>
      <c r="D781" s="10" t="s">
        <v>67</v>
      </c>
      <c r="E781" s="10" t="s">
        <v>63</v>
      </c>
      <c r="F781" s="709" t="s">
        <v>52</v>
      </c>
      <c r="G781" s="710" t="s">
        <v>89</v>
      </c>
      <c r="H781" s="710" t="s">
        <v>39</v>
      </c>
      <c r="I781" s="711" t="s">
        <v>694</v>
      </c>
      <c r="J781" s="10" t="s">
        <v>56</v>
      </c>
      <c r="K781" s="24">
        <v>388.9</v>
      </c>
      <c r="L781" s="24">
        <f>M781-K781</f>
        <v>0</v>
      </c>
      <c r="M781" s="24">
        <v>388.9</v>
      </c>
      <c r="N781" s="157"/>
    </row>
    <row r="782" spans="1:14" s="7" customFormat="1" ht="54" x14ac:dyDescent="0.35">
      <c r="A782" s="11"/>
      <c r="B782" s="510" t="s">
        <v>437</v>
      </c>
      <c r="C782" s="23" t="s">
        <v>290</v>
      </c>
      <c r="D782" s="10" t="s">
        <v>67</v>
      </c>
      <c r="E782" s="10" t="s">
        <v>63</v>
      </c>
      <c r="F782" s="709" t="s">
        <v>52</v>
      </c>
      <c r="G782" s="710" t="s">
        <v>89</v>
      </c>
      <c r="H782" s="710" t="s">
        <v>39</v>
      </c>
      <c r="I782" s="711" t="s">
        <v>408</v>
      </c>
      <c r="J782" s="10"/>
      <c r="K782" s="24">
        <f>K783</f>
        <v>2003.5</v>
      </c>
      <c r="L782" s="24">
        <f>L783</f>
        <v>0</v>
      </c>
      <c r="M782" s="24">
        <f>M783</f>
        <v>2003.5</v>
      </c>
      <c r="N782" s="157"/>
    </row>
    <row r="783" spans="1:14" s="7" customFormat="1" ht="108" x14ac:dyDescent="0.35">
      <c r="A783" s="11"/>
      <c r="B783" s="510" t="s">
        <v>49</v>
      </c>
      <c r="C783" s="23" t="s">
        <v>290</v>
      </c>
      <c r="D783" s="10" t="s">
        <v>67</v>
      </c>
      <c r="E783" s="10" t="s">
        <v>63</v>
      </c>
      <c r="F783" s="709" t="s">
        <v>52</v>
      </c>
      <c r="G783" s="710" t="s">
        <v>89</v>
      </c>
      <c r="H783" s="710" t="s">
        <v>39</v>
      </c>
      <c r="I783" s="711" t="s">
        <v>408</v>
      </c>
      <c r="J783" s="10" t="s">
        <v>50</v>
      </c>
      <c r="K783" s="24">
        <f>1884.7+118.8</f>
        <v>2003.5</v>
      </c>
      <c r="L783" s="24">
        <f>M783-K783</f>
        <v>0</v>
      </c>
      <c r="M783" s="24">
        <f>1884.7+118.8</f>
        <v>2003.5</v>
      </c>
      <c r="N783" s="157"/>
    </row>
    <row r="784" spans="1:14" s="7" customFormat="1" ht="162" x14ac:dyDescent="0.35">
      <c r="A784" s="11"/>
      <c r="B784" s="510" t="s">
        <v>577</v>
      </c>
      <c r="C784" s="23" t="s">
        <v>290</v>
      </c>
      <c r="D784" s="10" t="s">
        <v>67</v>
      </c>
      <c r="E784" s="10" t="s">
        <v>63</v>
      </c>
      <c r="F784" s="709" t="s">
        <v>52</v>
      </c>
      <c r="G784" s="710" t="s">
        <v>89</v>
      </c>
      <c r="H784" s="710" t="s">
        <v>39</v>
      </c>
      <c r="I784" s="711" t="s">
        <v>576</v>
      </c>
      <c r="J784" s="10"/>
      <c r="K784" s="24">
        <f>K785</f>
        <v>5120</v>
      </c>
      <c r="L784" s="24">
        <f>L785</f>
        <v>0</v>
      </c>
      <c r="M784" s="24">
        <f>M785</f>
        <v>5120</v>
      </c>
      <c r="N784" s="157"/>
    </row>
    <row r="785" spans="1:14" s="7" customFormat="1" ht="54" x14ac:dyDescent="0.35">
      <c r="A785" s="11"/>
      <c r="B785" s="510" t="s">
        <v>55</v>
      </c>
      <c r="C785" s="23" t="s">
        <v>290</v>
      </c>
      <c r="D785" s="10" t="s">
        <v>67</v>
      </c>
      <c r="E785" s="10" t="s">
        <v>63</v>
      </c>
      <c r="F785" s="709" t="s">
        <v>52</v>
      </c>
      <c r="G785" s="710" t="s">
        <v>89</v>
      </c>
      <c r="H785" s="710" t="s">
        <v>39</v>
      </c>
      <c r="I785" s="711" t="s">
        <v>576</v>
      </c>
      <c r="J785" s="10" t="s">
        <v>56</v>
      </c>
      <c r="K785" s="24">
        <v>5120</v>
      </c>
      <c r="L785" s="24">
        <f>M785-K785</f>
        <v>0</v>
      </c>
      <c r="M785" s="24">
        <v>5120</v>
      </c>
      <c r="N785" s="157"/>
    </row>
    <row r="786" spans="1:14" s="7" customFormat="1" ht="36" customHeight="1" x14ac:dyDescent="0.35">
      <c r="A786" s="11"/>
      <c r="B786" s="560" t="s">
        <v>199</v>
      </c>
      <c r="C786" s="23" t="s">
        <v>290</v>
      </c>
      <c r="D786" s="10" t="s">
        <v>67</v>
      </c>
      <c r="E786" s="10" t="s">
        <v>65</v>
      </c>
      <c r="F786" s="709"/>
      <c r="G786" s="710"/>
      <c r="H786" s="710"/>
      <c r="I786" s="711"/>
      <c r="J786" s="10"/>
      <c r="K786" s="24">
        <f t="shared" ref="K786:M789" si="98">K787</f>
        <v>2971.1000000000004</v>
      </c>
      <c r="L786" s="24">
        <f t="shared" si="98"/>
        <v>0</v>
      </c>
      <c r="M786" s="24">
        <f t="shared" si="98"/>
        <v>2971.1000000000004</v>
      </c>
      <c r="N786" s="157"/>
    </row>
    <row r="787" spans="1:14" s="7" customFormat="1" ht="54" customHeight="1" x14ac:dyDescent="0.35">
      <c r="A787" s="11"/>
      <c r="B787" s="510" t="s">
        <v>217</v>
      </c>
      <c r="C787" s="23" t="s">
        <v>290</v>
      </c>
      <c r="D787" s="10" t="s">
        <v>67</v>
      </c>
      <c r="E787" s="10" t="s">
        <v>65</v>
      </c>
      <c r="F787" s="709" t="s">
        <v>52</v>
      </c>
      <c r="G787" s="710" t="s">
        <v>42</v>
      </c>
      <c r="H787" s="710" t="s">
        <v>43</v>
      </c>
      <c r="I787" s="711" t="s">
        <v>44</v>
      </c>
      <c r="J787" s="10"/>
      <c r="K787" s="24">
        <f t="shared" si="98"/>
        <v>2971.1000000000004</v>
      </c>
      <c r="L787" s="24">
        <f t="shared" si="98"/>
        <v>0</v>
      </c>
      <c r="M787" s="24">
        <f t="shared" si="98"/>
        <v>2971.1000000000004</v>
      </c>
      <c r="N787" s="157"/>
    </row>
    <row r="788" spans="1:14" s="7" customFormat="1" ht="36" customHeight="1" x14ac:dyDescent="0.35">
      <c r="A788" s="11"/>
      <c r="B788" s="517" t="s">
        <v>220</v>
      </c>
      <c r="C788" s="23" t="s">
        <v>290</v>
      </c>
      <c r="D788" s="10" t="s">
        <v>67</v>
      </c>
      <c r="E788" s="10" t="s">
        <v>65</v>
      </c>
      <c r="F788" s="709" t="s">
        <v>52</v>
      </c>
      <c r="G788" s="710" t="s">
        <v>89</v>
      </c>
      <c r="H788" s="710" t="s">
        <v>43</v>
      </c>
      <c r="I788" s="711" t="s">
        <v>44</v>
      </c>
      <c r="J788" s="10"/>
      <c r="K788" s="24">
        <f t="shared" si="98"/>
        <v>2971.1000000000004</v>
      </c>
      <c r="L788" s="24">
        <f t="shared" si="98"/>
        <v>0</v>
      </c>
      <c r="M788" s="24">
        <f t="shared" si="98"/>
        <v>2971.1000000000004</v>
      </c>
      <c r="N788" s="157"/>
    </row>
    <row r="789" spans="1:14" s="7" customFormat="1" ht="36" customHeight="1" x14ac:dyDescent="0.35">
      <c r="A789" s="11"/>
      <c r="B789" s="510" t="s">
        <v>282</v>
      </c>
      <c r="C789" s="23" t="s">
        <v>290</v>
      </c>
      <c r="D789" s="10" t="s">
        <v>67</v>
      </c>
      <c r="E789" s="10" t="s">
        <v>65</v>
      </c>
      <c r="F789" s="709" t="s">
        <v>52</v>
      </c>
      <c r="G789" s="710" t="s">
        <v>89</v>
      </c>
      <c r="H789" s="710" t="s">
        <v>37</v>
      </c>
      <c r="I789" s="711" t="s">
        <v>44</v>
      </c>
      <c r="J789" s="10"/>
      <c r="K789" s="24">
        <f t="shared" si="98"/>
        <v>2971.1000000000004</v>
      </c>
      <c r="L789" s="24">
        <f t="shared" si="98"/>
        <v>0</v>
      </c>
      <c r="M789" s="24">
        <f t="shared" si="98"/>
        <v>2971.1000000000004</v>
      </c>
      <c r="N789" s="157"/>
    </row>
    <row r="790" spans="1:14" s="7" customFormat="1" ht="36" customHeight="1" x14ac:dyDescent="0.35">
      <c r="A790" s="11"/>
      <c r="B790" s="510" t="s">
        <v>47</v>
      </c>
      <c r="C790" s="23" t="s">
        <v>290</v>
      </c>
      <c r="D790" s="10" t="s">
        <v>67</v>
      </c>
      <c r="E790" s="10" t="s">
        <v>65</v>
      </c>
      <c r="F790" s="709" t="s">
        <v>52</v>
      </c>
      <c r="G790" s="710" t="s">
        <v>89</v>
      </c>
      <c r="H790" s="710" t="s">
        <v>37</v>
      </c>
      <c r="I790" s="711" t="s">
        <v>48</v>
      </c>
      <c r="J790" s="10"/>
      <c r="K790" s="24">
        <f>K791+K792+K793</f>
        <v>2971.1000000000004</v>
      </c>
      <c r="L790" s="24">
        <f>L791+L792+L793</f>
        <v>0</v>
      </c>
      <c r="M790" s="24">
        <f>M791+M792+M793</f>
        <v>2971.1000000000004</v>
      </c>
      <c r="N790" s="157"/>
    </row>
    <row r="791" spans="1:14" s="7" customFormat="1" ht="108" customHeight="1" x14ac:dyDescent="0.35">
      <c r="A791" s="11"/>
      <c r="B791" s="510" t="s">
        <v>49</v>
      </c>
      <c r="C791" s="23" t="s">
        <v>290</v>
      </c>
      <c r="D791" s="10" t="s">
        <v>67</v>
      </c>
      <c r="E791" s="10" t="s">
        <v>65</v>
      </c>
      <c r="F791" s="709" t="s">
        <v>52</v>
      </c>
      <c r="G791" s="710" t="s">
        <v>89</v>
      </c>
      <c r="H791" s="710" t="s">
        <v>37</v>
      </c>
      <c r="I791" s="711" t="s">
        <v>48</v>
      </c>
      <c r="J791" s="10" t="s">
        <v>50</v>
      </c>
      <c r="K791" s="24">
        <v>2910.9</v>
      </c>
      <c r="L791" s="24">
        <f>M791-K791</f>
        <v>0</v>
      </c>
      <c r="M791" s="24">
        <v>2910.9</v>
      </c>
      <c r="N791" s="157"/>
    </row>
    <row r="792" spans="1:14" s="7" customFormat="1" ht="54" customHeight="1" x14ac:dyDescent="0.35">
      <c r="A792" s="11"/>
      <c r="B792" s="510" t="s">
        <v>55</v>
      </c>
      <c r="C792" s="23" t="s">
        <v>290</v>
      </c>
      <c r="D792" s="10" t="s">
        <v>67</v>
      </c>
      <c r="E792" s="10" t="s">
        <v>65</v>
      </c>
      <c r="F792" s="709" t="s">
        <v>52</v>
      </c>
      <c r="G792" s="710" t="s">
        <v>89</v>
      </c>
      <c r="H792" s="710" t="s">
        <v>37</v>
      </c>
      <c r="I792" s="711" t="s">
        <v>48</v>
      </c>
      <c r="J792" s="10" t="s">
        <v>56</v>
      </c>
      <c r="K792" s="24">
        <v>58.3</v>
      </c>
      <c r="L792" s="24">
        <f>M792-K792</f>
        <v>0</v>
      </c>
      <c r="M792" s="24">
        <v>58.3</v>
      </c>
      <c r="N792" s="157"/>
    </row>
    <row r="793" spans="1:14" s="7" customFormat="1" ht="18" customHeight="1" x14ac:dyDescent="0.35">
      <c r="A793" s="11"/>
      <c r="B793" s="510" t="s">
        <v>57</v>
      </c>
      <c r="C793" s="23" t="s">
        <v>290</v>
      </c>
      <c r="D793" s="10" t="s">
        <v>67</v>
      </c>
      <c r="E793" s="10" t="s">
        <v>65</v>
      </c>
      <c r="F793" s="709" t="s">
        <v>52</v>
      </c>
      <c r="G793" s="710" t="s">
        <v>89</v>
      </c>
      <c r="H793" s="710" t="s">
        <v>37</v>
      </c>
      <c r="I793" s="711" t="s">
        <v>48</v>
      </c>
      <c r="J793" s="10" t="s">
        <v>58</v>
      </c>
      <c r="K793" s="24">
        <v>1.9</v>
      </c>
      <c r="L793" s="24">
        <f>M793-K793</f>
        <v>0</v>
      </c>
      <c r="M793" s="24">
        <v>1.9</v>
      </c>
      <c r="N793" s="157"/>
    </row>
    <row r="794" spans="1:14" s="7" customFormat="1" ht="18" customHeight="1" x14ac:dyDescent="0.35">
      <c r="A794" s="11"/>
      <c r="B794" s="510"/>
      <c r="C794" s="23"/>
      <c r="D794" s="10"/>
      <c r="E794" s="10"/>
      <c r="F794" s="709"/>
      <c r="G794" s="710"/>
      <c r="H794" s="710"/>
      <c r="I794" s="711"/>
      <c r="J794" s="10"/>
      <c r="K794" s="24"/>
      <c r="L794" s="24"/>
      <c r="M794" s="24"/>
      <c r="N794" s="157"/>
    </row>
    <row r="795" spans="1:14" s="116" customFormat="1" ht="52.2" customHeight="1" x14ac:dyDescent="0.3">
      <c r="A795" s="115">
        <v>8</v>
      </c>
      <c r="B795" s="557" t="s">
        <v>11</v>
      </c>
      <c r="C795" s="18" t="s">
        <v>286</v>
      </c>
      <c r="D795" s="19"/>
      <c r="E795" s="19"/>
      <c r="F795" s="20"/>
      <c r="G795" s="21"/>
      <c r="H795" s="21"/>
      <c r="I795" s="22"/>
      <c r="J795" s="19"/>
      <c r="K795" s="32">
        <f>K809+K796</f>
        <v>9664.3700000000008</v>
      </c>
      <c r="L795" s="32">
        <f>L809+L796</f>
        <v>73.899999999999977</v>
      </c>
      <c r="M795" s="32">
        <f>M809+M796</f>
        <v>9738.27</v>
      </c>
    </row>
    <row r="796" spans="1:14" s="116" customFormat="1" ht="18" customHeight="1" x14ac:dyDescent="0.35">
      <c r="A796" s="115"/>
      <c r="B796" s="510" t="s">
        <v>36</v>
      </c>
      <c r="C796" s="23" t="s">
        <v>286</v>
      </c>
      <c r="D796" s="10" t="s">
        <v>37</v>
      </c>
      <c r="E796" s="10"/>
      <c r="F796" s="709"/>
      <c r="G796" s="710"/>
      <c r="H796" s="710"/>
      <c r="I796" s="711"/>
      <c r="J796" s="10"/>
      <c r="K796" s="215">
        <f t="shared" ref="K796:M798" si="99">K797</f>
        <v>238.60000000000002</v>
      </c>
      <c r="L796" s="215">
        <f t="shared" si="99"/>
        <v>0</v>
      </c>
      <c r="M796" s="215">
        <f t="shared" si="99"/>
        <v>238.60000000000002</v>
      </c>
    </row>
    <row r="797" spans="1:14" s="116" customFormat="1" ht="18" customHeight="1" x14ac:dyDescent="0.35">
      <c r="A797" s="115"/>
      <c r="B797" s="510" t="s">
        <v>70</v>
      </c>
      <c r="C797" s="23" t="s">
        <v>286</v>
      </c>
      <c r="D797" s="10" t="s">
        <v>37</v>
      </c>
      <c r="E797" s="10" t="s">
        <v>71</v>
      </c>
      <c r="F797" s="709"/>
      <c r="G797" s="710"/>
      <c r="H797" s="710"/>
      <c r="I797" s="711"/>
      <c r="J797" s="10"/>
      <c r="K797" s="215">
        <f t="shared" si="99"/>
        <v>238.60000000000002</v>
      </c>
      <c r="L797" s="215">
        <f t="shared" si="99"/>
        <v>0</v>
      </c>
      <c r="M797" s="215">
        <f t="shared" si="99"/>
        <v>238.60000000000002</v>
      </c>
    </row>
    <row r="798" spans="1:14" s="116" customFormat="1" ht="54" customHeight="1" x14ac:dyDescent="0.35">
      <c r="A798" s="115"/>
      <c r="B798" s="510" t="s">
        <v>221</v>
      </c>
      <c r="C798" s="23" t="s">
        <v>286</v>
      </c>
      <c r="D798" s="10" t="s">
        <v>37</v>
      </c>
      <c r="E798" s="10" t="s">
        <v>71</v>
      </c>
      <c r="F798" s="709" t="s">
        <v>65</v>
      </c>
      <c r="G798" s="710" t="s">
        <v>42</v>
      </c>
      <c r="H798" s="710" t="s">
        <v>43</v>
      </c>
      <c r="I798" s="711" t="s">
        <v>44</v>
      </c>
      <c r="J798" s="10"/>
      <c r="K798" s="215">
        <f t="shared" si="99"/>
        <v>238.60000000000002</v>
      </c>
      <c r="L798" s="215">
        <f t="shared" si="99"/>
        <v>0</v>
      </c>
      <c r="M798" s="215">
        <f t="shared" si="99"/>
        <v>238.60000000000002</v>
      </c>
    </row>
    <row r="799" spans="1:14" s="116" customFormat="1" ht="36" customHeight="1" x14ac:dyDescent="0.35">
      <c r="A799" s="115"/>
      <c r="B799" s="510" t="s">
        <v>220</v>
      </c>
      <c r="C799" s="23" t="s">
        <v>286</v>
      </c>
      <c r="D799" s="10" t="s">
        <v>37</v>
      </c>
      <c r="E799" s="10" t="s">
        <v>71</v>
      </c>
      <c r="F799" s="709" t="s">
        <v>65</v>
      </c>
      <c r="G799" s="710" t="s">
        <v>89</v>
      </c>
      <c r="H799" s="710" t="s">
        <v>43</v>
      </c>
      <c r="I799" s="711" t="s">
        <v>44</v>
      </c>
      <c r="J799" s="10"/>
      <c r="K799" s="215">
        <f>K800+K803+K806</f>
        <v>238.60000000000002</v>
      </c>
      <c r="L799" s="215">
        <f>L800+L803+L806</f>
        <v>0</v>
      </c>
      <c r="M799" s="215">
        <f>M800+M803+M806</f>
        <v>238.60000000000002</v>
      </c>
    </row>
    <row r="800" spans="1:14" s="116" customFormat="1" ht="36" customHeight="1" x14ac:dyDescent="0.35">
      <c r="A800" s="115"/>
      <c r="B800" s="583" t="s">
        <v>351</v>
      </c>
      <c r="C800" s="23" t="s">
        <v>286</v>
      </c>
      <c r="D800" s="10" t="s">
        <v>37</v>
      </c>
      <c r="E800" s="10" t="s">
        <v>71</v>
      </c>
      <c r="F800" s="709" t="s">
        <v>65</v>
      </c>
      <c r="G800" s="710" t="s">
        <v>89</v>
      </c>
      <c r="H800" s="710" t="s">
        <v>39</v>
      </c>
      <c r="I800" s="711" t="s">
        <v>44</v>
      </c>
      <c r="J800" s="10"/>
      <c r="K800" s="215">
        <f t="shared" ref="K800:M801" si="100">K801</f>
        <v>179.6</v>
      </c>
      <c r="L800" s="215">
        <f t="shared" si="100"/>
        <v>0</v>
      </c>
      <c r="M800" s="215">
        <f t="shared" si="100"/>
        <v>179.6</v>
      </c>
    </row>
    <row r="801" spans="1:13" s="116" customFormat="1" ht="54" customHeight="1" x14ac:dyDescent="0.35">
      <c r="A801" s="115"/>
      <c r="B801" s="583" t="s">
        <v>352</v>
      </c>
      <c r="C801" s="23" t="s">
        <v>286</v>
      </c>
      <c r="D801" s="10" t="s">
        <v>37</v>
      </c>
      <c r="E801" s="10" t="s">
        <v>71</v>
      </c>
      <c r="F801" s="709" t="s">
        <v>65</v>
      </c>
      <c r="G801" s="710" t="s">
        <v>89</v>
      </c>
      <c r="H801" s="710" t="s">
        <v>39</v>
      </c>
      <c r="I801" s="711" t="s">
        <v>105</v>
      </c>
      <c r="J801" s="10"/>
      <c r="K801" s="215">
        <f t="shared" si="100"/>
        <v>179.6</v>
      </c>
      <c r="L801" s="215">
        <f t="shared" si="100"/>
        <v>0</v>
      </c>
      <c r="M801" s="215">
        <f t="shared" si="100"/>
        <v>179.6</v>
      </c>
    </row>
    <row r="802" spans="1:13" s="116" customFormat="1" ht="54" customHeight="1" x14ac:dyDescent="0.35">
      <c r="A802" s="115"/>
      <c r="B802" s="583" t="s">
        <v>55</v>
      </c>
      <c r="C802" s="23" t="s">
        <v>286</v>
      </c>
      <c r="D802" s="10" t="s">
        <v>37</v>
      </c>
      <c r="E802" s="10" t="s">
        <v>71</v>
      </c>
      <c r="F802" s="709" t="s">
        <v>65</v>
      </c>
      <c r="G802" s="710" t="s">
        <v>89</v>
      </c>
      <c r="H802" s="710" t="s">
        <v>39</v>
      </c>
      <c r="I802" s="711" t="s">
        <v>105</v>
      </c>
      <c r="J802" s="10" t="s">
        <v>56</v>
      </c>
      <c r="K802" s="215">
        <f>82.8+96.8</f>
        <v>179.6</v>
      </c>
      <c r="L802" s="24">
        <f>M802-K802</f>
        <v>0</v>
      </c>
      <c r="M802" s="215">
        <f>82.8+96.8</f>
        <v>179.6</v>
      </c>
    </row>
    <row r="803" spans="1:13" s="116" customFormat="1" ht="36" customHeight="1" x14ac:dyDescent="0.35">
      <c r="A803" s="115"/>
      <c r="B803" s="510" t="s">
        <v>468</v>
      </c>
      <c r="C803" s="23" t="s">
        <v>286</v>
      </c>
      <c r="D803" s="10" t="s">
        <v>37</v>
      </c>
      <c r="E803" s="10" t="s">
        <v>71</v>
      </c>
      <c r="F803" s="709" t="s">
        <v>65</v>
      </c>
      <c r="G803" s="710" t="s">
        <v>89</v>
      </c>
      <c r="H803" s="710" t="s">
        <v>63</v>
      </c>
      <c r="I803" s="711" t="s">
        <v>44</v>
      </c>
      <c r="J803" s="10"/>
      <c r="K803" s="215">
        <f t="shared" ref="K803:M804" si="101">K804</f>
        <v>14.8</v>
      </c>
      <c r="L803" s="215">
        <f t="shared" si="101"/>
        <v>0</v>
      </c>
      <c r="M803" s="215">
        <f t="shared" si="101"/>
        <v>14.8</v>
      </c>
    </row>
    <row r="804" spans="1:13" s="116" customFormat="1" ht="18" customHeight="1" x14ac:dyDescent="0.35">
      <c r="A804" s="115"/>
      <c r="B804" s="510" t="s">
        <v>466</v>
      </c>
      <c r="C804" s="23" t="s">
        <v>286</v>
      </c>
      <c r="D804" s="10" t="s">
        <v>37</v>
      </c>
      <c r="E804" s="10" t="s">
        <v>71</v>
      </c>
      <c r="F804" s="709" t="s">
        <v>65</v>
      </c>
      <c r="G804" s="710" t="s">
        <v>89</v>
      </c>
      <c r="H804" s="710" t="s">
        <v>63</v>
      </c>
      <c r="I804" s="711" t="s">
        <v>467</v>
      </c>
      <c r="J804" s="10"/>
      <c r="K804" s="215">
        <f t="shared" si="101"/>
        <v>14.8</v>
      </c>
      <c r="L804" s="215">
        <f t="shared" si="101"/>
        <v>0</v>
      </c>
      <c r="M804" s="215">
        <f t="shared" si="101"/>
        <v>14.8</v>
      </c>
    </row>
    <row r="805" spans="1:13" s="116" customFormat="1" ht="54" customHeight="1" x14ac:dyDescent="0.35">
      <c r="A805" s="115"/>
      <c r="B805" s="583" t="s">
        <v>55</v>
      </c>
      <c r="C805" s="23" t="s">
        <v>286</v>
      </c>
      <c r="D805" s="10" t="s">
        <v>37</v>
      </c>
      <c r="E805" s="10" t="s">
        <v>71</v>
      </c>
      <c r="F805" s="709" t="s">
        <v>65</v>
      </c>
      <c r="G805" s="710" t="s">
        <v>89</v>
      </c>
      <c r="H805" s="710" t="s">
        <v>63</v>
      </c>
      <c r="I805" s="711" t="s">
        <v>467</v>
      </c>
      <c r="J805" s="28" t="s">
        <v>56</v>
      </c>
      <c r="K805" s="215">
        <v>14.8</v>
      </c>
      <c r="L805" s="24">
        <f>M805-K805</f>
        <v>0</v>
      </c>
      <c r="M805" s="215">
        <v>14.8</v>
      </c>
    </row>
    <row r="806" spans="1:13" s="116" customFormat="1" ht="36" customHeight="1" x14ac:dyDescent="0.35">
      <c r="A806" s="115"/>
      <c r="B806" s="583" t="s">
        <v>471</v>
      </c>
      <c r="C806" s="23" t="s">
        <v>286</v>
      </c>
      <c r="D806" s="10" t="s">
        <v>37</v>
      </c>
      <c r="E806" s="10" t="s">
        <v>71</v>
      </c>
      <c r="F806" s="709" t="s">
        <v>65</v>
      </c>
      <c r="G806" s="710" t="s">
        <v>89</v>
      </c>
      <c r="H806" s="710" t="s">
        <v>52</v>
      </c>
      <c r="I806" s="711" t="s">
        <v>44</v>
      </c>
      <c r="J806" s="19"/>
      <c r="K806" s="215">
        <f t="shared" ref="K806:M807" si="102">K807</f>
        <v>44.2</v>
      </c>
      <c r="L806" s="215">
        <f t="shared" si="102"/>
        <v>0</v>
      </c>
      <c r="M806" s="215">
        <f t="shared" si="102"/>
        <v>44.2</v>
      </c>
    </row>
    <row r="807" spans="1:13" s="116" customFormat="1" ht="36" customHeight="1" x14ac:dyDescent="0.35">
      <c r="A807" s="115"/>
      <c r="B807" s="584" t="s">
        <v>127</v>
      </c>
      <c r="C807" s="23" t="s">
        <v>286</v>
      </c>
      <c r="D807" s="10" t="s">
        <v>37</v>
      </c>
      <c r="E807" s="10" t="s">
        <v>71</v>
      </c>
      <c r="F807" s="709" t="s">
        <v>65</v>
      </c>
      <c r="G807" s="710" t="s">
        <v>89</v>
      </c>
      <c r="H807" s="710" t="s">
        <v>52</v>
      </c>
      <c r="I807" s="711" t="s">
        <v>90</v>
      </c>
      <c r="J807" s="19"/>
      <c r="K807" s="215">
        <f t="shared" si="102"/>
        <v>44.2</v>
      </c>
      <c r="L807" s="215">
        <f t="shared" si="102"/>
        <v>0</v>
      </c>
      <c r="M807" s="215">
        <f t="shared" si="102"/>
        <v>44.2</v>
      </c>
    </row>
    <row r="808" spans="1:13" s="116" customFormat="1" ht="54" customHeight="1" x14ac:dyDescent="0.35">
      <c r="A808" s="115"/>
      <c r="B808" s="583" t="s">
        <v>55</v>
      </c>
      <c r="C808" s="23" t="s">
        <v>286</v>
      </c>
      <c r="D808" s="10" t="s">
        <v>37</v>
      </c>
      <c r="E808" s="10" t="s">
        <v>71</v>
      </c>
      <c r="F808" s="709" t="s">
        <v>65</v>
      </c>
      <c r="G808" s="710" t="s">
        <v>89</v>
      </c>
      <c r="H808" s="710" t="s">
        <v>52</v>
      </c>
      <c r="I808" s="711" t="s">
        <v>90</v>
      </c>
      <c r="J808" s="28" t="s">
        <v>56</v>
      </c>
      <c r="K808" s="215">
        <v>44.2</v>
      </c>
      <c r="L808" s="24">
        <f>M808-K808</f>
        <v>0</v>
      </c>
      <c r="M808" s="215">
        <v>44.2</v>
      </c>
    </row>
    <row r="809" spans="1:13" s="7" customFormat="1" ht="18" customHeight="1" x14ac:dyDescent="0.35">
      <c r="A809" s="115"/>
      <c r="B809" s="510" t="s">
        <v>179</v>
      </c>
      <c r="C809" s="23" t="s">
        <v>286</v>
      </c>
      <c r="D809" s="10" t="s">
        <v>224</v>
      </c>
      <c r="E809" s="10"/>
      <c r="F809" s="709"/>
      <c r="G809" s="710"/>
      <c r="H809" s="710"/>
      <c r="I809" s="711"/>
      <c r="J809" s="10"/>
      <c r="K809" s="24">
        <f>K810+K820</f>
        <v>9425.77</v>
      </c>
      <c r="L809" s="24">
        <f>L810+L820</f>
        <v>73.899999999999977</v>
      </c>
      <c r="M809" s="24">
        <f>M810+M820</f>
        <v>9499.67</v>
      </c>
    </row>
    <row r="810" spans="1:13" s="116" customFormat="1" ht="18" customHeight="1" x14ac:dyDescent="0.35">
      <c r="A810" s="115"/>
      <c r="B810" s="510" t="s">
        <v>350</v>
      </c>
      <c r="C810" s="23" t="s">
        <v>286</v>
      </c>
      <c r="D810" s="10" t="s">
        <v>224</v>
      </c>
      <c r="E810" s="10" t="s">
        <v>224</v>
      </c>
      <c r="F810" s="709"/>
      <c r="G810" s="710"/>
      <c r="H810" s="710"/>
      <c r="I810" s="711"/>
      <c r="J810" s="10"/>
      <c r="K810" s="24">
        <f t="shared" ref="K810:M812" si="103">K811</f>
        <v>5816.9699999999993</v>
      </c>
      <c r="L810" s="24">
        <f t="shared" si="103"/>
        <v>40</v>
      </c>
      <c r="M810" s="24">
        <f t="shared" si="103"/>
        <v>5856.9699999999993</v>
      </c>
    </row>
    <row r="811" spans="1:13" s="116" customFormat="1" ht="54" customHeight="1" x14ac:dyDescent="0.35">
      <c r="A811" s="115"/>
      <c r="B811" s="510" t="s">
        <v>221</v>
      </c>
      <c r="C811" s="23" t="s">
        <v>286</v>
      </c>
      <c r="D811" s="10" t="s">
        <v>224</v>
      </c>
      <c r="E811" s="10" t="s">
        <v>224</v>
      </c>
      <c r="F811" s="709" t="s">
        <v>65</v>
      </c>
      <c r="G811" s="710" t="s">
        <v>42</v>
      </c>
      <c r="H811" s="710" t="s">
        <v>43</v>
      </c>
      <c r="I811" s="711" t="s">
        <v>44</v>
      </c>
      <c r="J811" s="10"/>
      <c r="K811" s="24">
        <f t="shared" si="103"/>
        <v>5816.9699999999993</v>
      </c>
      <c r="L811" s="24">
        <f t="shared" si="103"/>
        <v>40</v>
      </c>
      <c r="M811" s="24">
        <f t="shared" si="103"/>
        <v>5856.9699999999993</v>
      </c>
    </row>
    <row r="812" spans="1:13" s="116" customFormat="1" ht="18" customHeight="1" x14ac:dyDescent="0.35">
      <c r="A812" s="115"/>
      <c r="B812" s="510" t="s">
        <v>222</v>
      </c>
      <c r="C812" s="23" t="s">
        <v>286</v>
      </c>
      <c r="D812" s="10" t="s">
        <v>224</v>
      </c>
      <c r="E812" s="10" t="s">
        <v>224</v>
      </c>
      <c r="F812" s="709" t="s">
        <v>65</v>
      </c>
      <c r="G812" s="710" t="s">
        <v>45</v>
      </c>
      <c r="H812" s="710" t="s">
        <v>43</v>
      </c>
      <c r="I812" s="711" t="s">
        <v>44</v>
      </c>
      <c r="J812" s="10"/>
      <c r="K812" s="24">
        <f t="shared" si="103"/>
        <v>5816.9699999999993</v>
      </c>
      <c r="L812" s="24">
        <f t="shared" si="103"/>
        <v>40</v>
      </c>
      <c r="M812" s="24">
        <f t="shared" si="103"/>
        <v>5856.9699999999993</v>
      </c>
    </row>
    <row r="813" spans="1:13" s="116" customFormat="1" ht="84" customHeight="1" x14ac:dyDescent="0.35">
      <c r="A813" s="115"/>
      <c r="B813" s="510" t="s">
        <v>287</v>
      </c>
      <c r="C813" s="23" t="s">
        <v>286</v>
      </c>
      <c r="D813" s="10" t="s">
        <v>224</v>
      </c>
      <c r="E813" s="10" t="s">
        <v>224</v>
      </c>
      <c r="F813" s="709" t="s">
        <v>65</v>
      </c>
      <c r="G813" s="710" t="s">
        <v>45</v>
      </c>
      <c r="H813" s="710" t="s">
        <v>37</v>
      </c>
      <c r="I813" s="711" t="s">
        <v>44</v>
      </c>
      <c r="J813" s="10"/>
      <c r="K813" s="24">
        <f>K814+K818</f>
        <v>5816.9699999999993</v>
      </c>
      <c r="L813" s="24">
        <f>L814+L818</f>
        <v>40</v>
      </c>
      <c r="M813" s="24">
        <f>M814+M818</f>
        <v>5856.9699999999993</v>
      </c>
    </row>
    <row r="814" spans="1:13" s="116" customFormat="1" ht="51" customHeight="1" x14ac:dyDescent="0.35">
      <c r="A814" s="115"/>
      <c r="B814" s="543" t="s">
        <v>464</v>
      </c>
      <c r="C814" s="23" t="s">
        <v>286</v>
      </c>
      <c r="D814" s="10" t="s">
        <v>224</v>
      </c>
      <c r="E814" s="10" t="s">
        <v>224</v>
      </c>
      <c r="F814" s="709" t="s">
        <v>65</v>
      </c>
      <c r="G814" s="710" t="s">
        <v>45</v>
      </c>
      <c r="H814" s="710" t="s">
        <v>37</v>
      </c>
      <c r="I814" s="711" t="s">
        <v>91</v>
      </c>
      <c r="J814" s="10"/>
      <c r="K814" s="24">
        <f>K815+K816+K817</f>
        <v>4263.7</v>
      </c>
      <c r="L814" s="24">
        <f>L815+L816+L817</f>
        <v>40</v>
      </c>
      <c r="M814" s="24">
        <f>M815+M816+M817</f>
        <v>4303.7</v>
      </c>
    </row>
    <row r="815" spans="1:13" s="116" customFormat="1" ht="108" customHeight="1" x14ac:dyDescent="0.35">
      <c r="A815" s="11"/>
      <c r="B815" s="510" t="s">
        <v>49</v>
      </c>
      <c r="C815" s="23" t="s">
        <v>286</v>
      </c>
      <c r="D815" s="10" t="s">
        <v>224</v>
      </c>
      <c r="E815" s="10" t="s">
        <v>224</v>
      </c>
      <c r="F815" s="709" t="s">
        <v>65</v>
      </c>
      <c r="G815" s="710" t="s">
        <v>45</v>
      </c>
      <c r="H815" s="710" t="s">
        <v>37</v>
      </c>
      <c r="I815" s="711" t="s">
        <v>91</v>
      </c>
      <c r="J815" s="10" t="s">
        <v>50</v>
      </c>
      <c r="K815" s="24">
        <f>3408.1+469.2</f>
        <v>3877.2999999999997</v>
      </c>
      <c r="L815" s="24">
        <f>M815-K815</f>
        <v>0</v>
      </c>
      <c r="M815" s="24">
        <f>3408.1+469.2</f>
        <v>3877.2999999999997</v>
      </c>
    </row>
    <row r="816" spans="1:13" s="7" customFormat="1" ht="54" customHeight="1" x14ac:dyDescent="0.35">
      <c r="A816" s="11"/>
      <c r="B816" s="510" t="s">
        <v>55</v>
      </c>
      <c r="C816" s="23" t="s">
        <v>286</v>
      </c>
      <c r="D816" s="10" t="s">
        <v>224</v>
      </c>
      <c r="E816" s="10" t="s">
        <v>224</v>
      </c>
      <c r="F816" s="709" t="s">
        <v>65</v>
      </c>
      <c r="G816" s="710" t="s">
        <v>45</v>
      </c>
      <c r="H816" s="710" t="s">
        <v>37</v>
      </c>
      <c r="I816" s="711" t="s">
        <v>91</v>
      </c>
      <c r="J816" s="10" t="s">
        <v>56</v>
      </c>
      <c r="K816" s="24">
        <f>324.3-40+59.4</f>
        <v>343.7</v>
      </c>
      <c r="L816" s="24">
        <f>M816-K816</f>
        <v>40</v>
      </c>
      <c r="M816" s="24">
        <f>324.3-40+59.4+40</f>
        <v>383.7</v>
      </c>
    </row>
    <row r="817" spans="1:14" s="7" customFormat="1" ht="18" customHeight="1" x14ac:dyDescent="0.35">
      <c r="A817" s="11"/>
      <c r="B817" s="510" t="s">
        <v>57</v>
      </c>
      <c r="C817" s="23" t="s">
        <v>286</v>
      </c>
      <c r="D817" s="10" t="s">
        <v>224</v>
      </c>
      <c r="E817" s="10" t="s">
        <v>224</v>
      </c>
      <c r="F817" s="709" t="s">
        <v>65</v>
      </c>
      <c r="G817" s="710" t="s">
        <v>45</v>
      </c>
      <c r="H817" s="710" t="s">
        <v>37</v>
      </c>
      <c r="I817" s="711" t="s">
        <v>91</v>
      </c>
      <c r="J817" s="10" t="s">
        <v>58</v>
      </c>
      <c r="K817" s="24">
        <f>2.7+40</f>
        <v>42.7</v>
      </c>
      <c r="L817" s="24">
        <f>M817-K817</f>
        <v>0</v>
      </c>
      <c r="M817" s="24">
        <f>2.7+40</f>
        <v>42.7</v>
      </c>
    </row>
    <row r="818" spans="1:14" s="7" customFormat="1" ht="36" customHeight="1" x14ac:dyDescent="0.35">
      <c r="A818" s="11"/>
      <c r="B818" s="510" t="s">
        <v>288</v>
      </c>
      <c r="C818" s="23" t="s">
        <v>286</v>
      </c>
      <c r="D818" s="10" t="s">
        <v>224</v>
      </c>
      <c r="E818" s="10" t="s">
        <v>224</v>
      </c>
      <c r="F818" s="709" t="s">
        <v>65</v>
      </c>
      <c r="G818" s="710" t="s">
        <v>45</v>
      </c>
      <c r="H818" s="710" t="s">
        <v>37</v>
      </c>
      <c r="I818" s="711" t="s">
        <v>289</v>
      </c>
      <c r="J818" s="10"/>
      <c r="K818" s="24">
        <f>K819</f>
        <v>1553.27</v>
      </c>
      <c r="L818" s="24">
        <f>L819</f>
        <v>0</v>
      </c>
      <c r="M818" s="24">
        <f>M819</f>
        <v>1553.27</v>
      </c>
    </row>
    <row r="819" spans="1:14" s="7" customFormat="1" ht="54" customHeight="1" x14ac:dyDescent="0.35">
      <c r="A819" s="11"/>
      <c r="B819" s="510" t="s">
        <v>55</v>
      </c>
      <c r="C819" s="23" t="s">
        <v>286</v>
      </c>
      <c r="D819" s="10" t="s">
        <v>224</v>
      </c>
      <c r="E819" s="10" t="s">
        <v>224</v>
      </c>
      <c r="F819" s="709" t="s">
        <v>65</v>
      </c>
      <c r="G819" s="710" t="s">
        <v>45</v>
      </c>
      <c r="H819" s="710" t="s">
        <v>37</v>
      </c>
      <c r="I819" s="711" t="s">
        <v>289</v>
      </c>
      <c r="J819" s="10" t="s">
        <v>56</v>
      </c>
      <c r="K819" s="24">
        <f>452.7+405.5+200.97+494.1</f>
        <v>1553.27</v>
      </c>
      <c r="L819" s="24">
        <f>M819-K819</f>
        <v>0</v>
      </c>
      <c r="M819" s="24">
        <f>452.7+405.5+200.97+494.1</f>
        <v>1553.27</v>
      </c>
    </row>
    <row r="820" spans="1:14" s="7" customFormat="1" ht="18" customHeight="1" x14ac:dyDescent="0.35">
      <c r="A820" s="11"/>
      <c r="B820" s="510" t="s">
        <v>186</v>
      </c>
      <c r="C820" s="148" t="s">
        <v>286</v>
      </c>
      <c r="D820" s="10" t="s">
        <v>224</v>
      </c>
      <c r="E820" s="10" t="s">
        <v>79</v>
      </c>
      <c r="F820" s="709"/>
      <c r="G820" s="710"/>
      <c r="H820" s="710"/>
      <c r="I820" s="711"/>
      <c r="J820" s="10"/>
      <c r="K820" s="24">
        <f t="shared" ref="K820:M822" si="104">K821</f>
        <v>3608.8</v>
      </c>
      <c r="L820" s="24">
        <f t="shared" si="104"/>
        <v>33.899999999999977</v>
      </c>
      <c r="M820" s="24">
        <f t="shared" si="104"/>
        <v>3642.7000000000003</v>
      </c>
      <c r="N820" s="157"/>
    </row>
    <row r="821" spans="1:14" s="7" customFormat="1" ht="54" customHeight="1" x14ac:dyDescent="0.35">
      <c r="A821" s="11"/>
      <c r="B821" s="510" t="s">
        <v>221</v>
      </c>
      <c r="C821" s="148" t="s">
        <v>286</v>
      </c>
      <c r="D821" s="10" t="s">
        <v>224</v>
      </c>
      <c r="E821" s="10" t="s">
        <v>79</v>
      </c>
      <c r="F821" s="709" t="s">
        <v>65</v>
      </c>
      <c r="G821" s="710" t="s">
        <v>42</v>
      </c>
      <c r="H821" s="710" t="s">
        <v>43</v>
      </c>
      <c r="I821" s="711" t="s">
        <v>44</v>
      </c>
      <c r="J821" s="10"/>
      <c r="K821" s="24">
        <f t="shared" si="104"/>
        <v>3608.8</v>
      </c>
      <c r="L821" s="24">
        <f t="shared" si="104"/>
        <v>33.899999999999977</v>
      </c>
      <c r="M821" s="24">
        <f t="shared" si="104"/>
        <v>3642.7000000000003</v>
      </c>
      <c r="N821" s="157"/>
    </row>
    <row r="822" spans="1:14" s="7" customFormat="1" ht="36" customHeight="1" x14ac:dyDescent="0.35">
      <c r="A822" s="11"/>
      <c r="B822" s="510" t="s">
        <v>220</v>
      </c>
      <c r="C822" s="23" t="s">
        <v>286</v>
      </c>
      <c r="D822" s="10" t="s">
        <v>224</v>
      </c>
      <c r="E822" s="10" t="s">
        <v>79</v>
      </c>
      <c r="F822" s="709" t="s">
        <v>65</v>
      </c>
      <c r="G822" s="710" t="s">
        <v>89</v>
      </c>
      <c r="H822" s="710" t="s">
        <v>43</v>
      </c>
      <c r="I822" s="711" t="s">
        <v>44</v>
      </c>
      <c r="J822" s="10"/>
      <c r="K822" s="24">
        <f t="shared" si="104"/>
        <v>3608.8</v>
      </c>
      <c r="L822" s="24">
        <f t="shared" si="104"/>
        <v>33.899999999999977</v>
      </c>
      <c r="M822" s="24">
        <f t="shared" si="104"/>
        <v>3642.7000000000003</v>
      </c>
    </row>
    <row r="823" spans="1:14" s="116" customFormat="1" ht="36" customHeight="1" x14ac:dyDescent="0.35">
      <c r="A823" s="11"/>
      <c r="B823" s="510" t="s">
        <v>282</v>
      </c>
      <c r="C823" s="23" t="s">
        <v>286</v>
      </c>
      <c r="D823" s="10" t="s">
        <v>224</v>
      </c>
      <c r="E823" s="10" t="s">
        <v>79</v>
      </c>
      <c r="F823" s="709" t="s">
        <v>65</v>
      </c>
      <c r="G823" s="710" t="s">
        <v>89</v>
      </c>
      <c r="H823" s="710" t="s">
        <v>37</v>
      </c>
      <c r="I823" s="711" t="s">
        <v>44</v>
      </c>
      <c r="J823" s="10"/>
      <c r="K823" s="24">
        <f>K824</f>
        <v>3608.8</v>
      </c>
      <c r="L823" s="24">
        <f>L824</f>
        <v>33.899999999999977</v>
      </c>
      <c r="M823" s="24">
        <f>M824</f>
        <v>3642.7000000000003</v>
      </c>
    </row>
    <row r="824" spans="1:14" s="7" customFormat="1" ht="36" customHeight="1" x14ac:dyDescent="0.35">
      <c r="A824" s="11"/>
      <c r="B824" s="510" t="s">
        <v>47</v>
      </c>
      <c r="C824" s="23" t="s">
        <v>286</v>
      </c>
      <c r="D824" s="10" t="s">
        <v>224</v>
      </c>
      <c r="E824" s="10" t="s">
        <v>79</v>
      </c>
      <c r="F824" s="709" t="s">
        <v>65</v>
      </c>
      <c r="G824" s="710" t="s">
        <v>89</v>
      </c>
      <c r="H824" s="710" t="s">
        <v>37</v>
      </c>
      <c r="I824" s="711" t="s">
        <v>48</v>
      </c>
      <c r="J824" s="10"/>
      <c r="K824" s="24">
        <f>K825+K826+K827</f>
        <v>3608.8</v>
      </c>
      <c r="L824" s="24">
        <f>L825+L826+L827</f>
        <v>33.899999999999977</v>
      </c>
      <c r="M824" s="24">
        <f>M825+M826+M827</f>
        <v>3642.7000000000003</v>
      </c>
    </row>
    <row r="825" spans="1:14" s="7" customFormat="1" ht="108" customHeight="1" x14ac:dyDescent="0.35">
      <c r="A825" s="11"/>
      <c r="B825" s="510" t="s">
        <v>49</v>
      </c>
      <c r="C825" s="23" t="s">
        <v>286</v>
      </c>
      <c r="D825" s="10" t="s">
        <v>224</v>
      </c>
      <c r="E825" s="10" t="s">
        <v>79</v>
      </c>
      <c r="F825" s="709" t="s">
        <v>65</v>
      </c>
      <c r="G825" s="710" t="s">
        <v>89</v>
      </c>
      <c r="H825" s="710" t="s">
        <v>37</v>
      </c>
      <c r="I825" s="711" t="s">
        <v>48</v>
      </c>
      <c r="J825" s="10" t="s">
        <v>50</v>
      </c>
      <c r="K825" s="24">
        <f>3167.4+55.4</f>
        <v>3222.8</v>
      </c>
      <c r="L825" s="24">
        <f>M825-K825</f>
        <v>0</v>
      </c>
      <c r="M825" s="24">
        <f>3167.4+55.4</f>
        <v>3222.8</v>
      </c>
      <c r="N825" s="157"/>
    </row>
    <row r="826" spans="1:14" s="7" customFormat="1" ht="54" customHeight="1" x14ac:dyDescent="0.35">
      <c r="A826" s="11"/>
      <c r="B826" s="510" t="s">
        <v>55</v>
      </c>
      <c r="C826" s="148" t="s">
        <v>286</v>
      </c>
      <c r="D826" s="95" t="s">
        <v>224</v>
      </c>
      <c r="E826" s="95" t="s">
        <v>79</v>
      </c>
      <c r="F826" s="709" t="s">
        <v>65</v>
      </c>
      <c r="G826" s="710" t="s">
        <v>89</v>
      </c>
      <c r="H826" s="710" t="s">
        <v>37</v>
      </c>
      <c r="I826" s="711" t="s">
        <v>48</v>
      </c>
      <c r="J826" s="10" t="s">
        <v>56</v>
      </c>
      <c r="K826" s="24">
        <f>355.2+29.5</f>
        <v>384.7</v>
      </c>
      <c r="L826" s="24">
        <f>M826-K826</f>
        <v>33.899999999999977</v>
      </c>
      <c r="M826" s="24">
        <f>355.2+29.5+33.9</f>
        <v>418.59999999999997</v>
      </c>
    </row>
    <row r="827" spans="1:14" s="7" customFormat="1" ht="18" customHeight="1" x14ac:dyDescent="0.35">
      <c r="A827" s="11"/>
      <c r="B827" s="510" t="s">
        <v>57</v>
      </c>
      <c r="C827" s="148" t="s">
        <v>286</v>
      </c>
      <c r="D827" s="95" t="s">
        <v>224</v>
      </c>
      <c r="E827" s="95" t="s">
        <v>79</v>
      </c>
      <c r="F827" s="709" t="s">
        <v>65</v>
      </c>
      <c r="G827" s="710" t="s">
        <v>89</v>
      </c>
      <c r="H827" s="710" t="s">
        <v>37</v>
      </c>
      <c r="I827" s="711" t="s">
        <v>48</v>
      </c>
      <c r="J827" s="10" t="s">
        <v>58</v>
      </c>
      <c r="K827" s="24">
        <v>1.3</v>
      </c>
      <c r="L827" s="24">
        <f>M827-K827</f>
        <v>0</v>
      </c>
      <c r="M827" s="24">
        <v>1.3</v>
      </c>
      <c r="N827" s="157"/>
    </row>
    <row r="828" spans="1:14" s="7" customFormat="1" ht="18" customHeight="1" x14ac:dyDescent="0.35">
      <c r="A828" s="11"/>
      <c r="B828" s="510"/>
      <c r="C828" s="148"/>
      <c r="D828" s="95"/>
      <c r="E828" s="95"/>
      <c r="F828" s="709"/>
      <c r="G828" s="710"/>
      <c r="H828" s="710"/>
      <c r="I828" s="711"/>
      <c r="J828" s="10"/>
      <c r="K828" s="24"/>
      <c r="L828" s="24"/>
      <c r="M828" s="24"/>
      <c r="N828" s="157"/>
    </row>
    <row r="829" spans="1:14" s="116" customFormat="1" ht="52.2" customHeight="1" x14ac:dyDescent="0.3">
      <c r="A829" s="115">
        <v>9</v>
      </c>
      <c r="B829" s="557" t="s">
        <v>12</v>
      </c>
      <c r="C829" s="18" t="s">
        <v>294</v>
      </c>
      <c r="D829" s="19"/>
      <c r="E829" s="19"/>
      <c r="F829" s="20"/>
      <c r="G829" s="21"/>
      <c r="H829" s="21"/>
      <c r="I829" s="22"/>
      <c r="J829" s="19"/>
      <c r="K829" s="32">
        <f>K830</f>
        <v>71151.7</v>
      </c>
      <c r="L829" s="32">
        <f>L830</f>
        <v>119.9</v>
      </c>
      <c r="M829" s="32">
        <f>M830</f>
        <v>71271.600000000006</v>
      </c>
    </row>
    <row r="830" spans="1:14" s="7" customFormat="1" ht="18" customHeight="1" x14ac:dyDescent="0.35">
      <c r="A830" s="11"/>
      <c r="B830" s="560" t="s">
        <v>119</v>
      </c>
      <c r="C830" s="23" t="s">
        <v>294</v>
      </c>
      <c r="D830" s="10" t="s">
        <v>104</v>
      </c>
      <c r="E830" s="10"/>
      <c r="F830" s="709"/>
      <c r="G830" s="710"/>
      <c r="H830" s="710"/>
      <c r="I830" s="711"/>
      <c r="J830" s="10"/>
      <c r="K830" s="24">
        <f>K831+K852</f>
        <v>71151.7</v>
      </c>
      <c r="L830" s="24">
        <f>L831+L852</f>
        <v>119.9</v>
      </c>
      <c r="M830" s="24">
        <f>M831+M852</f>
        <v>71271.600000000006</v>
      </c>
    </row>
    <row r="831" spans="1:14" s="7" customFormat="1" ht="18" customHeight="1" x14ac:dyDescent="0.35">
      <c r="A831" s="11"/>
      <c r="B831" s="510" t="s">
        <v>193</v>
      </c>
      <c r="C831" s="23" t="s">
        <v>294</v>
      </c>
      <c r="D831" s="10" t="s">
        <v>104</v>
      </c>
      <c r="E831" s="10" t="s">
        <v>52</v>
      </c>
      <c r="F831" s="709"/>
      <c r="G831" s="710"/>
      <c r="H831" s="710"/>
      <c r="I831" s="711"/>
      <c r="J831" s="10"/>
      <c r="K831" s="24">
        <f t="shared" ref="K831:M832" si="105">K832</f>
        <v>62448.7</v>
      </c>
      <c r="L831" s="24">
        <f t="shared" si="105"/>
        <v>119.9</v>
      </c>
      <c r="M831" s="24">
        <f t="shared" si="105"/>
        <v>62568.6</v>
      </c>
    </row>
    <row r="832" spans="1:14" s="7" customFormat="1" ht="54" customHeight="1" x14ac:dyDescent="0.35">
      <c r="A832" s="11"/>
      <c r="B832" s="517" t="s">
        <v>230</v>
      </c>
      <c r="C832" s="23" t="s">
        <v>294</v>
      </c>
      <c r="D832" s="10" t="s">
        <v>104</v>
      </c>
      <c r="E832" s="10" t="s">
        <v>52</v>
      </c>
      <c r="F832" s="709" t="s">
        <v>79</v>
      </c>
      <c r="G832" s="710" t="s">
        <v>42</v>
      </c>
      <c r="H832" s="710" t="s">
        <v>43</v>
      </c>
      <c r="I832" s="711" t="s">
        <v>44</v>
      </c>
      <c r="J832" s="10"/>
      <c r="K832" s="24">
        <f t="shared" si="105"/>
        <v>62448.7</v>
      </c>
      <c r="L832" s="24">
        <f t="shared" si="105"/>
        <v>119.9</v>
      </c>
      <c r="M832" s="24">
        <f t="shared" si="105"/>
        <v>62568.6</v>
      </c>
    </row>
    <row r="833" spans="1:13" s="7" customFormat="1" ht="36" customHeight="1" x14ac:dyDescent="0.35">
      <c r="A833" s="11"/>
      <c r="B833" s="510" t="s">
        <v>339</v>
      </c>
      <c r="C833" s="23" t="s">
        <v>294</v>
      </c>
      <c r="D833" s="10" t="s">
        <v>104</v>
      </c>
      <c r="E833" s="10" t="s">
        <v>52</v>
      </c>
      <c r="F833" s="709" t="s">
        <v>79</v>
      </c>
      <c r="G833" s="710" t="s">
        <v>45</v>
      </c>
      <c r="H833" s="710" t="s">
        <v>43</v>
      </c>
      <c r="I833" s="711" t="s">
        <v>44</v>
      </c>
      <c r="J833" s="10"/>
      <c r="K833" s="24">
        <f>K834+K849</f>
        <v>62448.7</v>
      </c>
      <c r="L833" s="24">
        <f>L834+L849</f>
        <v>119.9</v>
      </c>
      <c r="M833" s="24">
        <f>M834+M849</f>
        <v>62568.6</v>
      </c>
    </row>
    <row r="834" spans="1:13" s="116" customFormat="1" ht="36" customHeight="1" x14ac:dyDescent="0.35">
      <c r="A834" s="11"/>
      <c r="B834" s="510" t="s">
        <v>285</v>
      </c>
      <c r="C834" s="23" t="s">
        <v>294</v>
      </c>
      <c r="D834" s="10" t="s">
        <v>104</v>
      </c>
      <c r="E834" s="10" t="s">
        <v>52</v>
      </c>
      <c r="F834" s="709" t="s">
        <v>79</v>
      </c>
      <c r="G834" s="710" t="s">
        <v>45</v>
      </c>
      <c r="H834" s="710" t="s">
        <v>37</v>
      </c>
      <c r="I834" s="711" t="s">
        <v>44</v>
      </c>
      <c r="J834" s="10"/>
      <c r="K834" s="24">
        <f>K835+K838+K843+K846</f>
        <v>62443.5</v>
      </c>
      <c r="L834" s="24">
        <f>L835+L838+L843+L846+L841</f>
        <v>119.9</v>
      </c>
      <c r="M834" s="24">
        <f>M835+M838+M843+M846+M841</f>
        <v>62563.4</v>
      </c>
    </row>
    <row r="835" spans="1:13" s="116" customFormat="1" ht="158.25" customHeight="1" x14ac:dyDescent="0.35">
      <c r="A835" s="11"/>
      <c r="B835" s="585" t="s">
        <v>357</v>
      </c>
      <c r="C835" s="23" t="s">
        <v>294</v>
      </c>
      <c r="D835" s="10" t="s">
        <v>104</v>
      </c>
      <c r="E835" s="10" t="s">
        <v>52</v>
      </c>
      <c r="F835" s="709" t="s">
        <v>79</v>
      </c>
      <c r="G835" s="710" t="s">
        <v>45</v>
      </c>
      <c r="H835" s="710" t="s">
        <v>37</v>
      </c>
      <c r="I835" s="711" t="s">
        <v>542</v>
      </c>
      <c r="J835" s="10"/>
      <c r="K835" s="24">
        <f>SUM(K836:K837)</f>
        <v>35725.5</v>
      </c>
      <c r="L835" s="24">
        <f>SUM(L836:L837)</f>
        <v>0</v>
      </c>
      <c r="M835" s="24">
        <f>SUM(M836:M837)</f>
        <v>35725.5</v>
      </c>
    </row>
    <row r="836" spans="1:13" s="116" customFormat="1" ht="54" customHeight="1" x14ac:dyDescent="0.35">
      <c r="A836" s="11"/>
      <c r="B836" s="510" t="s">
        <v>55</v>
      </c>
      <c r="C836" s="23" t="s">
        <v>294</v>
      </c>
      <c r="D836" s="10" t="s">
        <v>104</v>
      </c>
      <c r="E836" s="10" t="s">
        <v>52</v>
      </c>
      <c r="F836" s="709" t="s">
        <v>79</v>
      </c>
      <c r="G836" s="710" t="s">
        <v>45</v>
      </c>
      <c r="H836" s="710" t="s">
        <v>37</v>
      </c>
      <c r="I836" s="711" t="s">
        <v>542</v>
      </c>
      <c r="J836" s="10" t="s">
        <v>56</v>
      </c>
      <c r="K836" s="24">
        <v>178.6</v>
      </c>
      <c r="L836" s="24">
        <f>M836-K836</f>
        <v>0</v>
      </c>
      <c r="M836" s="24">
        <v>178.6</v>
      </c>
    </row>
    <row r="837" spans="1:13" s="116" customFormat="1" ht="36" customHeight="1" x14ac:dyDescent="0.35">
      <c r="A837" s="11"/>
      <c r="B837" s="510" t="s">
        <v>120</v>
      </c>
      <c r="C837" s="23" t="s">
        <v>294</v>
      </c>
      <c r="D837" s="10" t="s">
        <v>104</v>
      </c>
      <c r="E837" s="10" t="s">
        <v>52</v>
      </c>
      <c r="F837" s="709" t="s">
        <v>79</v>
      </c>
      <c r="G837" s="710" t="s">
        <v>45</v>
      </c>
      <c r="H837" s="710" t="s">
        <v>37</v>
      </c>
      <c r="I837" s="711" t="s">
        <v>542</v>
      </c>
      <c r="J837" s="10" t="s">
        <v>121</v>
      </c>
      <c r="K837" s="24">
        <v>35546.9</v>
      </c>
      <c r="L837" s="24">
        <f>M837-K837</f>
        <v>0</v>
      </c>
      <c r="M837" s="24">
        <v>35546.9</v>
      </c>
    </row>
    <row r="838" spans="1:13" s="116" customFormat="1" ht="90" customHeight="1" x14ac:dyDescent="0.35">
      <c r="A838" s="11"/>
      <c r="B838" s="510" t="s">
        <v>359</v>
      </c>
      <c r="C838" s="23" t="s">
        <v>294</v>
      </c>
      <c r="D838" s="10" t="s">
        <v>104</v>
      </c>
      <c r="E838" s="10" t="s">
        <v>52</v>
      </c>
      <c r="F838" s="709" t="s">
        <v>79</v>
      </c>
      <c r="G838" s="710" t="s">
        <v>45</v>
      </c>
      <c r="H838" s="710" t="s">
        <v>37</v>
      </c>
      <c r="I838" s="711" t="s">
        <v>544</v>
      </c>
      <c r="J838" s="10"/>
      <c r="K838" s="24">
        <f>SUM(K839:K840)</f>
        <v>361.2</v>
      </c>
      <c r="L838" s="24">
        <f>SUM(L839:L840)</f>
        <v>0</v>
      </c>
      <c r="M838" s="24">
        <f>SUM(M839:M840)</f>
        <v>361.2</v>
      </c>
    </row>
    <row r="839" spans="1:13" s="116" customFormat="1" ht="54" customHeight="1" x14ac:dyDescent="0.35">
      <c r="A839" s="11"/>
      <c r="B839" s="510" t="s">
        <v>55</v>
      </c>
      <c r="C839" s="23" t="s">
        <v>294</v>
      </c>
      <c r="D839" s="10" t="s">
        <v>104</v>
      </c>
      <c r="E839" s="10" t="s">
        <v>52</v>
      </c>
      <c r="F839" s="709" t="s">
        <v>79</v>
      </c>
      <c r="G839" s="710" t="s">
        <v>45</v>
      </c>
      <c r="H839" s="710" t="s">
        <v>37</v>
      </c>
      <c r="I839" s="711" t="s">
        <v>544</v>
      </c>
      <c r="J839" s="10" t="s">
        <v>56</v>
      </c>
      <c r="K839" s="24">
        <v>1.8</v>
      </c>
      <c r="L839" s="24">
        <f>M839-K839</f>
        <v>0</v>
      </c>
      <c r="M839" s="24">
        <v>1.8</v>
      </c>
    </row>
    <row r="840" spans="1:13" s="116" customFormat="1" ht="36" customHeight="1" x14ac:dyDescent="0.35">
      <c r="A840" s="11"/>
      <c r="B840" s="510" t="s">
        <v>120</v>
      </c>
      <c r="C840" s="23" t="s">
        <v>294</v>
      </c>
      <c r="D840" s="10" t="s">
        <v>104</v>
      </c>
      <c r="E840" s="10" t="s">
        <v>52</v>
      </c>
      <c r="F840" s="709" t="s">
        <v>79</v>
      </c>
      <c r="G840" s="710" t="s">
        <v>45</v>
      </c>
      <c r="H840" s="710" t="s">
        <v>37</v>
      </c>
      <c r="I840" s="711" t="s">
        <v>544</v>
      </c>
      <c r="J840" s="10" t="s">
        <v>121</v>
      </c>
      <c r="K840" s="24">
        <v>359.4</v>
      </c>
      <c r="L840" s="24">
        <f>M840-K840</f>
        <v>0</v>
      </c>
      <c r="M840" s="24">
        <v>359.4</v>
      </c>
    </row>
    <row r="841" spans="1:13" s="116" customFormat="1" ht="144" x14ac:dyDescent="0.35">
      <c r="A841" s="11"/>
      <c r="B841" s="510" t="s">
        <v>755</v>
      </c>
      <c r="C841" s="23" t="s">
        <v>294</v>
      </c>
      <c r="D841" s="10" t="s">
        <v>104</v>
      </c>
      <c r="E841" s="10" t="s">
        <v>52</v>
      </c>
      <c r="F841" s="709" t="s">
        <v>79</v>
      </c>
      <c r="G841" s="710" t="s">
        <v>45</v>
      </c>
      <c r="H841" s="710" t="s">
        <v>37</v>
      </c>
      <c r="I841" s="711" t="s">
        <v>756</v>
      </c>
      <c r="J841" s="10"/>
      <c r="K841" s="24"/>
      <c r="L841" s="24">
        <f>L842</f>
        <v>119.9</v>
      </c>
      <c r="M841" s="24">
        <f>M842</f>
        <v>119.9</v>
      </c>
    </row>
    <row r="842" spans="1:13" s="116" customFormat="1" ht="36" customHeight="1" x14ac:dyDescent="0.35">
      <c r="A842" s="11"/>
      <c r="B842" s="510" t="s">
        <v>120</v>
      </c>
      <c r="C842" s="23" t="s">
        <v>294</v>
      </c>
      <c r="D842" s="10" t="s">
        <v>104</v>
      </c>
      <c r="E842" s="10" t="s">
        <v>52</v>
      </c>
      <c r="F842" s="709" t="s">
        <v>79</v>
      </c>
      <c r="G842" s="710" t="s">
        <v>45</v>
      </c>
      <c r="H842" s="710" t="s">
        <v>37</v>
      </c>
      <c r="I842" s="711" t="s">
        <v>756</v>
      </c>
      <c r="J842" s="10" t="s">
        <v>121</v>
      </c>
      <c r="K842" s="24"/>
      <c r="L842" s="24">
        <f>M842-K842</f>
        <v>119.9</v>
      </c>
      <c r="M842" s="24">
        <v>119.9</v>
      </c>
    </row>
    <row r="843" spans="1:13" s="116" customFormat="1" ht="90" customHeight="1" x14ac:dyDescent="0.35">
      <c r="A843" s="11"/>
      <c r="B843" s="510" t="s">
        <v>358</v>
      </c>
      <c r="C843" s="23" t="s">
        <v>294</v>
      </c>
      <c r="D843" s="10" t="s">
        <v>104</v>
      </c>
      <c r="E843" s="10" t="s">
        <v>52</v>
      </c>
      <c r="F843" s="709" t="s">
        <v>79</v>
      </c>
      <c r="G843" s="710" t="s">
        <v>45</v>
      </c>
      <c r="H843" s="710" t="s">
        <v>37</v>
      </c>
      <c r="I843" s="711" t="s">
        <v>543</v>
      </c>
      <c r="J843" s="10"/>
      <c r="K843" s="24">
        <f>SUM(K844:K845)</f>
        <v>26010</v>
      </c>
      <c r="L843" s="24">
        <f>SUM(L844:L845)</f>
        <v>0</v>
      </c>
      <c r="M843" s="24">
        <f>SUM(M844:M845)</f>
        <v>26010</v>
      </c>
    </row>
    <row r="844" spans="1:13" s="116" customFormat="1" ht="54" customHeight="1" x14ac:dyDescent="0.35">
      <c r="A844" s="11"/>
      <c r="B844" s="510" t="s">
        <v>55</v>
      </c>
      <c r="C844" s="23" t="s">
        <v>294</v>
      </c>
      <c r="D844" s="10" t="s">
        <v>104</v>
      </c>
      <c r="E844" s="10" t="s">
        <v>52</v>
      </c>
      <c r="F844" s="709" t="s">
        <v>79</v>
      </c>
      <c r="G844" s="710" t="s">
        <v>45</v>
      </c>
      <c r="H844" s="710" t="s">
        <v>37</v>
      </c>
      <c r="I844" s="711" t="s">
        <v>543</v>
      </c>
      <c r="J844" s="10" t="s">
        <v>56</v>
      </c>
      <c r="K844" s="24">
        <v>130.1</v>
      </c>
      <c r="L844" s="24">
        <f>M844-K844</f>
        <v>0</v>
      </c>
      <c r="M844" s="24">
        <v>130.1</v>
      </c>
    </row>
    <row r="845" spans="1:13" s="116" customFormat="1" ht="36" customHeight="1" x14ac:dyDescent="0.35">
      <c r="A845" s="11"/>
      <c r="B845" s="510" t="s">
        <v>120</v>
      </c>
      <c r="C845" s="23" t="s">
        <v>294</v>
      </c>
      <c r="D845" s="10" t="s">
        <v>104</v>
      </c>
      <c r="E845" s="10" t="s">
        <v>52</v>
      </c>
      <c r="F845" s="709" t="s">
        <v>79</v>
      </c>
      <c r="G845" s="710" t="s">
        <v>45</v>
      </c>
      <c r="H845" s="710" t="s">
        <v>37</v>
      </c>
      <c r="I845" s="711" t="s">
        <v>543</v>
      </c>
      <c r="J845" s="10" t="s">
        <v>121</v>
      </c>
      <c r="K845" s="24">
        <v>25879.9</v>
      </c>
      <c r="L845" s="24">
        <f>M845-K845</f>
        <v>0</v>
      </c>
      <c r="M845" s="24">
        <v>25879.9</v>
      </c>
    </row>
    <row r="846" spans="1:13" s="116" customFormat="1" ht="108" customHeight="1" x14ac:dyDescent="0.35">
      <c r="A846" s="11"/>
      <c r="B846" s="510" t="s">
        <v>365</v>
      </c>
      <c r="C846" s="23" t="s">
        <v>294</v>
      </c>
      <c r="D846" s="10" t="s">
        <v>104</v>
      </c>
      <c r="E846" s="10" t="s">
        <v>52</v>
      </c>
      <c r="F846" s="709" t="s">
        <v>79</v>
      </c>
      <c r="G846" s="710" t="s">
        <v>45</v>
      </c>
      <c r="H846" s="710" t="s">
        <v>37</v>
      </c>
      <c r="I846" s="711" t="s">
        <v>545</v>
      </c>
      <c r="J846" s="10"/>
      <c r="K846" s="24">
        <f>SUM(K847:K848)</f>
        <v>346.8</v>
      </c>
      <c r="L846" s="24">
        <f>SUM(L847:L848)</f>
        <v>0</v>
      </c>
      <c r="M846" s="24">
        <f>SUM(M847:M848)</f>
        <v>346.8</v>
      </c>
    </row>
    <row r="847" spans="1:13" s="116" customFormat="1" ht="54" customHeight="1" x14ac:dyDescent="0.35">
      <c r="A847" s="11"/>
      <c r="B847" s="510" t="s">
        <v>55</v>
      </c>
      <c r="C847" s="23" t="s">
        <v>294</v>
      </c>
      <c r="D847" s="10" t="s">
        <v>104</v>
      </c>
      <c r="E847" s="10" t="s">
        <v>52</v>
      </c>
      <c r="F847" s="709" t="s">
        <v>79</v>
      </c>
      <c r="G847" s="710" t="s">
        <v>45</v>
      </c>
      <c r="H847" s="710" t="s">
        <v>37</v>
      </c>
      <c r="I847" s="711" t="s">
        <v>545</v>
      </c>
      <c r="J847" s="10" t="s">
        <v>56</v>
      </c>
      <c r="K847" s="24">
        <v>1.7</v>
      </c>
      <c r="L847" s="24">
        <f>M847-K847</f>
        <v>0</v>
      </c>
      <c r="M847" s="24">
        <v>1.7</v>
      </c>
    </row>
    <row r="848" spans="1:13" s="116" customFormat="1" ht="36" customHeight="1" x14ac:dyDescent="0.35">
      <c r="A848" s="11"/>
      <c r="B848" s="510" t="s">
        <v>120</v>
      </c>
      <c r="C848" s="23" t="s">
        <v>294</v>
      </c>
      <c r="D848" s="10" t="s">
        <v>104</v>
      </c>
      <c r="E848" s="10" t="s">
        <v>52</v>
      </c>
      <c r="F848" s="709" t="s">
        <v>79</v>
      </c>
      <c r="G848" s="710" t="s">
        <v>45</v>
      </c>
      <c r="H848" s="710" t="s">
        <v>37</v>
      </c>
      <c r="I848" s="711" t="s">
        <v>545</v>
      </c>
      <c r="J848" s="10" t="s">
        <v>121</v>
      </c>
      <c r="K848" s="24">
        <v>345.1</v>
      </c>
      <c r="L848" s="24">
        <f>M848-K848</f>
        <v>0</v>
      </c>
      <c r="M848" s="24">
        <v>345.1</v>
      </c>
    </row>
    <row r="849" spans="1:13" s="116" customFormat="1" ht="90" customHeight="1" x14ac:dyDescent="0.35">
      <c r="A849" s="11"/>
      <c r="B849" s="510" t="s">
        <v>300</v>
      </c>
      <c r="C849" s="23" t="s">
        <v>294</v>
      </c>
      <c r="D849" s="10" t="s">
        <v>104</v>
      </c>
      <c r="E849" s="10" t="s">
        <v>52</v>
      </c>
      <c r="F849" s="709" t="s">
        <v>79</v>
      </c>
      <c r="G849" s="710" t="s">
        <v>45</v>
      </c>
      <c r="H849" s="710" t="s">
        <v>39</v>
      </c>
      <c r="I849" s="711" t="s">
        <v>44</v>
      </c>
      <c r="J849" s="10"/>
      <c r="K849" s="24">
        <f t="shared" ref="K849:M850" si="106">K850</f>
        <v>5.2</v>
      </c>
      <c r="L849" s="24">
        <f t="shared" si="106"/>
        <v>0</v>
      </c>
      <c r="M849" s="24">
        <f t="shared" si="106"/>
        <v>5.2</v>
      </c>
    </row>
    <row r="850" spans="1:13" s="116" customFormat="1" ht="198" customHeight="1" x14ac:dyDescent="0.35">
      <c r="A850" s="11"/>
      <c r="B850" s="510" t="s">
        <v>729</v>
      </c>
      <c r="C850" s="23" t="s">
        <v>294</v>
      </c>
      <c r="D850" s="10" t="s">
        <v>104</v>
      </c>
      <c r="E850" s="10" t="s">
        <v>52</v>
      </c>
      <c r="F850" s="709" t="s">
        <v>79</v>
      </c>
      <c r="G850" s="710" t="s">
        <v>45</v>
      </c>
      <c r="H850" s="710" t="s">
        <v>39</v>
      </c>
      <c r="I850" s="711" t="s">
        <v>600</v>
      </c>
      <c r="J850" s="10"/>
      <c r="K850" s="24">
        <f t="shared" si="106"/>
        <v>5.2</v>
      </c>
      <c r="L850" s="24">
        <f t="shared" si="106"/>
        <v>0</v>
      </c>
      <c r="M850" s="24">
        <f t="shared" si="106"/>
        <v>5.2</v>
      </c>
    </row>
    <row r="851" spans="1:13" s="116" customFormat="1" ht="36" customHeight="1" x14ac:dyDescent="0.35">
      <c r="A851" s="11"/>
      <c r="B851" s="510" t="s">
        <v>120</v>
      </c>
      <c r="C851" s="23" t="s">
        <v>294</v>
      </c>
      <c r="D851" s="10" t="s">
        <v>104</v>
      </c>
      <c r="E851" s="10" t="s">
        <v>52</v>
      </c>
      <c r="F851" s="709" t="s">
        <v>79</v>
      </c>
      <c r="G851" s="710" t="s">
        <v>45</v>
      </c>
      <c r="H851" s="710" t="s">
        <v>39</v>
      </c>
      <c r="I851" s="711" t="s">
        <v>600</v>
      </c>
      <c r="J851" s="10" t="s">
        <v>121</v>
      </c>
      <c r="K851" s="24">
        <v>5.2</v>
      </c>
      <c r="L851" s="24">
        <f>M851-K851</f>
        <v>0</v>
      </c>
      <c r="M851" s="24">
        <v>5.2</v>
      </c>
    </row>
    <row r="852" spans="1:13" s="7" customFormat="1" ht="36" customHeight="1" x14ac:dyDescent="0.35">
      <c r="A852" s="11"/>
      <c r="B852" s="510" t="s">
        <v>296</v>
      </c>
      <c r="C852" s="23" t="s">
        <v>294</v>
      </c>
      <c r="D852" s="10" t="s">
        <v>104</v>
      </c>
      <c r="E852" s="10" t="s">
        <v>81</v>
      </c>
      <c r="F852" s="709"/>
      <c r="G852" s="710"/>
      <c r="H852" s="710"/>
      <c r="I852" s="711"/>
      <c r="J852" s="10"/>
      <c r="K852" s="24">
        <f>K853</f>
        <v>8703</v>
      </c>
      <c r="L852" s="24">
        <f>L853</f>
        <v>0</v>
      </c>
      <c r="M852" s="24">
        <f>M853</f>
        <v>8703</v>
      </c>
    </row>
    <row r="853" spans="1:13" s="7" customFormat="1" ht="54" customHeight="1" x14ac:dyDescent="0.35">
      <c r="A853" s="11"/>
      <c r="B853" s="517" t="s">
        <v>230</v>
      </c>
      <c r="C853" s="23" t="s">
        <v>294</v>
      </c>
      <c r="D853" s="10" t="s">
        <v>104</v>
      </c>
      <c r="E853" s="10" t="s">
        <v>81</v>
      </c>
      <c r="F853" s="709" t="s">
        <v>79</v>
      </c>
      <c r="G853" s="710" t="s">
        <v>42</v>
      </c>
      <c r="H853" s="710" t="s">
        <v>43</v>
      </c>
      <c r="I853" s="711" t="s">
        <v>44</v>
      </c>
      <c r="J853" s="10"/>
      <c r="K853" s="24">
        <f t="shared" ref="K853:M854" si="107">K854</f>
        <v>8703</v>
      </c>
      <c r="L853" s="24">
        <f t="shared" si="107"/>
        <v>0</v>
      </c>
      <c r="M853" s="24">
        <f t="shared" si="107"/>
        <v>8703</v>
      </c>
    </row>
    <row r="854" spans="1:13" s="7" customFormat="1" ht="36" customHeight="1" x14ac:dyDescent="0.35">
      <c r="A854" s="11"/>
      <c r="B854" s="510" t="s">
        <v>339</v>
      </c>
      <c r="C854" s="23" t="s">
        <v>294</v>
      </c>
      <c r="D854" s="10" t="s">
        <v>104</v>
      </c>
      <c r="E854" s="10" t="s">
        <v>81</v>
      </c>
      <c r="F854" s="709" t="s">
        <v>79</v>
      </c>
      <c r="G854" s="710" t="s">
        <v>45</v>
      </c>
      <c r="H854" s="710" t="s">
        <v>43</v>
      </c>
      <c r="I854" s="711" t="s">
        <v>44</v>
      </c>
      <c r="J854" s="10"/>
      <c r="K854" s="24">
        <f t="shared" si="107"/>
        <v>8703</v>
      </c>
      <c r="L854" s="24">
        <f t="shared" si="107"/>
        <v>0</v>
      </c>
      <c r="M854" s="24">
        <f t="shared" si="107"/>
        <v>8703</v>
      </c>
    </row>
    <row r="855" spans="1:13" s="116" customFormat="1" ht="36" customHeight="1" x14ac:dyDescent="0.35">
      <c r="A855" s="11"/>
      <c r="B855" s="510" t="s">
        <v>229</v>
      </c>
      <c r="C855" s="23" t="s">
        <v>294</v>
      </c>
      <c r="D855" s="10" t="s">
        <v>104</v>
      </c>
      <c r="E855" s="10" t="s">
        <v>81</v>
      </c>
      <c r="F855" s="709" t="s">
        <v>79</v>
      </c>
      <c r="G855" s="710" t="s">
        <v>45</v>
      </c>
      <c r="H855" s="710" t="s">
        <v>63</v>
      </c>
      <c r="I855" s="711" t="s">
        <v>44</v>
      </c>
      <c r="J855" s="10"/>
      <c r="K855" s="24">
        <f>K856+K859+K862</f>
        <v>8703</v>
      </c>
      <c r="L855" s="24">
        <f>L856+L859+L862</f>
        <v>0</v>
      </c>
      <c r="M855" s="24">
        <f>M856+M859+M862</f>
        <v>8703</v>
      </c>
    </row>
    <row r="856" spans="1:13" s="116" customFormat="1" ht="272.25" customHeight="1" x14ac:dyDescent="0.35">
      <c r="A856" s="11"/>
      <c r="B856" s="586" t="s">
        <v>232</v>
      </c>
      <c r="C856" s="23" t="s">
        <v>294</v>
      </c>
      <c r="D856" s="10" t="s">
        <v>104</v>
      </c>
      <c r="E856" s="10" t="s">
        <v>81</v>
      </c>
      <c r="F856" s="709" t="s">
        <v>79</v>
      </c>
      <c r="G856" s="710" t="s">
        <v>45</v>
      </c>
      <c r="H856" s="710" t="s">
        <v>63</v>
      </c>
      <c r="I856" s="711" t="s">
        <v>546</v>
      </c>
      <c r="J856" s="10"/>
      <c r="K856" s="24">
        <f>K857+K858</f>
        <v>992.6</v>
      </c>
      <c r="L856" s="24">
        <f>L857+L858</f>
        <v>0</v>
      </c>
      <c r="M856" s="24">
        <f>M857+M858</f>
        <v>992.6</v>
      </c>
    </row>
    <row r="857" spans="1:13" s="116" customFormat="1" ht="108" customHeight="1" x14ac:dyDescent="0.35">
      <c r="A857" s="11"/>
      <c r="B857" s="510" t="s">
        <v>49</v>
      </c>
      <c r="C857" s="23" t="s">
        <v>294</v>
      </c>
      <c r="D857" s="10" t="s">
        <v>104</v>
      </c>
      <c r="E857" s="10" t="s">
        <v>81</v>
      </c>
      <c r="F857" s="709" t="s">
        <v>79</v>
      </c>
      <c r="G857" s="710" t="s">
        <v>45</v>
      </c>
      <c r="H857" s="710" t="s">
        <v>63</v>
      </c>
      <c r="I857" s="711" t="s">
        <v>546</v>
      </c>
      <c r="J857" s="10" t="s">
        <v>50</v>
      </c>
      <c r="K857" s="24">
        <v>830.6</v>
      </c>
      <c r="L857" s="24">
        <f>M857-K857</f>
        <v>0</v>
      </c>
      <c r="M857" s="24">
        <v>830.6</v>
      </c>
    </row>
    <row r="858" spans="1:13" s="116" customFormat="1" ht="54" customHeight="1" x14ac:dyDescent="0.35">
      <c r="A858" s="11"/>
      <c r="B858" s="510" t="s">
        <v>55</v>
      </c>
      <c r="C858" s="23" t="s">
        <v>294</v>
      </c>
      <c r="D858" s="10" t="s">
        <v>104</v>
      </c>
      <c r="E858" s="10" t="s">
        <v>81</v>
      </c>
      <c r="F858" s="709" t="s">
        <v>79</v>
      </c>
      <c r="G858" s="710" t="s">
        <v>45</v>
      </c>
      <c r="H858" s="710" t="s">
        <v>63</v>
      </c>
      <c r="I858" s="711" t="s">
        <v>546</v>
      </c>
      <c r="J858" s="10" t="s">
        <v>56</v>
      </c>
      <c r="K858" s="24">
        <v>162</v>
      </c>
      <c r="L858" s="24">
        <f>M858-K858</f>
        <v>0</v>
      </c>
      <c r="M858" s="24">
        <v>162</v>
      </c>
    </row>
    <row r="859" spans="1:13" s="116" customFormat="1" ht="108" customHeight="1" x14ac:dyDescent="0.35">
      <c r="A859" s="11"/>
      <c r="B859" s="510" t="s">
        <v>459</v>
      </c>
      <c r="C859" s="23" t="s">
        <v>294</v>
      </c>
      <c r="D859" s="10" t="s">
        <v>104</v>
      </c>
      <c r="E859" s="10" t="s">
        <v>81</v>
      </c>
      <c r="F859" s="709" t="s">
        <v>79</v>
      </c>
      <c r="G859" s="710" t="s">
        <v>45</v>
      </c>
      <c r="H859" s="710" t="s">
        <v>63</v>
      </c>
      <c r="I859" s="711" t="s">
        <v>540</v>
      </c>
      <c r="J859" s="10"/>
      <c r="K859" s="24">
        <f>K860+K861</f>
        <v>730</v>
      </c>
      <c r="L859" s="24">
        <f>L860+L861</f>
        <v>0</v>
      </c>
      <c r="M859" s="24">
        <f>M860+M861</f>
        <v>730</v>
      </c>
    </row>
    <row r="860" spans="1:13" s="116" customFormat="1" ht="108" customHeight="1" x14ac:dyDescent="0.35">
      <c r="A860" s="11"/>
      <c r="B860" s="510" t="s">
        <v>49</v>
      </c>
      <c r="C860" s="23" t="s">
        <v>294</v>
      </c>
      <c r="D860" s="10" t="s">
        <v>104</v>
      </c>
      <c r="E860" s="10" t="s">
        <v>81</v>
      </c>
      <c r="F860" s="709" t="s">
        <v>79</v>
      </c>
      <c r="G860" s="710" t="s">
        <v>45</v>
      </c>
      <c r="H860" s="710" t="s">
        <v>63</v>
      </c>
      <c r="I860" s="711" t="s">
        <v>540</v>
      </c>
      <c r="J860" s="10" t="s">
        <v>50</v>
      </c>
      <c r="K860" s="24">
        <v>649</v>
      </c>
      <c r="L860" s="24">
        <f>M860-K860</f>
        <v>0</v>
      </c>
      <c r="M860" s="24">
        <v>649</v>
      </c>
    </row>
    <row r="861" spans="1:13" s="116" customFormat="1" ht="54" customHeight="1" x14ac:dyDescent="0.35">
      <c r="A861" s="11"/>
      <c r="B861" s="510" t="s">
        <v>55</v>
      </c>
      <c r="C861" s="23" t="s">
        <v>294</v>
      </c>
      <c r="D861" s="10" t="s">
        <v>104</v>
      </c>
      <c r="E861" s="10" t="s">
        <v>81</v>
      </c>
      <c r="F861" s="709" t="s">
        <v>79</v>
      </c>
      <c r="G861" s="710" t="s">
        <v>45</v>
      </c>
      <c r="H861" s="710" t="s">
        <v>63</v>
      </c>
      <c r="I861" s="711" t="s">
        <v>540</v>
      </c>
      <c r="J861" s="10" t="s">
        <v>56</v>
      </c>
      <c r="K861" s="24">
        <v>81</v>
      </c>
      <c r="L861" s="24">
        <f>M861-K861</f>
        <v>0</v>
      </c>
      <c r="M861" s="24">
        <v>81</v>
      </c>
    </row>
    <row r="862" spans="1:13" s="116" customFormat="1" ht="72" customHeight="1" x14ac:dyDescent="0.35">
      <c r="A862" s="11"/>
      <c r="B862" s="510" t="s">
        <v>231</v>
      </c>
      <c r="C862" s="23" t="s">
        <v>294</v>
      </c>
      <c r="D862" s="10" t="s">
        <v>104</v>
      </c>
      <c r="E862" s="10" t="s">
        <v>81</v>
      </c>
      <c r="F862" s="709" t="s">
        <v>79</v>
      </c>
      <c r="G862" s="710" t="s">
        <v>45</v>
      </c>
      <c r="H862" s="710" t="s">
        <v>63</v>
      </c>
      <c r="I862" s="711" t="s">
        <v>541</v>
      </c>
      <c r="J862" s="10"/>
      <c r="K862" s="24">
        <f>K863+K864</f>
        <v>6980.4</v>
      </c>
      <c r="L862" s="24">
        <f>L863+L864</f>
        <v>0</v>
      </c>
      <c r="M862" s="24">
        <f>M863+M864</f>
        <v>6980.4</v>
      </c>
    </row>
    <row r="863" spans="1:13" s="116" customFormat="1" ht="108" customHeight="1" x14ac:dyDescent="0.35">
      <c r="A863" s="11"/>
      <c r="B863" s="510" t="s">
        <v>49</v>
      </c>
      <c r="C863" s="23" t="s">
        <v>294</v>
      </c>
      <c r="D863" s="10" t="s">
        <v>104</v>
      </c>
      <c r="E863" s="10" t="s">
        <v>81</v>
      </c>
      <c r="F863" s="709" t="s">
        <v>79</v>
      </c>
      <c r="G863" s="710" t="s">
        <v>45</v>
      </c>
      <c r="H863" s="710" t="s">
        <v>63</v>
      </c>
      <c r="I863" s="711" t="s">
        <v>541</v>
      </c>
      <c r="J863" s="10" t="s">
        <v>50</v>
      </c>
      <c r="K863" s="24">
        <v>6251.4</v>
      </c>
      <c r="L863" s="24">
        <f>M863-K863</f>
        <v>0</v>
      </c>
      <c r="M863" s="24">
        <v>6251.4</v>
      </c>
    </row>
    <row r="864" spans="1:13" s="116" customFormat="1" ht="54" customHeight="1" x14ac:dyDescent="0.35">
      <c r="A864" s="11"/>
      <c r="B864" s="510" t="s">
        <v>55</v>
      </c>
      <c r="C864" s="23" t="s">
        <v>294</v>
      </c>
      <c r="D864" s="10" t="s">
        <v>104</v>
      </c>
      <c r="E864" s="10" t="s">
        <v>81</v>
      </c>
      <c r="F864" s="709" t="s">
        <v>79</v>
      </c>
      <c r="G864" s="710" t="s">
        <v>45</v>
      </c>
      <c r="H864" s="710" t="s">
        <v>63</v>
      </c>
      <c r="I864" s="711" t="s">
        <v>541</v>
      </c>
      <c r="J864" s="10" t="s">
        <v>56</v>
      </c>
      <c r="K864" s="24">
        <v>729</v>
      </c>
      <c r="L864" s="24">
        <f>M864-K864</f>
        <v>0</v>
      </c>
      <c r="M864" s="24">
        <v>729</v>
      </c>
    </row>
    <row r="865" spans="1:14" s="116" customFormat="1" ht="18" customHeight="1" x14ac:dyDescent="0.35">
      <c r="A865" s="181"/>
      <c r="B865" s="503"/>
      <c r="C865" s="182"/>
      <c r="D865" s="109"/>
      <c r="E865" s="109"/>
      <c r="F865" s="109"/>
      <c r="G865" s="109"/>
      <c r="H865" s="109"/>
      <c r="I865" s="109"/>
      <c r="J865" s="109"/>
      <c r="K865" s="109"/>
      <c r="L865" s="109"/>
      <c r="M865" s="183"/>
    </row>
    <row r="866" spans="1:14" s="116" customFormat="1" ht="18" customHeight="1" x14ac:dyDescent="0.35">
      <c r="A866" s="181"/>
      <c r="B866" s="503"/>
      <c r="C866" s="182"/>
      <c r="D866" s="109"/>
      <c r="E866" s="109"/>
      <c r="F866" s="109"/>
      <c r="G866" s="109"/>
      <c r="H866" s="109"/>
      <c r="I866" s="109"/>
      <c r="J866" s="109"/>
      <c r="K866" s="109"/>
      <c r="L866" s="109"/>
      <c r="M866" s="183"/>
    </row>
    <row r="867" spans="1:14" s="80" customFormat="1" ht="18" customHeight="1" x14ac:dyDescent="0.35">
      <c r="A867" s="700" t="s">
        <v>762</v>
      </c>
      <c r="B867" s="81"/>
      <c r="C867" s="82"/>
      <c r="D867" s="82"/>
      <c r="E867" s="82"/>
      <c r="F867" s="42"/>
      <c r="G867" s="110"/>
      <c r="H867" s="149"/>
      <c r="M867" s="472"/>
    </row>
    <row r="868" spans="1:14" s="80" customFormat="1" ht="18" customHeight="1" x14ac:dyDescent="0.35">
      <c r="A868" s="700" t="s">
        <v>763</v>
      </c>
      <c r="B868" s="81"/>
      <c r="C868" s="82"/>
      <c r="D868" s="82"/>
      <c r="E868" s="82"/>
      <c r="F868" s="42"/>
      <c r="G868" s="110"/>
      <c r="H868" s="149"/>
      <c r="M868" s="472"/>
    </row>
    <row r="869" spans="1:14" s="80" customFormat="1" ht="18" customHeight="1" x14ac:dyDescent="0.35">
      <c r="A869" s="700" t="s">
        <v>375</v>
      </c>
      <c r="B869" s="81"/>
      <c r="E869" s="82"/>
      <c r="F869" s="42"/>
      <c r="M869" s="111" t="s">
        <v>764</v>
      </c>
    </row>
    <row r="870" spans="1:14" s="184" customFormat="1" ht="18" customHeight="1" x14ac:dyDescent="0.35">
      <c r="A870" s="701" t="s">
        <v>376</v>
      </c>
      <c r="B870" s="503"/>
      <c r="C870" s="182"/>
      <c r="D870" s="109"/>
      <c r="E870" s="109"/>
      <c r="F870" s="109"/>
      <c r="G870" s="109"/>
      <c r="H870" s="109"/>
      <c r="I870" s="109"/>
      <c r="J870" s="109"/>
      <c r="K870" s="109"/>
      <c r="L870" s="109"/>
      <c r="M870" s="183"/>
    </row>
    <row r="871" spans="1:14" s="184" customFormat="1" ht="18" customHeight="1" x14ac:dyDescent="0.35">
      <c r="A871" s="181"/>
      <c r="B871" s="503"/>
      <c r="C871" s="182"/>
      <c r="D871" s="109"/>
      <c r="E871" s="109"/>
      <c r="F871" s="109"/>
      <c r="G871" s="109"/>
      <c r="H871" s="109"/>
      <c r="I871" s="109"/>
      <c r="J871" s="109"/>
      <c r="K871" s="109"/>
      <c r="L871" s="109"/>
      <c r="M871" s="183"/>
    </row>
    <row r="872" spans="1:14" s="184" customFormat="1" ht="18" customHeight="1" x14ac:dyDescent="0.35">
      <c r="A872" s="181"/>
      <c r="B872" s="503"/>
      <c r="C872" s="182"/>
      <c r="D872" s="109"/>
      <c r="E872" s="109"/>
      <c r="F872" s="109"/>
      <c r="G872" s="109"/>
      <c r="H872" s="109"/>
      <c r="I872" s="109"/>
      <c r="J872" s="109"/>
      <c r="K872" s="109"/>
      <c r="L872" s="109"/>
      <c r="M872" s="183"/>
    </row>
    <row r="873" spans="1:14" s="184" customFormat="1" ht="18" hidden="1" customHeight="1" x14ac:dyDescent="0.35">
      <c r="A873" s="181"/>
      <c r="B873" s="503"/>
      <c r="C873" s="182"/>
      <c r="D873" s="28" t="s">
        <v>37</v>
      </c>
      <c r="E873" s="28" t="s">
        <v>39</v>
      </c>
      <c r="F873" s="29"/>
      <c r="G873" s="29"/>
      <c r="H873" s="29"/>
      <c r="I873" s="29"/>
      <c r="J873" s="29"/>
      <c r="K873" s="29"/>
      <c r="L873" s="29"/>
      <c r="M873" s="152">
        <f>M17</f>
        <v>2536.8000000000002</v>
      </c>
      <c r="N873" s="185"/>
    </row>
    <row r="874" spans="1:14" s="184" customFormat="1" ht="18" hidden="1" customHeight="1" x14ac:dyDescent="0.35">
      <c r="A874" s="181"/>
      <c r="B874" s="503"/>
      <c r="C874" s="182"/>
      <c r="D874" s="28" t="s">
        <v>37</v>
      </c>
      <c r="E874" s="28" t="s">
        <v>52</v>
      </c>
      <c r="F874" s="29"/>
      <c r="G874" s="29"/>
      <c r="H874" s="29"/>
      <c r="I874" s="29"/>
      <c r="J874" s="29"/>
      <c r="K874" s="29"/>
      <c r="L874" s="29"/>
      <c r="M874" s="152">
        <f>M23</f>
        <v>83818.684000000008</v>
      </c>
      <c r="N874" s="185"/>
    </row>
    <row r="875" spans="1:14" s="184" customFormat="1" ht="18" hidden="1" customHeight="1" x14ac:dyDescent="0.35">
      <c r="A875" s="181"/>
      <c r="B875" s="503"/>
      <c r="C875" s="182"/>
      <c r="D875" s="28" t="s">
        <v>37</v>
      </c>
      <c r="E875" s="28" t="s">
        <v>65</v>
      </c>
      <c r="F875" s="29"/>
      <c r="G875" s="29"/>
      <c r="H875" s="29"/>
      <c r="I875" s="29"/>
      <c r="J875" s="29"/>
      <c r="K875" s="29"/>
      <c r="L875" s="29"/>
      <c r="M875" s="152">
        <f>M45</f>
        <v>19.8</v>
      </c>
      <c r="N875" s="185"/>
    </row>
    <row r="876" spans="1:14" s="184" customFormat="1" ht="18" hidden="1" customHeight="1" x14ac:dyDescent="0.35">
      <c r="A876" s="181"/>
      <c r="B876" s="503"/>
      <c r="C876" s="182"/>
      <c r="D876" s="28" t="s">
        <v>37</v>
      </c>
      <c r="E876" s="28" t="s">
        <v>81</v>
      </c>
      <c r="F876" s="29"/>
      <c r="G876" s="29"/>
      <c r="H876" s="29"/>
      <c r="I876" s="29"/>
      <c r="J876" s="29"/>
      <c r="K876" s="29"/>
      <c r="L876" s="29"/>
      <c r="M876" s="152">
        <f>M268+M313</f>
        <v>38216.506999999998</v>
      </c>
      <c r="N876" s="185"/>
    </row>
    <row r="877" spans="1:14" s="184" customFormat="1" ht="18" hidden="1" customHeight="1" x14ac:dyDescent="0.35">
      <c r="A877" s="181"/>
      <c r="B877" s="503"/>
      <c r="C877" s="182"/>
      <c r="D877" s="28" t="s">
        <v>37</v>
      </c>
      <c r="E877" s="28" t="s">
        <v>67</v>
      </c>
      <c r="F877" s="29"/>
      <c r="G877" s="29"/>
      <c r="H877" s="29"/>
      <c r="I877" s="29"/>
      <c r="J877" s="29"/>
      <c r="K877" s="29"/>
      <c r="L877" s="29"/>
      <c r="M877" s="152">
        <f>M51</f>
        <v>11734.905939999995</v>
      </c>
      <c r="N877" s="185"/>
    </row>
    <row r="878" spans="1:14" s="184" customFormat="1" ht="18" hidden="1" customHeight="1" x14ac:dyDescent="0.35">
      <c r="A878" s="181"/>
      <c r="B878" s="503"/>
      <c r="C878" s="182"/>
      <c r="D878" s="28" t="s">
        <v>37</v>
      </c>
      <c r="E878" s="28" t="s">
        <v>71</v>
      </c>
      <c r="F878" s="29"/>
      <c r="G878" s="29"/>
      <c r="H878" s="29"/>
      <c r="I878" s="29"/>
      <c r="J878" s="29"/>
      <c r="K878" s="29"/>
      <c r="L878" s="29"/>
      <c r="M878" s="152">
        <f>M56+M281+M331+M797+M641+M723+M442</f>
        <v>147648.08709000002</v>
      </c>
      <c r="N878" s="185"/>
    </row>
    <row r="879" spans="1:14" ht="18" hidden="1" customHeight="1" x14ac:dyDescent="0.35">
      <c r="D879" s="153" t="s">
        <v>37</v>
      </c>
      <c r="E879" s="153" t="s">
        <v>43</v>
      </c>
      <c r="F879" s="29"/>
      <c r="G879" s="29"/>
      <c r="H879" s="29"/>
      <c r="I879" s="29"/>
      <c r="J879" s="29"/>
      <c r="K879" s="29"/>
      <c r="L879" s="29"/>
      <c r="M879" s="154">
        <f>SUBTOTAL(9,M873:M878)</f>
        <v>283974.78402999998</v>
      </c>
      <c r="N879" s="186"/>
    </row>
    <row r="880" spans="1:14" ht="18" hidden="1" customHeight="1" x14ac:dyDescent="0.35">
      <c r="D880" s="28"/>
      <c r="E880" s="28"/>
      <c r="F880" s="29"/>
      <c r="G880" s="29"/>
      <c r="H880" s="29"/>
      <c r="I880" s="29"/>
      <c r="J880" s="29"/>
      <c r="K880" s="29"/>
      <c r="L880" s="29"/>
      <c r="M880" s="152"/>
      <c r="N880" s="185"/>
    </row>
    <row r="881" spans="4:14" ht="18" hidden="1" customHeight="1" x14ac:dyDescent="0.35">
      <c r="D881" s="28" t="s">
        <v>63</v>
      </c>
      <c r="E881" s="28" t="s">
        <v>104</v>
      </c>
      <c r="F881" s="29"/>
      <c r="G881" s="29"/>
      <c r="H881" s="29"/>
      <c r="I881" s="29"/>
      <c r="J881" s="29"/>
      <c r="K881" s="29"/>
      <c r="L881" s="29"/>
      <c r="M881" s="152">
        <f>M95</f>
        <v>9493.3999999999978</v>
      </c>
      <c r="N881" s="185"/>
    </row>
    <row r="882" spans="4:14" ht="18" hidden="1" customHeight="1" x14ac:dyDescent="0.35">
      <c r="D882" s="28" t="s">
        <v>63</v>
      </c>
      <c r="E882" s="28" t="s">
        <v>88</v>
      </c>
      <c r="F882" s="29"/>
      <c r="G882" s="29"/>
      <c r="H882" s="29"/>
      <c r="I882" s="29"/>
      <c r="J882" s="29"/>
      <c r="K882" s="29"/>
      <c r="L882" s="29"/>
      <c r="M882" s="152">
        <f>M107</f>
        <v>13075.547999999997</v>
      </c>
      <c r="N882" s="185"/>
    </row>
    <row r="883" spans="4:14" ht="18" hidden="1" customHeight="1" x14ac:dyDescent="0.35">
      <c r="D883" s="153" t="s">
        <v>63</v>
      </c>
      <c r="E883" s="153" t="s">
        <v>43</v>
      </c>
      <c r="F883" s="29"/>
      <c r="G883" s="29"/>
      <c r="H883" s="29"/>
      <c r="I883" s="29"/>
      <c r="J883" s="29"/>
      <c r="K883" s="29"/>
      <c r="L883" s="29"/>
      <c r="M883" s="154">
        <f>SUBTOTAL(9,M881:M882)</f>
        <v>22568.947999999997</v>
      </c>
      <c r="N883" s="186"/>
    </row>
    <row r="884" spans="4:14" ht="18" hidden="1" customHeight="1" x14ac:dyDescent="0.35">
      <c r="D884" s="28"/>
      <c r="E884" s="28"/>
      <c r="F884" s="29"/>
      <c r="G884" s="29"/>
      <c r="H884" s="29"/>
      <c r="I884" s="29"/>
      <c r="J884" s="29"/>
      <c r="K884" s="29"/>
      <c r="L884" s="29"/>
      <c r="M884" s="152"/>
      <c r="N884" s="185"/>
    </row>
    <row r="885" spans="4:14" ht="18" hidden="1" customHeight="1" x14ac:dyDescent="0.35">
      <c r="D885" s="28" t="s">
        <v>52</v>
      </c>
      <c r="E885" s="28" t="s">
        <v>65</v>
      </c>
      <c r="F885" s="29"/>
      <c r="G885" s="29"/>
      <c r="H885" s="29"/>
      <c r="I885" s="29"/>
      <c r="J885" s="29"/>
      <c r="K885" s="29"/>
      <c r="L885" s="29"/>
      <c r="M885" s="152">
        <f>M132</f>
        <v>14369.400000000001</v>
      </c>
      <c r="N885" s="185"/>
    </row>
    <row r="886" spans="4:14" ht="18" hidden="1" customHeight="1" x14ac:dyDescent="0.35">
      <c r="D886" s="28" t="s">
        <v>52</v>
      </c>
      <c r="E886" s="28" t="s">
        <v>79</v>
      </c>
      <c r="F886" s="29"/>
      <c r="G886" s="29"/>
      <c r="H886" s="29"/>
      <c r="I886" s="29"/>
      <c r="J886" s="29"/>
      <c r="K886" s="29"/>
      <c r="L886" s="29"/>
      <c r="M886" s="152">
        <f>M141</f>
        <v>12364.4156</v>
      </c>
      <c r="N886" s="185"/>
    </row>
    <row r="887" spans="4:14" ht="18" hidden="1" customHeight="1" x14ac:dyDescent="0.35">
      <c r="D887" s="28" t="s">
        <v>52</v>
      </c>
      <c r="E887" s="28" t="s">
        <v>100</v>
      </c>
      <c r="F887" s="29"/>
      <c r="G887" s="29"/>
      <c r="H887" s="29"/>
      <c r="I887" s="29"/>
      <c r="J887" s="29"/>
      <c r="K887" s="29"/>
      <c r="L887" s="29"/>
      <c r="M887" s="152">
        <f>M147+M383</f>
        <v>70103.899999999994</v>
      </c>
      <c r="N887" s="185"/>
    </row>
    <row r="888" spans="4:14" ht="18" hidden="1" customHeight="1" x14ac:dyDescent="0.35">
      <c r="D888" s="153" t="s">
        <v>52</v>
      </c>
      <c r="E888" s="153" t="s">
        <v>43</v>
      </c>
      <c r="F888" s="29"/>
      <c r="G888" s="29"/>
      <c r="H888" s="29"/>
      <c r="I888" s="29"/>
      <c r="J888" s="29"/>
      <c r="K888" s="29"/>
      <c r="L888" s="29"/>
      <c r="M888" s="154">
        <f>SUBTOTAL(9,M885:M887)</f>
        <v>96837.715599999996</v>
      </c>
      <c r="N888" s="186"/>
    </row>
    <row r="889" spans="4:14" ht="18" hidden="1" customHeight="1" x14ac:dyDescent="0.35">
      <c r="D889" s="28"/>
      <c r="E889" s="28"/>
      <c r="F889" s="29"/>
      <c r="G889" s="29"/>
      <c r="H889" s="29"/>
      <c r="I889" s="29"/>
      <c r="J889" s="29"/>
      <c r="K889" s="29"/>
      <c r="L889" s="29"/>
      <c r="M889" s="152"/>
      <c r="N889" s="185"/>
    </row>
    <row r="890" spans="4:14" ht="18" hidden="1" customHeight="1" x14ac:dyDescent="0.35">
      <c r="D890" s="28" t="s">
        <v>65</v>
      </c>
      <c r="E890" s="28" t="s">
        <v>37</v>
      </c>
      <c r="F890" s="29"/>
      <c r="G890" s="29"/>
      <c r="H890" s="29"/>
      <c r="I890" s="29"/>
      <c r="J890" s="29"/>
      <c r="K890" s="29"/>
      <c r="L890" s="29"/>
      <c r="M890" s="152">
        <f>M179</f>
        <v>60690.600000000006</v>
      </c>
      <c r="N890" s="185"/>
    </row>
    <row r="891" spans="4:14" ht="18" hidden="1" customHeight="1" x14ac:dyDescent="0.35">
      <c r="D891" s="28" t="s">
        <v>65</v>
      </c>
      <c r="E891" s="28" t="s">
        <v>39</v>
      </c>
      <c r="F891" s="29"/>
      <c r="G891" s="29"/>
      <c r="H891" s="29"/>
      <c r="I891" s="29"/>
      <c r="J891" s="29"/>
      <c r="K891" s="29"/>
      <c r="L891" s="29"/>
      <c r="M891" s="152">
        <f>M394</f>
        <v>79683.3</v>
      </c>
      <c r="N891" s="185"/>
    </row>
    <row r="892" spans="4:14" ht="18" hidden="1" customHeight="1" x14ac:dyDescent="0.35">
      <c r="D892" s="28" t="s">
        <v>65</v>
      </c>
      <c r="E892" s="28" t="s">
        <v>65</v>
      </c>
      <c r="F892" s="29"/>
      <c r="G892" s="29"/>
      <c r="H892" s="29"/>
      <c r="I892" s="29"/>
      <c r="J892" s="29"/>
      <c r="K892" s="29"/>
      <c r="L892" s="29"/>
      <c r="M892" s="152"/>
      <c r="N892" s="185"/>
    </row>
    <row r="893" spans="4:14" ht="18" hidden="1" customHeight="1" x14ac:dyDescent="0.35">
      <c r="D893" s="28" t="s">
        <v>65</v>
      </c>
      <c r="E893" s="28" t="s">
        <v>63</v>
      </c>
      <c r="F893" s="29"/>
      <c r="G893" s="29"/>
      <c r="H893" s="29"/>
      <c r="I893" s="29"/>
      <c r="J893" s="29"/>
      <c r="K893" s="29"/>
      <c r="L893" s="29"/>
      <c r="M893" s="152">
        <f>M189</f>
        <v>7085.7000000000007</v>
      </c>
      <c r="N893" s="185"/>
    </row>
    <row r="894" spans="4:14" ht="18" hidden="1" customHeight="1" x14ac:dyDescent="0.35">
      <c r="D894" s="153" t="s">
        <v>65</v>
      </c>
      <c r="E894" s="153" t="s">
        <v>43</v>
      </c>
      <c r="F894" s="29"/>
      <c r="G894" s="29"/>
      <c r="H894" s="29"/>
      <c r="I894" s="29"/>
      <c r="J894" s="29"/>
      <c r="K894" s="29"/>
      <c r="L894" s="29"/>
      <c r="M894" s="154">
        <f>SUBTOTAL(9,M890:M893)</f>
        <v>147459.60000000003</v>
      </c>
      <c r="N894" s="186"/>
    </row>
    <row r="895" spans="4:14" ht="18" hidden="1" customHeight="1" x14ac:dyDescent="0.35">
      <c r="D895" s="28"/>
      <c r="E895" s="28"/>
      <c r="F895" s="29"/>
      <c r="G895" s="29"/>
      <c r="H895" s="29"/>
      <c r="I895" s="29"/>
      <c r="J895" s="29"/>
      <c r="K895" s="29"/>
      <c r="L895" s="29"/>
      <c r="M895" s="152"/>
      <c r="N895" s="185"/>
    </row>
    <row r="896" spans="4:14" ht="18" hidden="1" customHeight="1" x14ac:dyDescent="0.35">
      <c r="D896" s="28" t="s">
        <v>224</v>
      </c>
      <c r="E896" s="28" t="s">
        <v>37</v>
      </c>
      <c r="F896" s="29"/>
      <c r="G896" s="29"/>
      <c r="H896" s="29"/>
      <c r="I896" s="29"/>
      <c r="J896" s="29"/>
      <c r="K896" s="29"/>
      <c r="L896" s="29"/>
      <c r="M896" s="152">
        <f>M455+M401</f>
        <v>510727.48000000004</v>
      </c>
      <c r="N896" s="185"/>
    </row>
    <row r="897" spans="4:14" ht="18" hidden="1" customHeight="1" x14ac:dyDescent="0.35">
      <c r="D897" s="28" t="s">
        <v>224</v>
      </c>
      <c r="E897" s="28" t="s">
        <v>39</v>
      </c>
      <c r="F897" s="29"/>
      <c r="G897" s="29"/>
      <c r="H897" s="29"/>
      <c r="I897" s="29"/>
      <c r="J897" s="29"/>
      <c r="K897" s="29"/>
      <c r="L897" s="29"/>
      <c r="M897" s="152">
        <f>M409+M491</f>
        <v>928794.91530000011</v>
      </c>
      <c r="N897" s="185"/>
    </row>
    <row r="898" spans="4:14" ht="18" hidden="1" customHeight="1" x14ac:dyDescent="0.35">
      <c r="D898" s="28" t="s">
        <v>224</v>
      </c>
      <c r="E898" s="28" t="s">
        <v>63</v>
      </c>
      <c r="F898" s="29"/>
      <c r="G898" s="29"/>
      <c r="H898" s="29"/>
      <c r="I898" s="29"/>
      <c r="J898" s="29"/>
      <c r="K898" s="29"/>
      <c r="L898" s="29"/>
      <c r="M898" s="152">
        <f>M552+M648</f>
        <v>158784.247</v>
      </c>
      <c r="N898" s="185"/>
    </row>
    <row r="899" spans="4:14" ht="18" hidden="1" customHeight="1" x14ac:dyDescent="0.35">
      <c r="D899" s="28" t="s">
        <v>224</v>
      </c>
      <c r="E899" s="28" t="s">
        <v>65</v>
      </c>
      <c r="F899" s="29"/>
      <c r="G899" s="29"/>
      <c r="H899" s="29"/>
      <c r="I899" s="29"/>
      <c r="J899" s="29"/>
      <c r="K899" s="29"/>
      <c r="L899" s="29"/>
      <c r="M899" s="152">
        <f>M196+M291+M417+M323+M584</f>
        <v>284.59299999999996</v>
      </c>
      <c r="N899" s="185"/>
    </row>
    <row r="900" spans="4:14" ht="18" hidden="1" customHeight="1" x14ac:dyDescent="0.35">
      <c r="D900" s="28" t="s">
        <v>224</v>
      </c>
      <c r="E900" s="28" t="s">
        <v>224</v>
      </c>
      <c r="F900" s="29"/>
      <c r="G900" s="29"/>
      <c r="H900" s="29"/>
      <c r="I900" s="29"/>
      <c r="J900" s="29"/>
      <c r="K900" s="29"/>
      <c r="L900" s="29"/>
      <c r="M900" s="152">
        <f>M810</f>
        <v>5856.9699999999993</v>
      </c>
      <c r="N900" s="185"/>
    </row>
    <row r="901" spans="4:14" ht="18" hidden="1" customHeight="1" x14ac:dyDescent="0.35">
      <c r="D901" s="28" t="s">
        <v>224</v>
      </c>
      <c r="E901" s="28" t="s">
        <v>79</v>
      </c>
      <c r="F901" s="29"/>
      <c r="G901" s="29"/>
      <c r="H901" s="29"/>
      <c r="I901" s="29"/>
      <c r="J901" s="29"/>
      <c r="K901" s="29"/>
      <c r="L901" s="29"/>
      <c r="M901" s="152">
        <f>M594+M660+M820</f>
        <v>94147.043000000005</v>
      </c>
      <c r="N901" s="185"/>
    </row>
    <row r="902" spans="4:14" ht="18" hidden="1" customHeight="1" x14ac:dyDescent="0.35">
      <c r="D902" s="153" t="s">
        <v>224</v>
      </c>
      <c r="E902" s="153" t="s">
        <v>43</v>
      </c>
      <c r="F902" s="29"/>
      <c r="G902" s="29"/>
      <c r="H902" s="29"/>
      <c r="I902" s="29"/>
      <c r="J902" s="29"/>
      <c r="K902" s="29"/>
      <c r="L902" s="29"/>
      <c r="M902" s="154">
        <f>SUBTOTAL(9,M896:M901)</f>
        <v>1698595.2483000003</v>
      </c>
      <c r="N902" s="186"/>
    </row>
    <row r="903" spans="4:14" ht="18" hidden="1" customHeight="1" x14ac:dyDescent="0.35">
      <c r="D903" s="28"/>
      <c r="E903" s="28"/>
      <c r="F903" s="29"/>
      <c r="G903" s="29"/>
      <c r="H903" s="29"/>
      <c r="I903" s="29"/>
      <c r="J903" s="29"/>
      <c r="K903" s="29"/>
      <c r="L903" s="29"/>
      <c r="M903" s="152"/>
      <c r="N903" s="185"/>
    </row>
    <row r="904" spans="4:14" ht="18" hidden="1" customHeight="1" x14ac:dyDescent="0.35">
      <c r="D904" s="28" t="s">
        <v>226</v>
      </c>
      <c r="E904" s="28" t="s">
        <v>37</v>
      </c>
      <c r="F904" s="29"/>
      <c r="G904" s="29"/>
      <c r="H904" s="29"/>
      <c r="I904" s="29"/>
      <c r="J904" s="29"/>
      <c r="K904" s="29"/>
      <c r="L904" s="29"/>
      <c r="M904" s="152">
        <f>M670</f>
        <v>54957.999999999993</v>
      </c>
      <c r="N904" s="185"/>
    </row>
    <row r="905" spans="4:14" ht="18" hidden="1" customHeight="1" x14ac:dyDescent="0.35">
      <c r="D905" s="28" t="s">
        <v>226</v>
      </c>
      <c r="E905" s="28" t="s">
        <v>52</v>
      </c>
      <c r="F905" s="29"/>
      <c r="G905" s="29"/>
      <c r="H905" s="29"/>
      <c r="I905" s="29"/>
      <c r="J905" s="29"/>
      <c r="K905" s="29"/>
      <c r="L905" s="29"/>
      <c r="M905" s="152">
        <f>M704</f>
        <v>12422</v>
      </c>
      <c r="N905" s="185"/>
    </row>
    <row r="906" spans="4:14" ht="18" hidden="1" customHeight="1" x14ac:dyDescent="0.35">
      <c r="D906" s="153" t="s">
        <v>226</v>
      </c>
      <c r="E906" s="153" t="s">
        <v>43</v>
      </c>
      <c r="F906" s="29"/>
      <c r="G906" s="29"/>
      <c r="H906" s="29"/>
      <c r="I906" s="29"/>
      <c r="J906" s="29"/>
      <c r="K906" s="29"/>
      <c r="L906" s="29"/>
      <c r="M906" s="154">
        <f>SUBTOTAL(9,M904:M905)</f>
        <v>67380</v>
      </c>
      <c r="N906" s="186"/>
    </row>
    <row r="907" spans="4:14" ht="18" hidden="1" customHeight="1" x14ac:dyDescent="0.35">
      <c r="D907" s="28"/>
      <c r="E907" s="28"/>
      <c r="F907" s="29"/>
      <c r="G907" s="29"/>
      <c r="H907" s="29"/>
      <c r="I907" s="29"/>
      <c r="J907" s="29"/>
      <c r="K907" s="29"/>
      <c r="L907" s="29"/>
      <c r="M907" s="152"/>
      <c r="N907" s="185"/>
    </row>
    <row r="908" spans="4:14" ht="18" hidden="1" customHeight="1" x14ac:dyDescent="0.35">
      <c r="D908" s="28" t="s">
        <v>104</v>
      </c>
      <c r="E908" s="28" t="s">
        <v>37</v>
      </c>
      <c r="F908" s="29"/>
      <c r="G908" s="29"/>
      <c r="H908" s="29"/>
      <c r="I908" s="29"/>
      <c r="J908" s="29"/>
      <c r="K908" s="29"/>
      <c r="L908" s="29"/>
      <c r="M908" s="152">
        <f>M203</f>
        <v>1539.6</v>
      </c>
      <c r="N908" s="185"/>
    </row>
    <row r="909" spans="4:14" ht="18" hidden="1" customHeight="1" x14ac:dyDescent="0.35">
      <c r="D909" s="28" t="s">
        <v>104</v>
      </c>
      <c r="E909" s="28" t="s">
        <v>63</v>
      </c>
      <c r="F909" s="29"/>
      <c r="G909" s="29"/>
      <c r="H909" s="29"/>
      <c r="I909" s="29"/>
      <c r="J909" s="29"/>
      <c r="K909" s="29"/>
      <c r="L909" s="29"/>
      <c r="M909" s="152">
        <f>M625+M209</f>
        <v>2070</v>
      </c>
      <c r="N909" s="185"/>
    </row>
    <row r="910" spans="4:14" ht="18" hidden="1" customHeight="1" x14ac:dyDescent="0.35">
      <c r="D910" s="28" t="s">
        <v>104</v>
      </c>
      <c r="E910" s="28" t="s">
        <v>52</v>
      </c>
      <c r="F910" s="29"/>
      <c r="G910" s="29"/>
      <c r="H910" s="29"/>
      <c r="I910" s="29"/>
      <c r="J910" s="29"/>
      <c r="K910" s="29"/>
      <c r="L910" s="29"/>
      <c r="M910" s="152">
        <f>M424+M631+M831</f>
        <v>153353.17597000001</v>
      </c>
      <c r="N910" s="185"/>
    </row>
    <row r="911" spans="4:14" ht="18" hidden="1" customHeight="1" x14ac:dyDescent="0.35">
      <c r="D911" s="28" t="s">
        <v>104</v>
      </c>
      <c r="E911" s="28" t="s">
        <v>81</v>
      </c>
      <c r="F911" s="29"/>
      <c r="G911" s="29"/>
      <c r="H911" s="29"/>
      <c r="I911" s="29"/>
      <c r="J911" s="29"/>
      <c r="K911" s="29"/>
      <c r="L911" s="29"/>
      <c r="M911" s="152">
        <f>M215+M852</f>
        <v>11468.5</v>
      </c>
      <c r="N911" s="185"/>
    </row>
    <row r="912" spans="4:14" ht="18" hidden="1" customHeight="1" x14ac:dyDescent="0.35">
      <c r="D912" s="153" t="s">
        <v>104</v>
      </c>
      <c r="E912" s="153" t="s">
        <v>43</v>
      </c>
      <c r="F912" s="29"/>
      <c r="G912" s="29"/>
      <c r="H912" s="29"/>
      <c r="I912" s="29"/>
      <c r="J912" s="29"/>
      <c r="K912" s="29"/>
      <c r="L912" s="29"/>
      <c r="M912" s="154">
        <f>SUBTOTAL(9,M908:M911)</f>
        <v>168431.27597000002</v>
      </c>
      <c r="N912" s="186"/>
    </row>
    <row r="913" spans="4:14" ht="18" hidden="1" customHeight="1" x14ac:dyDescent="0.35">
      <c r="D913" s="28"/>
      <c r="E913" s="28"/>
      <c r="F913" s="29"/>
      <c r="G913" s="29"/>
      <c r="H913" s="29"/>
      <c r="I913" s="29"/>
      <c r="J913" s="29"/>
      <c r="K913" s="29"/>
      <c r="L913" s="29"/>
      <c r="M913" s="152"/>
      <c r="N913" s="185"/>
    </row>
    <row r="914" spans="4:14" ht="18" hidden="1" customHeight="1" x14ac:dyDescent="0.35">
      <c r="D914" s="28" t="s">
        <v>67</v>
      </c>
      <c r="E914" s="28" t="s">
        <v>37</v>
      </c>
      <c r="F914" s="29"/>
      <c r="G914" s="29"/>
      <c r="H914" s="29"/>
      <c r="I914" s="29"/>
      <c r="J914" s="29"/>
      <c r="K914" s="29"/>
      <c r="L914" s="29"/>
      <c r="M914" s="152">
        <f>M730+M431</f>
        <v>83143.606480000002</v>
      </c>
      <c r="N914" s="185"/>
    </row>
    <row r="915" spans="4:14" ht="18" hidden="1" customHeight="1" x14ac:dyDescent="0.35">
      <c r="D915" s="28" t="s">
        <v>67</v>
      </c>
      <c r="E915" s="28" t="s">
        <v>39</v>
      </c>
      <c r="F915" s="29"/>
      <c r="G915" s="29"/>
      <c r="H915" s="29"/>
      <c r="I915" s="29"/>
      <c r="J915" s="29"/>
      <c r="K915" s="29"/>
      <c r="L915" s="29"/>
      <c r="M915" s="152">
        <f>M751</f>
        <v>27257.599999999999</v>
      </c>
      <c r="N915" s="185"/>
    </row>
    <row r="916" spans="4:14" ht="18" hidden="1" customHeight="1" x14ac:dyDescent="0.35">
      <c r="D916" s="28" t="s">
        <v>67</v>
      </c>
      <c r="E916" s="28" t="s">
        <v>63</v>
      </c>
      <c r="F916" s="29"/>
      <c r="G916" s="29"/>
      <c r="H916" s="29"/>
      <c r="I916" s="29"/>
      <c r="J916" s="29"/>
      <c r="K916" s="29"/>
      <c r="L916" s="29"/>
      <c r="M916" s="152">
        <f>M764</f>
        <v>40460.593520000002</v>
      </c>
      <c r="N916" s="185"/>
    </row>
    <row r="917" spans="4:14" ht="18" hidden="1" customHeight="1" x14ac:dyDescent="0.35">
      <c r="D917" s="28" t="s">
        <v>67</v>
      </c>
      <c r="E917" s="28" t="s">
        <v>65</v>
      </c>
      <c r="F917" s="29"/>
      <c r="G917" s="29"/>
      <c r="H917" s="29"/>
      <c r="I917" s="29"/>
      <c r="J917" s="29"/>
      <c r="K917" s="29"/>
      <c r="L917" s="29"/>
      <c r="M917" s="152">
        <f>M786</f>
        <v>2971.1000000000004</v>
      </c>
      <c r="N917" s="185"/>
    </row>
    <row r="918" spans="4:14" ht="18" hidden="1" customHeight="1" x14ac:dyDescent="0.35">
      <c r="D918" s="153" t="s">
        <v>67</v>
      </c>
      <c r="E918" s="153" t="s">
        <v>43</v>
      </c>
      <c r="F918" s="29"/>
      <c r="G918" s="29"/>
      <c r="H918" s="29"/>
      <c r="I918" s="29"/>
      <c r="J918" s="29"/>
      <c r="K918" s="29"/>
      <c r="L918" s="29"/>
      <c r="M918" s="154">
        <f>SUBTOTAL(9,M914:M917)</f>
        <v>153832.9</v>
      </c>
      <c r="N918" s="186"/>
    </row>
    <row r="919" spans="4:14" ht="18" hidden="1" customHeight="1" x14ac:dyDescent="0.35">
      <c r="D919" s="28"/>
      <c r="E919" s="28"/>
      <c r="F919" s="29"/>
      <c r="G919" s="29"/>
      <c r="H919" s="29"/>
      <c r="I919" s="29"/>
      <c r="J919" s="29"/>
      <c r="K919" s="29"/>
      <c r="L919" s="29"/>
      <c r="M919" s="152"/>
      <c r="N919" s="185"/>
    </row>
    <row r="920" spans="4:14" ht="18" hidden="1" customHeight="1" x14ac:dyDescent="0.35">
      <c r="D920" s="28" t="s">
        <v>71</v>
      </c>
      <c r="E920" s="28" t="s">
        <v>37</v>
      </c>
      <c r="F920" s="29"/>
      <c r="G920" s="29"/>
      <c r="H920" s="29"/>
      <c r="I920" s="29"/>
      <c r="J920" s="29"/>
      <c r="K920" s="29"/>
      <c r="L920" s="29"/>
      <c r="M920" s="152"/>
      <c r="N920" s="185"/>
    </row>
    <row r="921" spans="4:14" ht="18" hidden="1" customHeight="1" x14ac:dyDescent="0.35">
      <c r="D921" s="153" t="s">
        <v>71</v>
      </c>
      <c r="E921" s="153" t="s">
        <v>43</v>
      </c>
      <c r="F921" s="29"/>
      <c r="G921" s="29"/>
      <c r="H921" s="29"/>
      <c r="I921" s="29"/>
      <c r="J921" s="29"/>
      <c r="K921" s="29"/>
      <c r="L921" s="29"/>
      <c r="M921" s="154">
        <f>M920</f>
        <v>0</v>
      </c>
      <c r="N921" s="186"/>
    </row>
    <row r="922" spans="4:14" ht="18" hidden="1" customHeight="1" x14ac:dyDescent="0.35">
      <c r="D922" s="28"/>
      <c r="E922" s="28"/>
      <c r="F922" s="29"/>
      <c r="G922" s="29"/>
      <c r="H922" s="29"/>
      <c r="I922" s="29"/>
      <c r="J922" s="29"/>
      <c r="K922" s="29"/>
      <c r="L922" s="29"/>
      <c r="M922" s="152"/>
      <c r="N922" s="185"/>
    </row>
    <row r="923" spans="4:14" ht="18" hidden="1" customHeight="1" x14ac:dyDescent="0.35">
      <c r="D923" s="28" t="s">
        <v>88</v>
      </c>
      <c r="E923" s="28" t="s">
        <v>37</v>
      </c>
      <c r="F923" s="29"/>
      <c r="G923" s="29"/>
      <c r="H923" s="29"/>
      <c r="I923" s="29"/>
      <c r="J923" s="29"/>
      <c r="K923" s="29"/>
      <c r="L923" s="29"/>
      <c r="M923" s="152">
        <f>M298</f>
        <v>7500</v>
      </c>
      <c r="N923" s="185"/>
    </row>
    <row r="924" spans="4:14" ht="18" hidden="1" customHeight="1" x14ac:dyDescent="0.35">
      <c r="D924" s="28" t="s">
        <v>88</v>
      </c>
      <c r="E924" s="28" t="s">
        <v>39</v>
      </c>
      <c r="F924" s="29"/>
      <c r="G924" s="29"/>
      <c r="H924" s="29"/>
      <c r="I924" s="29"/>
      <c r="J924" s="29"/>
      <c r="K924" s="29"/>
      <c r="L924" s="29"/>
      <c r="M924" s="152"/>
      <c r="N924" s="185"/>
    </row>
    <row r="925" spans="4:14" ht="18" hidden="1" customHeight="1" x14ac:dyDescent="0.35">
      <c r="D925" s="28" t="s">
        <v>88</v>
      </c>
      <c r="E925" s="28" t="s">
        <v>63</v>
      </c>
      <c r="F925" s="29"/>
      <c r="G925" s="29"/>
      <c r="H925" s="29"/>
      <c r="I925" s="29"/>
      <c r="J925" s="29"/>
      <c r="K925" s="29"/>
      <c r="L925" s="259"/>
      <c r="M925" s="152">
        <f>M222+M304</f>
        <v>61477</v>
      </c>
      <c r="N925" s="185"/>
    </row>
    <row r="926" spans="4:14" ht="18" hidden="1" customHeight="1" x14ac:dyDescent="0.35">
      <c r="D926" s="153" t="s">
        <v>88</v>
      </c>
      <c r="E926" s="153" t="s">
        <v>43</v>
      </c>
      <c r="F926" s="29"/>
      <c r="G926" s="29"/>
      <c r="H926" s="29"/>
      <c r="I926" s="29"/>
      <c r="J926" s="29"/>
      <c r="K926" s="29"/>
      <c r="L926" s="29"/>
      <c r="M926" s="154">
        <f>SUBTOTAL(9,M923:M925)</f>
        <v>68977</v>
      </c>
      <c r="N926" s="186"/>
    </row>
    <row r="927" spans="4:14" ht="18" hidden="1" customHeight="1" x14ac:dyDescent="0.35">
      <c r="D927" s="77"/>
      <c r="E927" s="28"/>
      <c r="F927" s="29"/>
      <c r="G927" s="29"/>
      <c r="H927" s="29"/>
      <c r="I927" s="29"/>
      <c r="J927" s="29"/>
      <c r="K927" s="29"/>
      <c r="L927" s="29"/>
      <c r="M927" s="473">
        <f>M879+M883+M888+M894+M902+M906+M912+M918+M921+M926</f>
        <v>2708057.4718999998</v>
      </c>
      <c r="N927" s="79"/>
    </row>
    <row r="928" spans="4:14" ht="18" hidden="1" customHeight="1" x14ac:dyDescent="0.35">
      <c r="D928" s="78"/>
      <c r="E928" s="78"/>
      <c r="F928" s="33"/>
      <c r="G928" s="33"/>
      <c r="H928" s="33"/>
      <c r="I928" s="33"/>
      <c r="J928" s="33"/>
      <c r="K928" s="33"/>
      <c r="L928" s="33"/>
      <c r="M928" s="474"/>
      <c r="N928" s="79"/>
    </row>
    <row r="929" spans="2:14" ht="18" hidden="1" customHeight="1" x14ac:dyDescent="0.35">
      <c r="B929" s="501" t="s">
        <v>367</v>
      </c>
      <c r="D929" s="78"/>
      <c r="E929" s="78"/>
      <c r="F929" s="33"/>
      <c r="G929" s="33"/>
      <c r="H929" s="33"/>
      <c r="I929" s="33"/>
      <c r="J929" s="33"/>
      <c r="K929" s="33"/>
      <c r="L929" s="33"/>
      <c r="M929" s="474"/>
      <c r="N929" s="79"/>
    </row>
    <row r="930" spans="2:14" ht="18" hidden="1" customHeight="1" x14ac:dyDescent="0.35">
      <c r="B930" s="501" t="s">
        <v>366</v>
      </c>
      <c r="D930" s="78"/>
      <c r="E930" s="78"/>
      <c r="F930" s="33"/>
      <c r="G930" s="33"/>
      <c r="H930" s="33"/>
      <c r="I930" s="33"/>
      <c r="J930" s="33"/>
      <c r="K930" s="33"/>
      <c r="L930" s="33"/>
      <c r="M930" s="474"/>
      <c r="N930" s="79"/>
    </row>
    <row r="931" spans="2:14" ht="18" customHeight="1" x14ac:dyDescent="0.35">
      <c r="D931" s="78"/>
      <c r="E931" s="78"/>
      <c r="F931" s="33"/>
      <c r="G931" s="33"/>
      <c r="H931" s="33"/>
      <c r="I931" s="33"/>
      <c r="J931" s="33"/>
      <c r="K931" s="33"/>
      <c r="L931" s="33"/>
      <c r="M931" s="475"/>
      <c r="N931" s="79"/>
    </row>
    <row r="932" spans="2:14" ht="18" customHeight="1" x14ac:dyDescent="0.35">
      <c r="D932" s="78"/>
      <c r="E932" s="78"/>
      <c r="F932" s="33"/>
      <c r="G932" s="33"/>
      <c r="H932" s="33"/>
      <c r="I932" s="33"/>
      <c r="J932" s="33"/>
      <c r="K932" s="33"/>
      <c r="L932" s="33"/>
      <c r="M932" s="476"/>
      <c r="N932" s="79"/>
    </row>
    <row r="933" spans="2:14" ht="14.4" customHeight="1" x14ac:dyDescent="0.3">
      <c r="D933" s="79"/>
      <c r="E933" s="79"/>
      <c r="F933" s="79"/>
      <c r="G933" s="79"/>
      <c r="H933" s="79"/>
      <c r="I933" s="79"/>
      <c r="J933" s="79"/>
      <c r="K933" s="79"/>
      <c r="L933" s="79"/>
      <c r="M933" s="476"/>
      <c r="N933" s="79"/>
    </row>
    <row r="934" spans="2:14" ht="14.4" customHeight="1" x14ac:dyDescent="0.3">
      <c r="D934" s="79"/>
      <c r="E934" s="79"/>
      <c r="F934" s="79"/>
      <c r="G934" s="79"/>
      <c r="H934" s="79"/>
      <c r="I934" s="79"/>
      <c r="J934" s="79"/>
      <c r="K934" s="79"/>
      <c r="L934" s="79"/>
      <c r="M934" s="476"/>
      <c r="N934" s="79"/>
    </row>
    <row r="935" spans="2:14" ht="14.4" customHeight="1" x14ac:dyDescent="0.3">
      <c r="D935" s="79"/>
      <c r="E935" s="79"/>
      <c r="F935" s="79"/>
      <c r="G935" s="79"/>
      <c r="H935" s="79"/>
      <c r="I935" s="79"/>
      <c r="J935" s="79"/>
      <c r="K935" s="79"/>
      <c r="L935" s="79"/>
      <c r="M935" s="476"/>
      <c r="N935" s="79"/>
    </row>
    <row r="936" spans="2:14" ht="14.4" customHeight="1" x14ac:dyDescent="0.3">
      <c r="D936" s="79"/>
      <c r="E936" s="79"/>
      <c r="F936" s="79"/>
      <c r="G936" s="79"/>
      <c r="H936" s="79"/>
      <c r="I936" s="79"/>
      <c r="J936" s="79"/>
      <c r="K936" s="79"/>
      <c r="L936" s="79"/>
      <c r="M936" s="476"/>
      <c r="N936" s="79"/>
    </row>
    <row r="937" spans="2:14" ht="14.4" customHeight="1" x14ac:dyDescent="0.3">
      <c r="D937" s="79"/>
      <c r="E937" s="79"/>
      <c r="F937" s="79"/>
      <c r="G937" s="79"/>
      <c r="H937" s="79"/>
      <c r="I937" s="79"/>
      <c r="J937" s="79"/>
      <c r="K937" s="79"/>
      <c r="L937" s="79"/>
      <c r="M937" s="476"/>
      <c r="N937" s="79"/>
    </row>
    <row r="938" spans="2:14" ht="14.4" customHeight="1" x14ac:dyDescent="0.3">
      <c r="D938" s="79"/>
      <c r="E938" s="79"/>
      <c r="F938" s="79"/>
      <c r="G938" s="79"/>
      <c r="H938" s="79"/>
      <c r="I938" s="79"/>
      <c r="J938" s="79"/>
      <c r="K938" s="79"/>
      <c r="L938" s="79"/>
      <c r="M938" s="476"/>
      <c r="N938" s="79"/>
    </row>
    <row r="939" spans="2:14" ht="14.4" customHeight="1" x14ac:dyDescent="0.3">
      <c r="D939" s="79"/>
      <c r="E939" s="79"/>
      <c r="F939" s="79"/>
      <c r="G939" s="79"/>
      <c r="H939" s="79"/>
      <c r="I939" s="79"/>
      <c r="J939" s="79"/>
      <c r="K939" s="79"/>
      <c r="L939" s="79"/>
      <c r="M939" s="476"/>
      <c r="N939" s="79"/>
    </row>
    <row r="940" spans="2:14" ht="14.4" customHeight="1" x14ac:dyDescent="0.3">
      <c r="D940" s="79"/>
      <c r="E940" s="79"/>
      <c r="F940" s="79"/>
      <c r="G940" s="79"/>
      <c r="H940" s="79"/>
      <c r="I940" s="79"/>
      <c r="J940" s="79"/>
      <c r="K940" s="79"/>
      <c r="L940" s="79"/>
      <c r="M940" s="476"/>
      <c r="N940" s="79"/>
    </row>
    <row r="941" spans="2:14" ht="14.4" customHeight="1" x14ac:dyDescent="0.3">
      <c r="D941" s="79"/>
      <c r="E941" s="79"/>
      <c r="F941" s="79"/>
      <c r="G941" s="79"/>
      <c r="H941" s="79"/>
      <c r="I941" s="79"/>
      <c r="J941" s="79"/>
      <c r="K941" s="79"/>
      <c r="L941" s="79"/>
      <c r="M941" s="476"/>
      <c r="N941" s="79"/>
    </row>
    <row r="942" spans="2:14" ht="14.4" customHeight="1" x14ac:dyDescent="0.3">
      <c r="D942" s="79"/>
      <c r="E942" s="79"/>
      <c r="F942" s="79"/>
      <c r="G942" s="79"/>
      <c r="H942" s="79"/>
      <c r="I942" s="79"/>
      <c r="J942" s="79"/>
      <c r="K942" s="79"/>
      <c r="L942" s="79"/>
      <c r="M942" s="476"/>
      <c r="N942" s="79"/>
    </row>
    <row r="943" spans="2:14" ht="14.4" customHeight="1" x14ac:dyDescent="0.3">
      <c r="D943" s="79"/>
      <c r="E943" s="79"/>
      <c r="F943" s="79"/>
      <c r="G943" s="79"/>
      <c r="H943" s="79"/>
      <c r="I943" s="79"/>
      <c r="J943" s="79"/>
      <c r="K943" s="79"/>
      <c r="L943" s="79"/>
      <c r="M943" s="476"/>
      <c r="N943" s="79"/>
    </row>
    <row r="944" spans="2:14" ht="14.4" customHeight="1" x14ac:dyDescent="0.3">
      <c r="D944" s="79"/>
      <c r="E944" s="79"/>
      <c r="F944" s="79"/>
      <c r="G944" s="79"/>
      <c r="H944" s="79"/>
      <c r="I944" s="79"/>
      <c r="J944" s="79"/>
      <c r="K944" s="79"/>
      <c r="L944" s="79"/>
      <c r="M944" s="476"/>
      <c r="N944" s="79"/>
    </row>
    <row r="945" spans="4:14" ht="14.4" customHeight="1" x14ac:dyDescent="0.3">
      <c r="D945" s="79"/>
      <c r="E945" s="79"/>
      <c r="F945" s="79"/>
      <c r="G945" s="79"/>
      <c r="H945" s="79"/>
      <c r="I945" s="79"/>
      <c r="J945" s="79"/>
      <c r="K945" s="79"/>
      <c r="L945" s="79"/>
      <c r="M945" s="476"/>
      <c r="N945" s="79"/>
    </row>
    <row r="946" spans="4:14" ht="14.4" customHeight="1" x14ac:dyDescent="0.3">
      <c r="D946" s="79"/>
      <c r="E946" s="79"/>
      <c r="F946" s="79"/>
      <c r="G946" s="79"/>
      <c r="H946" s="79"/>
      <c r="I946" s="79"/>
      <c r="J946" s="79"/>
      <c r="K946" s="79"/>
      <c r="L946" s="79"/>
      <c r="M946" s="476"/>
      <c r="N946" s="79"/>
    </row>
    <row r="947" spans="4:14" ht="14.4" customHeight="1" x14ac:dyDescent="0.3">
      <c r="D947" s="79"/>
      <c r="E947" s="79"/>
      <c r="F947" s="79"/>
      <c r="G947" s="79"/>
      <c r="H947" s="79"/>
      <c r="I947" s="79"/>
      <c r="J947" s="79"/>
      <c r="K947" s="79"/>
      <c r="L947" s="79"/>
      <c r="M947" s="476"/>
      <c r="N947" s="79"/>
    </row>
    <row r="948" spans="4:14" ht="14.4" customHeight="1" x14ac:dyDescent="0.3">
      <c r="D948" s="79"/>
      <c r="E948" s="79"/>
      <c r="F948" s="79"/>
      <c r="G948" s="79"/>
      <c r="H948" s="79"/>
      <c r="I948" s="79"/>
      <c r="J948" s="79"/>
      <c r="K948" s="79"/>
      <c r="L948" s="79"/>
      <c r="M948" s="476"/>
      <c r="N948" s="79"/>
    </row>
    <row r="949" spans="4:14" ht="14.4" customHeight="1" x14ac:dyDescent="0.3">
      <c r="D949" s="79"/>
      <c r="E949" s="79"/>
      <c r="F949" s="79"/>
      <c r="G949" s="79"/>
      <c r="H949" s="79"/>
      <c r="I949" s="79"/>
      <c r="J949" s="79"/>
      <c r="K949" s="79"/>
      <c r="L949" s="79"/>
      <c r="M949" s="476"/>
      <c r="N949" s="79"/>
    </row>
    <row r="950" spans="4:14" ht="14.4" customHeight="1" x14ac:dyDescent="0.3">
      <c r="D950" s="79"/>
      <c r="E950" s="79"/>
      <c r="F950" s="79"/>
      <c r="G950" s="79"/>
      <c r="H950" s="79"/>
      <c r="I950" s="79"/>
      <c r="J950" s="79"/>
      <c r="K950" s="79"/>
      <c r="L950" s="79"/>
      <c r="M950" s="476"/>
      <c r="N950" s="79"/>
    </row>
    <row r="951" spans="4:14" ht="14.4" customHeight="1" x14ac:dyDescent="0.3">
      <c r="D951" s="79"/>
      <c r="E951" s="79"/>
      <c r="F951" s="79"/>
      <c r="G951" s="79"/>
      <c r="H951" s="79"/>
      <c r="I951" s="79"/>
      <c r="J951" s="79"/>
      <c r="K951" s="79"/>
      <c r="L951" s="79"/>
      <c r="M951" s="476"/>
      <c r="N951" s="79"/>
    </row>
    <row r="952" spans="4:14" ht="14.4" customHeight="1" x14ac:dyDescent="0.3">
      <c r="D952" s="79"/>
      <c r="E952" s="79"/>
      <c r="F952" s="79"/>
      <c r="G952" s="79"/>
      <c r="H952" s="79"/>
      <c r="I952" s="79"/>
      <c r="J952" s="79"/>
      <c r="K952" s="79"/>
      <c r="L952" s="79"/>
      <c r="M952" s="476"/>
      <c r="N952" s="79"/>
    </row>
    <row r="953" spans="4:14" ht="14.4" customHeight="1" x14ac:dyDescent="0.3">
      <c r="D953" s="79"/>
      <c r="E953" s="79"/>
      <c r="F953" s="79"/>
      <c r="G953" s="79"/>
      <c r="H953" s="79"/>
      <c r="I953" s="79"/>
      <c r="J953" s="79"/>
      <c r="K953" s="79"/>
      <c r="L953" s="79"/>
      <c r="M953" s="476"/>
      <c r="N953" s="79"/>
    </row>
    <row r="954" spans="4:14" ht="14.4" customHeight="1" x14ac:dyDescent="0.3">
      <c r="D954" s="79"/>
      <c r="E954" s="79"/>
      <c r="F954" s="79"/>
      <c r="G954" s="79"/>
      <c r="H954" s="79"/>
      <c r="I954" s="79"/>
      <c r="J954" s="79"/>
      <c r="K954" s="79"/>
      <c r="L954" s="79"/>
      <c r="M954" s="476"/>
      <c r="N954" s="79"/>
    </row>
    <row r="955" spans="4:14" ht="14.4" customHeight="1" x14ac:dyDescent="0.3">
      <c r="D955" s="79"/>
      <c r="E955" s="79"/>
      <c r="F955" s="79"/>
      <c r="G955" s="79"/>
      <c r="H955" s="79"/>
      <c r="I955" s="79"/>
      <c r="J955" s="79"/>
      <c r="K955" s="79"/>
      <c r="L955" s="79"/>
      <c r="M955" s="476"/>
      <c r="N955" s="79"/>
    </row>
    <row r="956" spans="4:14" ht="14.4" customHeight="1" x14ac:dyDescent="0.3">
      <c r="D956" s="79"/>
      <c r="E956" s="79"/>
      <c r="F956" s="79"/>
      <c r="G956" s="79"/>
      <c r="H956" s="79"/>
      <c r="I956" s="79"/>
      <c r="J956" s="79"/>
      <c r="K956" s="79"/>
      <c r="L956" s="79"/>
      <c r="M956" s="476"/>
      <c r="N956" s="79"/>
    </row>
    <row r="957" spans="4:14" ht="14.4" customHeight="1" x14ac:dyDescent="0.3">
      <c r="D957" s="79"/>
      <c r="E957" s="79"/>
      <c r="F957" s="79"/>
      <c r="G957" s="79"/>
      <c r="H957" s="79"/>
      <c r="I957" s="79"/>
      <c r="J957" s="79"/>
      <c r="K957" s="79"/>
      <c r="L957" s="79"/>
      <c r="M957" s="476"/>
      <c r="N957" s="79"/>
    </row>
    <row r="958" spans="4:14" ht="14.4" customHeight="1" x14ac:dyDescent="0.3">
      <c r="D958" s="79"/>
      <c r="E958" s="79"/>
      <c r="F958" s="79"/>
      <c r="G958" s="79"/>
      <c r="H958" s="79"/>
      <c r="I958" s="79"/>
      <c r="J958" s="79"/>
      <c r="K958" s="79"/>
      <c r="L958" s="79"/>
      <c r="M958" s="476"/>
      <c r="N958" s="79"/>
    </row>
    <row r="959" spans="4:14" ht="14.4" customHeight="1" x14ac:dyDescent="0.3">
      <c r="D959" s="79"/>
      <c r="E959" s="79"/>
      <c r="F959" s="79"/>
      <c r="G959" s="79"/>
      <c r="H959" s="79"/>
      <c r="I959" s="79"/>
      <c r="J959" s="79"/>
      <c r="K959" s="79"/>
      <c r="L959" s="79"/>
      <c r="M959" s="476"/>
      <c r="N959" s="79"/>
    </row>
    <row r="960" spans="4:14" ht="14.4" customHeight="1" x14ac:dyDescent="0.3">
      <c r="D960" s="79"/>
      <c r="E960" s="79"/>
      <c r="F960" s="79"/>
      <c r="G960" s="79"/>
      <c r="H960" s="79"/>
      <c r="I960" s="79"/>
      <c r="J960" s="79"/>
      <c r="K960" s="79"/>
      <c r="L960" s="79"/>
      <c r="M960" s="476"/>
      <c r="N960" s="79"/>
    </row>
    <row r="961" spans="4:14" ht="14.4" customHeight="1" x14ac:dyDescent="0.3">
      <c r="D961" s="79"/>
      <c r="E961" s="79"/>
      <c r="F961" s="79"/>
      <c r="G961" s="79"/>
      <c r="H961" s="79"/>
      <c r="I961" s="79"/>
      <c r="J961" s="79"/>
      <c r="K961" s="79"/>
      <c r="L961" s="79"/>
      <c r="M961" s="476"/>
      <c r="N961" s="79"/>
    </row>
    <row r="962" spans="4:14" ht="14.4" customHeight="1" x14ac:dyDescent="0.3">
      <c r="D962" s="79"/>
      <c r="E962" s="79"/>
      <c r="F962" s="79"/>
      <c r="G962" s="79"/>
      <c r="H962" s="79"/>
      <c r="I962" s="79"/>
      <c r="J962" s="79"/>
      <c r="K962" s="79"/>
      <c r="L962" s="79"/>
      <c r="M962" s="476"/>
      <c r="N962" s="79"/>
    </row>
    <row r="963" spans="4:14" ht="14.4" customHeight="1" x14ac:dyDescent="0.3">
      <c r="D963" s="79"/>
      <c r="E963" s="79"/>
      <c r="F963" s="79"/>
      <c r="G963" s="79"/>
      <c r="H963" s="79"/>
      <c r="I963" s="79"/>
      <c r="J963" s="79"/>
      <c r="K963" s="79"/>
      <c r="L963" s="79"/>
      <c r="M963" s="476"/>
      <c r="N963" s="79"/>
    </row>
    <row r="964" spans="4:14" ht="14.4" customHeight="1" x14ac:dyDescent="0.3">
      <c r="D964" s="79"/>
      <c r="E964" s="79"/>
      <c r="F964" s="79"/>
      <c r="G964" s="79"/>
      <c r="H964" s="79"/>
      <c r="I964" s="79"/>
      <c r="J964" s="79"/>
      <c r="K964" s="79"/>
      <c r="L964" s="79"/>
      <c r="M964" s="476"/>
      <c r="N964" s="79"/>
    </row>
    <row r="965" spans="4:14" ht="14.4" customHeight="1" x14ac:dyDescent="0.3">
      <c r="D965" s="79"/>
      <c r="E965" s="79"/>
      <c r="F965" s="79"/>
      <c r="G965" s="79"/>
      <c r="H965" s="79"/>
      <c r="I965" s="79"/>
      <c r="J965" s="79"/>
      <c r="K965" s="79"/>
      <c r="L965" s="79"/>
      <c r="M965" s="476"/>
      <c r="N965" s="79"/>
    </row>
    <row r="966" spans="4:14" ht="14.4" customHeight="1" x14ac:dyDescent="0.3">
      <c r="D966" s="79"/>
      <c r="E966" s="79"/>
      <c r="F966" s="79"/>
      <c r="G966" s="79"/>
      <c r="H966" s="79"/>
      <c r="I966" s="79"/>
      <c r="J966" s="79"/>
      <c r="K966" s="79"/>
      <c r="L966" s="79"/>
      <c r="M966" s="476"/>
      <c r="N966" s="79"/>
    </row>
    <row r="967" spans="4:14" ht="14.4" customHeight="1" x14ac:dyDescent="0.3">
      <c r="D967" s="79"/>
      <c r="E967" s="79"/>
      <c r="F967" s="79"/>
      <c r="G967" s="79"/>
      <c r="H967" s="79"/>
      <c r="I967" s="79"/>
      <c r="J967" s="79"/>
      <c r="K967" s="79"/>
      <c r="L967" s="79"/>
      <c r="M967" s="476"/>
      <c r="N967" s="79"/>
    </row>
    <row r="968" spans="4:14" ht="14.4" customHeight="1" x14ac:dyDescent="0.3">
      <c r="D968" s="79"/>
      <c r="E968" s="79"/>
      <c r="F968" s="79"/>
      <c r="G968" s="79"/>
      <c r="H968" s="79"/>
      <c r="I968" s="79"/>
      <c r="J968" s="79"/>
      <c r="K968" s="79"/>
      <c r="L968" s="79"/>
      <c r="M968" s="476"/>
      <c r="N968" s="79"/>
    </row>
    <row r="969" spans="4:14" ht="14.4" customHeight="1" x14ac:dyDescent="0.3">
      <c r="D969" s="79"/>
      <c r="E969" s="79"/>
      <c r="F969" s="79"/>
      <c r="G969" s="79"/>
      <c r="H969" s="79"/>
      <c r="I969" s="79"/>
      <c r="J969" s="79"/>
      <c r="K969" s="79"/>
      <c r="L969" s="79"/>
      <c r="M969" s="476"/>
      <c r="N969" s="79"/>
    </row>
    <row r="970" spans="4:14" ht="14.4" customHeight="1" x14ac:dyDescent="0.3">
      <c r="D970" s="79"/>
      <c r="E970" s="79"/>
      <c r="F970" s="79"/>
      <c r="G970" s="79"/>
      <c r="H970" s="79"/>
      <c r="I970" s="79"/>
      <c r="J970" s="79"/>
      <c r="K970" s="79"/>
      <c r="L970" s="79"/>
      <c r="M970" s="476"/>
      <c r="N970" s="79"/>
    </row>
    <row r="971" spans="4:14" ht="14.4" customHeight="1" x14ac:dyDescent="0.3">
      <c r="D971" s="79"/>
      <c r="E971" s="79"/>
      <c r="F971" s="79"/>
      <c r="G971" s="79"/>
      <c r="H971" s="79"/>
      <c r="I971" s="79"/>
      <c r="J971" s="79"/>
      <c r="K971" s="79"/>
      <c r="L971" s="79"/>
      <c r="M971" s="476"/>
      <c r="N971" s="79"/>
    </row>
    <row r="972" spans="4:14" ht="14.4" customHeight="1" x14ac:dyDescent="0.3">
      <c r="D972" s="79"/>
      <c r="E972" s="79"/>
      <c r="F972" s="79"/>
      <c r="G972" s="79"/>
      <c r="H972" s="79"/>
      <c r="I972" s="79"/>
      <c r="J972" s="79"/>
      <c r="K972" s="79"/>
      <c r="L972" s="79"/>
      <c r="M972" s="476"/>
      <c r="N972" s="79"/>
    </row>
    <row r="973" spans="4:14" ht="14.4" customHeight="1" x14ac:dyDescent="0.3">
      <c r="D973" s="79"/>
      <c r="E973" s="79"/>
      <c r="F973" s="79"/>
      <c r="G973" s="79"/>
      <c r="H973" s="79"/>
      <c r="I973" s="79"/>
      <c r="J973" s="79"/>
      <c r="K973" s="79"/>
      <c r="L973" s="79"/>
      <c r="M973" s="476"/>
      <c r="N973" s="79"/>
    </row>
    <row r="974" spans="4:14" ht="14.4" customHeight="1" x14ac:dyDescent="0.3">
      <c r="D974" s="79"/>
      <c r="E974" s="79"/>
      <c r="F974" s="79"/>
      <c r="G974" s="79"/>
      <c r="H974" s="79"/>
      <c r="I974" s="79"/>
      <c r="J974" s="79"/>
      <c r="K974" s="79"/>
      <c r="L974" s="79"/>
      <c r="M974" s="476"/>
      <c r="N974" s="79"/>
    </row>
    <row r="975" spans="4:14" ht="14.4" customHeight="1" x14ac:dyDescent="0.3">
      <c r="D975" s="79"/>
      <c r="E975" s="79"/>
      <c r="F975" s="79"/>
      <c r="G975" s="79"/>
      <c r="H975" s="79"/>
      <c r="I975" s="79"/>
      <c r="J975" s="79"/>
      <c r="K975" s="79"/>
      <c r="L975" s="79"/>
      <c r="M975" s="476"/>
      <c r="N975" s="79"/>
    </row>
    <row r="976" spans="4:14" ht="14.4" customHeight="1" x14ac:dyDescent="0.3">
      <c r="D976" s="79"/>
      <c r="E976" s="79"/>
      <c r="F976" s="79"/>
      <c r="G976" s="79"/>
      <c r="H976" s="79"/>
      <c r="I976" s="79"/>
      <c r="J976" s="79"/>
      <c r="K976" s="79"/>
      <c r="L976" s="79"/>
      <c r="M976" s="476"/>
      <c r="N976" s="79"/>
    </row>
    <row r="977" spans="4:14" ht="14.4" customHeight="1" x14ac:dyDescent="0.3">
      <c r="D977" s="79"/>
      <c r="E977" s="79"/>
      <c r="F977" s="79"/>
      <c r="G977" s="79"/>
      <c r="H977" s="79"/>
      <c r="I977" s="79"/>
      <c r="J977" s="79"/>
      <c r="K977" s="79"/>
      <c r="L977" s="79"/>
      <c r="M977" s="476"/>
      <c r="N977" s="79"/>
    </row>
    <row r="978" spans="4:14" ht="14.4" customHeight="1" x14ac:dyDescent="0.3">
      <c r="D978" s="79"/>
      <c r="E978" s="79"/>
      <c r="F978" s="79"/>
      <c r="G978" s="79"/>
      <c r="H978" s="79"/>
      <c r="I978" s="79"/>
      <c r="J978" s="79"/>
      <c r="K978" s="79"/>
      <c r="L978" s="79"/>
      <c r="M978" s="476"/>
      <c r="N978" s="79"/>
    </row>
    <row r="979" spans="4:14" ht="14.4" customHeight="1" x14ac:dyDescent="0.3">
      <c r="D979" s="79"/>
      <c r="E979" s="79"/>
      <c r="F979" s="79"/>
      <c r="G979" s="79"/>
      <c r="H979" s="79"/>
      <c r="I979" s="79"/>
      <c r="J979" s="79"/>
      <c r="K979" s="79"/>
      <c r="L979" s="79"/>
      <c r="M979" s="476"/>
      <c r="N979" s="79"/>
    </row>
    <row r="980" spans="4:14" ht="14.4" customHeight="1" x14ac:dyDescent="0.3">
      <c r="D980" s="79"/>
      <c r="E980" s="79"/>
      <c r="F980" s="79"/>
      <c r="G980" s="79"/>
      <c r="H980" s="79"/>
      <c r="I980" s="79"/>
      <c r="J980" s="79"/>
      <c r="K980" s="79"/>
      <c r="L980" s="79"/>
      <c r="M980" s="476"/>
      <c r="N980" s="79"/>
    </row>
    <row r="981" spans="4:14" ht="14.4" customHeight="1" x14ac:dyDescent="0.3">
      <c r="D981" s="79"/>
      <c r="E981" s="79"/>
      <c r="F981" s="79"/>
      <c r="G981" s="79"/>
      <c r="H981" s="79"/>
      <c r="I981" s="79"/>
      <c r="J981" s="79"/>
      <c r="K981" s="79"/>
      <c r="L981" s="79"/>
      <c r="M981" s="476"/>
      <c r="N981" s="79"/>
    </row>
  </sheetData>
  <autoFilter ref="A1:M981"/>
  <mergeCells count="11">
    <mergeCell ref="A8:M8"/>
    <mergeCell ref="F13:I13"/>
    <mergeCell ref="A11:A12"/>
    <mergeCell ref="B11:B12"/>
    <mergeCell ref="J11:J12"/>
    <mergeCell ref="F11:I12"/>
    <mergeCell ref="E11:E12"/>
    <mergeCell ref="D11:D12"/>
    <mergeCell ref="C11:C12"/>
    <mergeCell ref="K11:K12"/>
    <mergeCell ref="L11:M11"/>
  </mergeCells>
  <printOptions horizontalCentered="1"/>
  <pageMargins left="1.1811023622047245" right="0.39370078740157483" top="0.78740157480314965" bottom="0.78740157480314965" header="0.31496062992125984" footer="0.31496062992125984"/>
  <pageSetup paperSize="9" scale="65" fitToHeight="0" orientation="portrait" blackAndWhite="1" r:id="rId1"/>
  <headerFooter differentFirst="1">
    <oddHeader>&amp;C&amp;"Times New Roman,обычный"&amp;12&amp;P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670"/>
  <sheetViews>
    <sheetView zoomScale="80" zoomScaleNormal="80" workbookViewId="0">
      <selection activeCell="S14" sqref="S14"/>
    </sheetView>
  </sheetViews>
  <sheetFormatPr defaultColWidth="8.88671875" defaultRowHeight="14.4" x14ac:dyDescent="0.3"/>
  <cols>
    <col min="1" max="1" width="4.6640625" style="1" customWidth="1"/>
    <col min="2" max="2" width="54.44140625" style="1" customWidth="1"/>
    <col min="3" max="3" width="5.5546875" style="1" customWidth="1"/>
    <col min="4" max="4" width="3.6640625" style="1" customWidth="1"/>
    <col min="5" max="5" width="4" style="1" customWidth="1"/>
    <col min="6" max="6" width="3.33203125" style="1" customWidth="1"/>
    <col min="7" max="7" width="2.44140625" style="1" customWidth="1"/>
    <col min="8" max="8" width="2.6640625" style="1" customWidth="1"/>
    <col min="9" max="9" width="7.6640625" style="1" customWidth="1"/>
    <col min="10" max="10" width="5" style="1" customWidth="1"/>
    <col min="11" max="11" width="13.33203125" style="1" hidden="1" customWidth="1"/>
    <col min="12" max="12" width="12.33203125" style="1" customWidth="1"/>
    <col min="13" max="13" width="14.5546875" style="30" customWidth="1"/>
    <col min="14" max="14" width="14.33203125" style="30" customWidth="1"/>
    <col min="15" max="15" width="8.88671875" style="1" customWidth="1"/>
    <col min="16" max="16" width="12.44140625" style="1" bestFit="1" customWidth="1"/>
    <col min="17" max="17" width="9.33203125" style="1" bestFit="1" customWidth="1"/>
    <col min="18" max="18" width="12.44140625" style="1" bestFit="1" customWidth="1"/>
    <col min="19" max="19" width="9.33203125" style="1" bestFit="1" customWidth="1"/>
    <col min="20" max="16384" width="8.88671875" style="1"/>
  </cols>
  <sheetData>
    <row r="1" spans="1:14" ht="18" x14ac:dyDescent="0.35">
      <c r="N1" s="158" t="s">
        <v>515</v>
      </c>
    </row>
    <row r="2" spans="1:14" ht="18" x14ac:dyDescent="0.35">
      <c r="M2" s="117"/>
      <c r="N2" s="158" t="s">
        <v>765</v>
      </c>
    </row>
    <row r="3" spans="1:14" x14ac:dyDescent="0.3">
      <c r="M3" s="117"/>
      <c r="N3" s="117"/>
    </row>
    <row r="4" spans="1:14" ht="18" x14ac:dyDescent="0.35">
      <c r="H4" s="35"/>
      <c r="I4" s="39"/>
      <c r="J4" s="35"/>
      <c r="K4" s="35"/>
      <c r="L4" s="35"/>
      <c r="M4" s="35"/>
      <c r="N4" s="39" t="s">
        <v>602</v>
      </c>
    </row>
    <row r="5" spans="1:14" ht="18.75" customHeight="1" x14ac:dyDescent="0.35">
      <c r="H5" s="35"/>
      <c r="I5" s="39"/>
      <c r="J5" s="35"/>
      <c r="K5" s="35"/>
      <c r="L5" s="35"/>
      <c r="M5" s="35"/>
      <c r="N5" s="39" t="s">
        <v>667</v>
      </c>
    </row>
    <row r="6" spans="1:14" x14ac:dyDescent="0.3">
      <c r="M6" s="117"/>
      <c r="N6" s="117"/>
    </row>
    <row r="7" spans="1:14" x14ac:dyDescent="0.3">
      <c r="M7" s="117"/>
      <c r="N7" s="117"/>
    </row>
    <row r="8" spans="1:14" x14ac:dyDescent="0.3">
      <c r="M8" s="117"/>
      <c r="N8" s="117"/>
    </row>
    <row r="9" spans="1:14" ht="17.399999999999999" customHeight="1" x14ac:dyDescent="0.3">
      <c r="A9" s="745" t="s">
        <v>597</v>
      </c>
      <c r="B9" s="745"/>
      <c r="C9" s="745"/>
      <c r="D9" s="745"/>
      <c r="E9" s="745"/>
      <c r="F9" s="745"/>
      <c r="G9" s="745"/>
      <c r="H9" s="745"/>
      <c r="I9" s="745"/>
      <c r="J9" s="745"/>
      <c r="K9" s="745"/>
      <c r="L9" s="745"/>
      <c r="M9" s="745"/>
      <c r="N9" s="745"/>
    </row>
    <row r="10" spans="1:14" ht="17.399999999999999" customHeight="1" x14ac:dyDescent="0.3">
      <c r="A10" s="667"/>
      <c r="B10" s="667"/>
      <c r="C10" s="667"/>
      <c r="D10" s="667"/>
      <c r="E10" s="667"/>
      <c r="F10" s="667"/>
      <c r="G10" s="667"/>
      <c r="H10" s="667"/>
      <c r="I10" s="667"/>
      <c r="J10" s="667"/>
      <c r="K10" s="667"/>
      <c r="L10" s="667"/>
      <c r="M10" s="667"/>
      <c r="N10" s="667"/>
    </row>
    <row r="11" spans="1:14" ht="17.399999999999999" customHeight="1" x14ac:dyDescent="0.3">
      <c r="A11" s="667"/>
      <c r="B11" s="667"/>
      <c r="C11" s="667"/>
      <c r="D11" s="667"/>
      <c r="E11" s="667"/>
      <c r="F11" s="667"/>
      <c r="G11" s="667"/>
      <c r="H11" s="667"/>
      <c r="I11" s="667"/>
      <c r="J11" s="667"/>
      <c r="K11" s="667"/>
      <c r="L11" s="667"/>
      <c r="M11" s="667"/>
      <c r="N11" s="667"/>
    </row>
    <row r="12" spans="1:14" ht="18" x14ac:dyDescent="0.35">
      <c r="A12" s="2"/>
      <c r="B12" s="3"/>
      <c r="C12" s="4"/>
      <c r="D12" s="4"/>
      <c r="E12" s="4"/>
      <c r="F12" s="4"/>
      <c r="G12" s="2"/>
      <c r="H12" s="5"/>
      <c r="I12" s="6"/>
      <c r="J12" s="7"/>
      <c r="K12" s="7"/>
      <c r="L12" s="7"/>
      <c r="M12" s="117"/>
      <c r="N12" s="118" t="s">
        <v>22</v>
      </c>
    </row>
    <row r="13" spans="1:14" ht="18" customHeight="1" x14ac:dyDescent="0.3">
      <c r="A13" s="765" t="s">
        <v>23</v>
      </c>
      <c r="B13" s="766" t="s">
        <v>24</v>
      </c>
      <c r="C13" s="767" t="s">
        <v>25</v>
      </c>
      <c r="D13" s="767" t="s">
        <v>26</v>
      </c>
      <c r="E13" s="767" t="s">
        <v>27</v>
      </c>
      <c r="F13" s="768" t="s">
        <v>28</v>
      </c>
      <c r="G13" s="767"/>
      <c r="H13" s="767"/>
      <c r="I13" s="767"/>
      <c r="J13" s="767" t="s">
        <v>29</v>
      </c>
      <c r="K13" s="771" t="s">
        <v>664</v>
      </c>
      <c r="L13" s="769" t="s">
        <v>504</v>
      </c>
      <c r="M13" s="769"/>
      <c r="N13" s="769" t="s">
        <v>592</v>
      </c>
    </row>
    <row r="14" spans="1:14" ht="35.4" customHeight="1" x14ac:dyDescent="0.35">
      <c r="A14" s="765"/>
      <c r="B14" s="766"/>
      <c r="C14" s="767"/>
      <c r="D14" s="767"/>
      <c r="E14" s="767"/>
      <c r="F14" s="768"/>
      <c r="G14" s="767"/>
      <c r="H14" s="767"/>
      <c r="I14" s="767"/>
      <c r="J14" s="767"/>
      <c r="K14" s="772"/>
      <c r="L14" s="626" t="s">
        <v>665</v>
      </c>
      <c r="M14" s="627" t="s">
        <v>666</v>
      </c>
      <c r="N14" s="770"/>
    </row>
    <row r="15" spans="1:14" ht="18" x14ac:dyDescent="0.35">
      <c r="A15" s="8">
        <v>1</v>
      </c>
      <c r="B15" s="9">
        <v>2</v>
      </c>
      <c r="C15" s="10" t="s">
        <v>30</v>
      </c>
      <c r="D15" s="10" t="s">
        <v>31</v>
      </c>
      <c r="E15" s="10" t="s">
        <v>32</v>
      </c>
      <c r="F15" s="747" t="s">
        <v>33</v>
      </c>
      <c r="G15" s="747"/>
      <c r="H15" s="747"/>
      <c r="I15" s="748"/>
      <c r="J15" s="10" t="s">
        <v>34</v>
      </c>
      <c r="K15" s="10"/>
      <c r="L15" s="10" t="s">
        <v>480</v>
      </c>
      <c r="M15" s="31">
        <v>9</v>
      </c>
      <c r="N15" s="31">
        <v>10</v>
      </c>
    </row>
    <row r="16" spans="1:14" ht="18" x14ac:dyDescent="0.3">
      <c r="A16" s="11">
        <v>1</v>
      </c>
      <c r="B16" s="119" t="s">
        <v>202</v>
      </c>
      <c r="C16" s="13"/>
      <c r="D16" s="14"/>
      <c r="E16" s="14"/>
      <c r="F16" s="16"/>
      <c r="G16" s="16"/>
      <c r="H16" s="16"/>
      <c r="I16" s="17"/>
      <c r="J16" s="14"/>
      <c r="K16" s="112">
        <f>K17+K170+K204+K214+K420+K477+K533+K565+K601+K289</f>
        <v>1951860.5</v>
      </c>
      <c r="L16" s="112">
        <f>L17+L170+L204+L214+L420+L477+L533+L565+L601+L289</f>
        <v>6954.8000000000011</v>
      </c>
      <c r="M16" s="112">
        <f>M17+M170+M204+M214+M420+M477+M533+M565+M601+M289</f>
        <v>1958815.3000000003</v>
      </c>
      <c r="N16" s="112">
        <f>N17+N170+N204+N214+N420+N477+N533+N565+N601+N289</f>
        <v>1887225.6</v>
      </c>
    </row>
    <row r="17" spans="1:14" s="120" customFormat="1" ht="34.799999999999997" x14ac:dyDescent="0.3">
      <c r="A17" s="115">
        <v>1</v>
      </c>
      <c r="B17" s="557" t="s">
        <v>0</v>
      </c>
      <c r="C17" s="18" t="s">
        <v>1</v>
      </c>
      <c r="D17" s="19"/>
      <c r="E17" s="19"/>
      <c r="F17" s="20"/>
      <c r="G17" s="21"/>
      <c r="H17" s="21"/>
      <c r="I17" s="22"/>
      <c r="J17" s="19"/>
      <c r="K17" s="32">
        <f>K18+K78+K106+K156+K142+K149</f>
        <v>201067.20000000004</v>
      </c>
      <c r="L17" s="32">
        <f>L18+L78+L106+L156+L142+L149</f>
        <v>0</v>
      </c>
      <c r="M17" s="32">
        <f>M18+M78+M106+M156+M142+M149</f>
        <v>201067.20000000004</v>
      </c>
      <c r="N17" s="32">
        <f>N18+N78+N106+N156+N142+N149</f>
        <v>205421.6</v>
      </c>
    </row>
    <row r="18" spans="1:14" s="121" customFormat="1" ht="18" x14ac:dyDescent="0.35">
      <c r="A18" s="11"/>
      <c r="B18" s="510" t="s">
        <v>36</v>
      </c>
      <c r="C18" s="23" t="s">
        <v>1</v>
      </c>
      <c r="D18" s="10" t="s">
        <v>37</v>
      </c>
      <c r="E18" s="10"/>
      <c r="F18" s="668"/>
      <c r="G18" s="669"/>
      <c r="H18" s="669"/>
      <c r="I18" s="670"/>
      <c r="J18" s="10"/>
      <c r="K18" s="24">
        <f>K19+K25+K52+K46+K57</f>
        <v>152492.40000000002</v>
      </c>
      <c r="L18" s="24">
        <f>L19+L25+L52+L46+L57</f>
        <v>0</v>
      </c>
      <c r="M18" s="24">
        <f>M19+M25+M52+M46+M57</f>
        <v>152492.40000000002</v>
      </c>
      <c r="N18" s="24">
        <f>N19+N25+N52+N46+N57</f>
        <v>157564</v>
      </c>
    </row>
    <row r="19" spans="1:14" s="116" customFormat="1" ht="54" x14ac:dyDescent="0.35">
      <c r="A19" s="11"/>
      <c r="B19" s="510" t="s">
        <v>38</v>
      </c>
      <c r="C19" s="23" t="s">
        <v>1</v>
      </c>
      <c r="D19" s="10" t="s">
        <v>37</v>
      </c>
      <c r="E19" s="10" t="s">
        <v>39</v>
      </c>
      <c r="F19" s="668"/>
      <c r="G19" s="669"/>
      <c r="H19" s="669"/>
      <c r="I19" s="670"/>
      <c r="J19" s="10"/>
      <c r="K19" s="24">
        <f t="shared" ref="K19:N23" si="0">K20</f>
        <v>2612.1999999999998</v>
      </c>
      <c r="L19" s="24">
        <f t="shared" si="0"/>
        <v>0</v>
      </c>
      <c r="M19" s="24">
        <f t="shared" si="0"/>
        <v>2612.1999999999998</v>
      </c>
      <c r="N19" s="24">
        <f t="shared" si="0"/>
        <v>2612.1999999999998</v>
      </c>
    </row>
    <row r="20" spans="1:14" s="116" customFormat="1" ht="54" x14ac:dyDescent="0.35">
      <c r="A20" s="11"/>
      <c r="B20" s="510" t="s">
        <v>40</v>
      </c>
      <c r="C20" s="23" t="s">
        <v>1</v>
      </c>
      <c r="D20" s="10" t="s">
        <v>37</v>
      </c>
      <c r="E20" s="10" t="s">
        <v>39</v>
      </c>
      <c r="F20" s="668" t="s">
        <v>41</v>
      </c>
      <c r="G20" s="669" t="s">
        <v>42</v>
      </c>
      <c r="H20" s="669" t="s">
        <v>43</v>
      </c>
      <c r="I20" s="670" t="s">
        <v>44</v>
      </c>
      <c r="J20" s="10"/>
      <c r="K20" s="24">
        <f t="shared" si="0"/>
        <v>2612.1999999999998</v>
      </c>
      <c r="L20" s="24">
        <f t="shared" si="0"/>
        <v>0</v>
      </c>
      <c r="M20" s="24">
        <f t="shared" si="0"/>
        <v>2612.1999999999998</v>
      </c>
      <c r="N20" s="24">
        <f t="shared" si="0"/>
        <v>2612.1999999999998</v>
      </c>
    </row>
    <row r="21" spans="1:14" s="116" customFormat="1" ht="36" x14ac:dyDescent="0.35">
      <c r="A21" s="11"/>
      <c r="B21" s="510" t="s">
        <v>339</v>
      </c>
      <c r="C21" s="23" t="s">
        <v>1</v>
      </c>
      <c r="D21" s="10" t="s">
        <v>37</v>
      </c>
      <c r="E21" s="10" t="s">
        <v>39</v>
      </c>
      <c r="F21" s="668" t="s">
        <v>41</v>
      </c>
      <c r="G21" s="669" t="s">
        <v>45</v>
      </c>
      <c r="H21" s="669" t="s">
        <v>43</v>
      </c>
      <c r="I21" s="670" t="s">
        <v>44</v>
      </c>
      <c r="J21" s="10"/>
      <c r="K21" s="24">
        <f t="shared" si="0"/>
        <v>2612.1999999999998</v>
      </c>
      <c r="L21" s="24">
        <f t="shared" si="0"/>
        <v>0</v>
      </c>
      <c r="M21" s="24">
        <f t="shared" si="0"/>
        <v>2612.1999999999998</v>
      </c>
      <c r="N21" s="24">
        <f t="shared" si="0"/>
        <v>2612.1999999999998</v>
      </c>
    </row>
    <row r="22" spans="1:14" s="116" customFormat="1" ht="54" x14ac:dyDescent="0.35">
      <c r="A22" s="11"/>
      <c r="B22" s="510" t="s">
        <v>46</v>
      </c>
      <c r="C22" s="23" t="s">
        <v>1</v>
      </c>
      <c r="D22" s="10" t="s">
        <v>37</v>
      </c>
      <c r="E22" s="10" t="s">
        <v>39</v>
      </c>
      <c r="F22" s="668" t="s">
        <v>41</v>
      </c>
      <c r="G22" s="669" t="s">
        <v>45</v>
      </c>
      <c r="H22" s="669" t="s">
        <v>37</v>
      </c>
      <c r="I22" s="670" t="s">
        <v>44</v>
      </c>
      <c r="J22" s="10"/>
      <c r="K22" s="24">
        <f t="shared" si="0"/>
        <v>2612.1999999999998</v>
      </c>
      <c r="L22" s="24">
        <f t="shared" si="0"/>
        <v>0</v>
      </c>
      <c r="M22" s="24">
        <f t="shared" si="0"/>
        <v>2612.1999999999998</v>
      </c>
      <c r="N22" s="24">
        <f t="shared" si="0"/>
        <v>2612.1999999999998</v>
      </c>
    </row>
    <row r="23" spans="1:14" s="116" customFormat="1" ht="36" x14ac:dyDescent="0.35">
      <c r="A23" s="11"/>
      <c r="B23" s="510" t="s">
        <v>47</v>
      </c>
      <c r="C23" s="23" t="s">
        <v>1</v>
      </c>
      <c r="D23" s="10" t="s">
        <v>37</v>
      </c>
      <c r="E23" s="10" t="s">
        <v>39</v>
      </c>
      <c r="F23" s="668" t="s">
        <v>41</v>
      </c>
      <c r="G23" s="669" t="s">
        <v>45</v>
      </c>
      <c r="H23" s="669" t="s">
        <v>37</v>
      </c>
      <c r="I23" s="670" t="s">
        <v>48</v>
      </c>
      <c r="J23" s="10"/>
      <c r="K23" s="24">
        <f t="shared" si="0"/>
        <v>2612.1999999999998</v>
      </c>
      <c r="L23" s="24">
        <f t="shared" si="0"/>
        <v>0</v>
      </c>
      <c r="M23" s="24">
        <f t="shared" si="0"/>
        <v>2612.1999999999998</v>
      </c>
      <c r="N23" s="24">
        <f t="shared" si="0"/>
        <v>2612.1999999999998</v>
      </c>
    </row>
    <row r="24" spans="1:14" s="116" customFormat="1" ht="108" x14ac:dyDescent="0.35">
      <c r="A24" s="11"/>
      <c r="B24" s="510" t="s">
        <v>49</v>
      </c>
      <c r="C24" s="23" t="s">
        <v>1</v>
      </c>
      <c r="D24" s="10" t="s">
        <v>37</v>
      </c>
      <c r="E24" s="10" t="s">
        <v>39</v>
      </c>
      <c r="F24" s="668" t="s">
        <v>41</v>
      </c>
      <c r="G24" s="669" t="s">
        <v>45</v>
      </c>
      <c r="H24" s="669" t="s">
        <v>37</v>
      </c>
      <c r="I24" s="670" t="s">
        <v>48</v>
      </c>
      <c r="J24" s="10" t="s">
        <v>50</v>
      </c>
      <c r="K24" s="24">
        <v>2612.1999999999998</v>
      </c>
      <c r="L24" s="24">
        <f>M24-K24</f>
        <v>0</v>
      </c>
      <c r="M24" s="24">
        <v>2612.1999999999998</v>
      </c>
      <c r="N24" s="24">
        <v>2612.1999999999998</v>
      </c>
    </row>
    <row r="25" spans="1:14" s="121" customFormat="1" ht="72" x14ac:dyDescent="0.35">
      <c r="A25" s="11"/>
      <c r="B25" s="510" t="s">
        <v>51</v>
      </c>
      <c r="C25" s="23" t="s">
        <v>1</v>
      </c>
      <c r="D25" s="10" t="s">
        <v>37</v>
      </c>
      <c r="E25" s="10" t="s">
        <v>52</v>
      </c>
      <c r="F25" s="668"/>
      <c r="G25" s="669"/>
      <c r="H25" s="669"/>
      <c r="I25" s="670"/>
      <c r="J25" s="10"/>
      <c r="K25" s="24">
        <f t="shared" ref="K25:N26" si="1">K26</f>
        <v>83362.000000000015</v>
      </c>
      <c r="L25" s="24">
        <f t="shared" si="1"/>
        <v>0</v>
      </c>
      <c r="M25" s="24">
        <f t="shared" si="1"/>
        <v>83362.000000000015</v>
      </c>
      <c r="N25" s="24">
        <f t="shared" si="1"/>
        <v>83398.000000000015</v>
      </c>
    </row>
    <row r="26" spans="1:14" s="121" customFormat="1" ht="54" x14ac:dyDescent="0.35">
      <c r="A26" s="11"/>
      <c r="B26" s="510" t="s">
        <v>53</v>
      </c>
      <c r="C26" s="23" t="s">
        <v>1</v>
      </c>
      <c r="D26" s="10" t="s">
        <v>37</v>
      </c>
      <c r="E26" s="10" t="s">
        <v>52</v>
      </c>
      <c r="F26" s="668" t="s">
        <v>41</v>
      </c>
      <c r="G26" s="669" t="s">
        <v>42</v>
      </c>
      <c r="H26" s="669" t="s">
        <v>43</v>
      </c>
      <c r="I26" s="670" t="s">
        <v>44</v>
      </c>
      <c r="J26" s="10"/>
      <c r="K26" s="24">
        <f t="shared" si="1"/>
        <v>83362.000000000015</v>
      </c>
      <c r="L26" s="24">
        <f t="shared" si="1"/>
        <v>0</v>
      </c>
      <c r="M26" s="24">
        <f t="shared" si="1"/>
        <v>83362.000000000015</v>
      </c>
      <c r="N26" s="24">
        <f t="shared" si="1"/>
        <v>83398.000000000015</v>
      </c>
    </row>
    <row r="27" spans="1:14" s="7" customFormat="1" ht="36" x14ac:dyDescent="0.35">
      <c r="A27" s="11"/>
      <c r="B27" s="510" t="s">
        <v>339</v>
      </c>
      <c r="C27" s="23" t="s">
        <v>1</v>
      </c>
      <c r="D27" s="10" t="s">
        <v>37</v>
      </c>
      <c r="E27" s="10" t="s">
        <v>52</v>
      </c>
      <c r="F27" s="668" t="s">
        <v>41</v>
      </c>
      <c r="G27" s="669" t="s">
        <v>45</v>
      </c>
      <c r="H27" s="669" t="s">
        <v>43</v>
      </c>
      <c r="I27" s="670" t="s">
        <v>44</v>
      </c>
      <c r="J27" s="10"/>
      <c r="K27" s="24">
        <f>K28+K43</f>
        <v>83362.000000000015</v>
      </c>
      <c r="L27" s="24">
        <f>L28+L43</f>
        <v>0</v>
      </c>
      <c r="M27" s="24">
        <f>M28+M43</f>
        <v>83362.000000000015</v>
      </c>
      <c r="N27" s="24">
        <f>N28+N43</f>
        <v>83398.000000000015</v>
      </c>
    </row>
    <row r="28" spans="1:14" s="7" customFormat="1" ht="36" x14ac:dyDescent="0.35">
      <c r="A28" s="11"/>
      <c r="B28" s="510" t="s">
        <v>54</v>
      </c>
      <c r="C28" s="23" t="s">
        <v>1</v>
      </c>
      <c r="D28" s="10" t="s">
        <v>37</v>
      </c>
      <c r="E28" s="10" t="s">
        <v>52</v>
      </c>
      <c r="F28" s="668" t="s">
        <v>41</v>
      </c>
      <c r="G28" s="669" t="s">
        <v>45</v>
      </c>
      <c r="H28" s="669" t="s">
        <v>39</v>
      </c>
      <c r="I28" s="670" t="s">
        <v>44</v>
      </c>
      <c r="J28" s="10"/>
      <c r="K28" s="24">
        <f>K29+K35+K37+K33+K40</f>
        <v>83357.500000000015</v>
      </c>
      <c r="L28" s="24">
        <f>L29+L35+L37+L33+L40</f>
        <v>0</v>
      </c>
      <c r="M28" s="24">
        <f>M29+M35+M37+M33+M40</f>
        <v>83357.500000000015</v>
      </c>
      <c r="N28" s="24">
        <f>N29+N35+N37+N33+N40</f>
        <v>83393.500000000015</v>
      </c>
    </row>
    <row r="29" spans="1:14" s="116" customFormat="1" ht="36" x14ac:dyDescent="0.35">
      <c r="A29" s="11"/>
      <c r="B29" s="510" t="s">
        <v>47</v>
      </c>
      <c r="C29" s="23" t="s">
        <v>1</v>
      </c>
      <c r="D29" s="10" t="s">
        <v>37</v>
      </c>
      <c r="E29" s="10" t="s">
        <v>52</v>
      </c>
      <c r="F29" s="668" t="s">
        <v>41</v>
      </c>
      <c r="G29" s="669" t="s">
        <v>45</v>
      </c>
      <c r="H29" s="669" t="s">
        <v>39</v>
      </c>
      <c r="I29" s="670" t="s">
        <v>48</v>
      </c>
      <c r="J29" s="10"/>
      <c r="K29" s="24">
        <f>K30+K31+K32</f>
        <v>77728.5</v>
      </c>
      <c r="L29" s="24">
        <f>L30+L31+L32</f>
        <v>0</v>
      </c>
      <c r="M29" s="24">
        <f>M30+M31+M32</f>
        <v>77728.5</v>
      </c>
      <c r="N29" s="24">
        <f>N30+N31+N32</f>
        <v>77764.5</v>
      </c>
    </row>
    <row r="30" spans="1:14" s="116" customFormat="1" ht="108" x14ac:dyDescent="0.35">
      <c r="A30" s="11"/>
      <c r="B30" s="510" t="s">
        <v>49</v>
      </c>
      <c r="C30" s="23" t="s">
        <v>1</v>
      </c>
      <c r="D30" s="10" t="s">
        <v>37</v>
      </c>
      <c r="E30" s="10" t="s">
        <v>52</v>
      </c>
      <c r="F30" s="668" t="s">
        <v>41</v>
      </c>
      <c r="G30" s="669" t="s">
        <v>45</v>
      </c>
      <c r="H30" s="669" t="s">
        <v>39</v>
      </c>
      <c r="I30" s="670" t="s">
        <v>48</v>
      </c>
      <c r="J30" s="10" t="s">
        <v>50</v>
      </c>
      <c r="K30" s="24">
        <v>76888.3</v>
      </c>
      <c r="L30" s="24">
        <f>M30-K30</f>
        <v>0</v>
      </c>
      <c r="M30" s="24">
        <v>76888.3</v>
      </c>
      <c r="N30" s="24">
        <v>76888.3</v>
      </c>
    </row>
    <row r="31" spans="1:14" s="7" customFormat="1" ht="54" x14ac:dyDescent="0.35">
      <c r="A31" s="11"/>
      <c r="B31" s="510" t="s">
        <v>55</v>
      </c>
      <c r="C31" s="23" t="s">
        <v>1</v>
      </c>
      <c r="D31" s="10" t="s">
        <v>37</v>
      </c>
      <c r="E31" s="10" t="s">
        <v>52</v>
      </c>
      <c r="F31" s="668" t="s">
        <v>41</v>
      </c>
      <c r="G31" s="669" t="s">
        <v>45</v>
      </c>
      <c r="H31" s="669" t="s">
        <v>39</v>
      </c>
      <c r="I31" s="670" t="s">
        <v>48</v>
      </c>
      <c r="J31" s="10" t="s">
        <v>56</v>
      </c>
      <c r="K31" s="24">
        <f>853.3-36</f>
        <v>817.3</v>
      </c>
      <c r="L31" s="24">
        <f>M31-K31</f>
        <v>0</v>
      </c>
      <c r="M31" s="24">
        <f>853.3-36</f>
        <v>817.3</v>
      </c>
      <c r="N31" s="24">
        <v>853.3</v>
      </c>
    </row>
    <row r="32" spans="1:14" s="116" customFormat="1" ht="18" x14ac:dyDescent="0.35">
      <c r="A32" s="11"/>
      <c r="B32" s="510" t="s">
        <v>57</v>
      </c>
      <c r="C32" s="23" t="s">
        <v>1</v>
      </c>
      <c r="D32" s="10" t="s">
        <v>37</v>
      </c>
      <c r="E32" s="10" t="s">
        <v>52</v>
      </c>
      <c r="F32" s="668" t="s">
        <v>41</v>
      </c>
      <c r="G32" s="669" t="s">
        <v>45</v>
      </c>
      <c r="H32" s="669" t="s">
        <v>39</v>
      </c>
      <c r="I32" s="670" t="s">
        <v>48</v>
      </c>
      <c r="J32" s="10" t="s">
        <v>58</v>
      </c>
      <c r="K32" s="24">
        <v>22.9</v>
      </c>
      <c r="L32" s="24">
        <f>M32-K32</f>
        <v>0</v>
      </c>
      <c r="M32" s="24">
        <v>22.9</v>
      </c>
      <c r="N32" s="24">
        <v>22.9</v>
      </c>
    </row>
    <row r="33" spans="1:14" s="121" customFormat="1" ht="90" x14ac:dyDescent="0.35">
      <c r="A33" s="11"/>
      <c r="B33" s="510" t="s">
        <v>443</v>
      </c>
      <c r="C33" s="23" t="s">
        <v>1</v>
      </c>
      <c r="D33" s="10" t="s">
        <v>37</v>
      </c>
      <c r="E33" s="10" t="s">
        <v>52</v>
      </c>
      <c r="F33" s="668" t="s">
        <v>41</v>
      </c>
      <c r="G33" s="669" t="s">
        <v>45</v>
      </c>
      <c r="H33" s="669" t="s">
        <v>39</v>
      </c>
      <c r="I33" s="670" t="s">
        <v>265</v>
      </c>
      <c r="J33" s="10"/>
      <c r="K33" s="24">
        <f>K34</f>
        <v>63</v>
      </c>
      <c r="L33" s="24">
        <f>L34</f>
        <v>0</v>
      </c>
      <c r="M33" s="24">
        <f>M34</f>
        <v>63</v>
      </c>
      <c r="N33" s="24">
        <f>N34</f>
        <v>63</v>
      </c>
    </row>
    <row r="34" spans="1:14" s="121" customFormat="1" ht="54" x14ac:dyDescent="0.35">
      <c r="A34" s="11"/>
      <c r="B34" s="510" t="s">
        <v>55</v>
      </c>
      <c r="C34" s="23" t="s">
        <v>1</v>
      </c>
      <c r="D34" s="10" t="s">
        <v>37</v>
      </c>
      <c r="E34" s="10" t="s">
        <v>52</v>
      </c>
      <c r="F34" s="668" t="s">
        <v>41</v>
      </c>
      <c r="G34" s="669" t="s">
        <v>45</v>
      </c>
      <c r="H34" s="669" t="s">
        <v>39</v>
      </c>
      <c r="I34" s="670" t="s">
        <v>265</v>
      </c>
      <c r="J34" s="10" t="s">
        <v>56</v>
      </c>
      <c r="K34" s="24">
        <v>63</v>
      </c>
      <c r="L34" s="24">
        <f>M34-K34</f>
        <v>0</v>
      </c>
      <c r="M34" s="24">
        <v>63</v>
      </c>
      <c r="N34" s="24">
        <v>63</v>
      </c>
    </row>
    <row r="35" spans="1:14" s="121" customFormat="1" ht="198" x14ac:dyDescent="0.35">
      <c r="A35" s="11"/>
      <c r="B35" s="558" t="s">
        <v>451</v>
      </c>
      <c r="C35" s="23" t="s">
        <v>1</v>
      </c>
      <c r="D35" s="10" t="s">
        <v>37</v>
      </c>
      <c r="E35" s="10" t="s">
        <v>52</v>
      </c>
      <c r="F35" s="668" t="s">
        <v>41</v>
      </c>
      <c r="G35" s="669" t="s">
        <v>45</v>
      </c>
      <c r="H35" s="669" t="s">
        <v>39</v>
      </c>
      <c r="I35" s="670" t="s">
        <v>59</v>
      </c>
      <c r="J35" s="10"/>
      <c r="K35" s="24">
        <f>K36</f>
        <v>749.1</v>
      </c>
      <c r="L35" s="24">
        <f>L36</f>
        <v>0</v>
      </c>
      <c r="M35" s="24">
        <f>M36</f>
        <v>749.1</v>
      </c>
      <c r="N35" s="24">
        <f>N36</f>
        <v>749.1</v>
      </c>
    </row>
    <row r="36" spans="1:14" s="121" customFormat="1" ht="108" x14ac:dyDescent="0.35">
      <c r="A36" s="11"/>
      <c r="B36" s="510" t="s">
        <v>49</v>
      </c>
      <c r="C36" s="23" t="s">
        <v>1</v>
      </c>
      <c r="D36" s="10" t="s">
        <v>37</v>
      </c>
      <c r="E36" s="10" t="s">
        <v>52</v>
      </c>
      <c r="F36" s="668" t="s">
        <v>41</v>
      </c>
      <c r="G36" s="669" t="s">
        <v>45</v>
      </c>
      <c r="H36" s="669" t="s">
        <v>39</v>
      </c>
      <c r="I36" s="670" t="s">
        <v>59</v>
      </c>
      <c r="J36" s="10" t="s">
        <v>50</v>
      </c>
      <c r="K36" s="24">
        <v>749.1</v>
      </c>
      <c r="L36" s="24">
        <f>M36-K36</f>
        <v>0</v>
      </c>
      <c r="M36" s="24">
        <v>749.1</v>
      </c>
      <c r="N36" s="24">
        <v>749.1</v>
      </c>
    </row>
    <row r="37" spans="1:14" s="121" customFormat="1" ht="72" x14ac:dyDescent="0.35">
      <c r="A37" s="11"/>
      <c r="B37" s="510" t="s">
        <v>407</v>
      </c>
      <c r="C37" s="23" t="s">
        <v>1</v>
      </c>
      <c r="D37" s="10" t="s">
        <v>37</v>
      </c>
      <c r="E37" s="10" t="s">
        <v>52</v>
      </c>
      <c r="F37" s="668" t="s">
        <v>41</v>
      </c>
      <c r="G37" s="669" t="s">
        <v>45</v>
      </c>
      <c r="H37" s="669" t="s">
        <v>39</v>
      </c>
      <c r="I37" s="670" t="s">
        <v>61</v>
      </c>
      <c r="J37" s="10"/>
      <c r="K37" s="24">
        <f>K38+K39</f>
        <v>749.30000000000007</v>
      </c>
      <c r="L37" s="24">
        <f>L38+L39</f>
        <v>0</v>
      </c>
      <c r="M37" s="24">
        <f>M38+M39</f>
        <v>749.30000000000007</v>
      </c>
      <c r="N37" s="24">
        <f>N38+N39</f>
        <v>749.30000000000007</v>
      </c>
    </row>
    <row r="38" spans="1:14" s="121" customFormat="1" ht="108" x14ac:dyDescent="0.35">
      <c r="A38" s="11"/>
      <c r="B38" s="510" t="s">
        <v>49</v>
      </c>
      <c r="C38" s="23" t="s">
        <v>1</v>
      </c>
      <c r="D38" s="10" t="s">
        <v>37</v>
      </c>
      <c r="E38" s="10" t="s">
        <v>52</v>
      </c>
      <c r="F38" s="668" t="s">
        <v>41</v>
      </c>
      <c r="G38" s="669" t="s">
        <v>45</v>
      </c>
      <c r="H38" s="669" t="s">
        <v>39</v>
      </c>
      <c r="I38" s="670" t="s">
        <v>61</v>
      </c>
      <c r="J38" s="10" t="s">
        <v>50</v>
      </c>
      <c r="K38" s="24">
        <v>745.1</v>
      </c>
      <c r="L38" s="24">
        <f>M38-K38</f>
        <v>0</v>
      </c>
      <c r="M38" s="24">
        <v>745.1</v>
      </c>
      <c r="N38" s="24">
        <v>745.1</v>
      </c>
    </row>
    <row r="39" spans="1:14" s="121" customFormat="1" ht="54" x14ac:dyDescent="0.35">
      <c r="A39" s="11"/>
      <c r="B39" s="510" t="s">
        <v>55</v>
      </c>
      <c r="C39" s="23" t="s">
        <v>1</v>
      </c>
      <c r="D39" s="10" t="s">
        <v>37</v>
      </c>
      <c r="E39" s="10" t="s">
        <v>52</v>
      </c>
      <c r="F39" s="668" t="s">
        <v>41</v>
      </c>
      <c r="G39" s="669" t="s">
        <v>45</v>
      </c>
      <c r="H39" s="669" t="s">
        <v>39</v>
      </c>
      <c r="I39" s="670" t="s">
        <v>61</v>
      </c>
      <c r="J39" s="10" t="s">
        <v>56</v>
      </c>
      <c r="K39" s="24">
        <v>4.2</v>
      </c>
      <c r="L39" s="24">
        <f>M39-K39</f>
        <v>0</v>
      </c>
      <c r="M39" s="24">
        <v>4.2</v>
      </c>
      <c r="N39" s="24">
        <v>4.2</v>
      </c>
    </row>
    <row r="40" spans="1:14" s="121" customFormat="1" ht="72" x14ac:dyDescent="0.35">
      <c r="A40" s="11"/>
      <c r="B40" s="510" t="s">
        <v>60</v>
      </c>
      <c r="C40" s="23" t="s">
        <v>1</v>
      </c>
      <c r="D40" s="10" t="s">
        <v>37</v>
      </c>
      <c r="E40" s="10" t="s">
        <v>52</v>
      </c>
      <c r="F40" s="668" t="s">
        <v>41</v>
      </c>
      <c r="G40" s="669" t="s">
        <v>45</v>
      </c>
      <c r="H40" s="669" t="s">
        <v>39</v>
      </c>
      <c r="I40" s="670" t="s">
        <v>539</v>
      </c>
      <c r="J40" s="10"/>
      <c r="K40" s="24">
        <f>SUM(K41:K42)</f>
        <v>4067.6</v>
      </c>
      <c r="L40" s="24">
        <f>SUM(L41:L42)</f>
        <v>0</v>
      </c>
      <c r="M40" s="24">
        <f>SUM(M41:M42)</f>
        <v>4067.6</v>
      </c>
      <c r="N40" s="24">
        <f>SUM(N41:N42)</f>
        <v>4067.6</v>
      </c>
    </row>
    <row r="41" spans="1:14" s="121" customFormat="1" ht="108" x14ac:dyDescent="0.35">
      <c r="A41" s="11"/>
      <c r="B41" s="510" t="s">
        <v>49</v>
      </c>
      <c r="C41" s="23" t="s">
        <v>1</v>
      </c>
      <c r="D41" s="10" t="s">
        <v>37</v>
      </c>
      <c r="E41" s="10" t="s">
        <v>52</v>
      </c>
      <c r="F41" s="668" t="s">
        <v>41</v>
      </c>
      <c r="G41" s="669" t="s">
        <v>45</v>
      </c>
      <c r="H41" s="669" t="s">
        <v>39</v>
      </c>
      <c r="I41" s="670" t="s">
        <v>539</v>
      </c>
      <c r="J41" s="10" t="s">
        <v>50</v>
      </c>
      <c r="K41" s="24">
        <v>4000.1</v>
      </c>
      <c r="L41" s="24">
        <f>M41-K41</f>
        <v>0</v>
      </c>
      <c r="M41" s="24">
        <v>4000.1</v>
      </c>
      <c r="N41" s="24">
        <v>4000.1</v>
      </c>
    </row>
    <row r="42" spans="1:14" s="121" customFormat="1" ht="54" x14ac:dyDescent="0.35">
      <c r="A42" s="11"/>
      <c r="B42" s="510" t="s">
        <v>55</v>
      </c>
      <c r="C42" s="23" t="s">
        <v>1</v>
      </c>
      <c r="D42" s="10" t="s">
        <v>37</v>
      </c>
      <c r="E42" s="10" t="s">
        <v>52</v>
      </c>
      <c r="F42" s="668" t="s">
        <v>41</v>
      </c>
      <c r="G42" s="669" t="s">
        <v>45</v>
      </c>
      <c r="H42" s="669" t="s">
        <v>39</v>
      </c>
      <c r="I42" s="670" t="s">
        <v>539</v>
      </c>
      <c r="J42" s="10" t="s">
        <v>56</v>
      </c>
      <c r="K42" s="24">
        <v>67.5</v>
      </c>
      <c r="L42" s="24">
        <f>M42-K42</f>
        <v>0</v>
      </c>
      <c r="M42" s="24">
        <v>67.5</v>
      </c>
      <c r="N42" s="24">
        <v>67.5</v>
      </c>
    </row>
    <row r="43" spans="1:14" s="7" customFormat="1" ht="18" x14ac:dyDescent="0.35">
      <c r="A43" s="11"/>
      <c r="B43" s="510" t="s">
        <v>62</v>
      </c>
      <c r="C43" s="23" t="s">
        <v>1</v>
      </c>
      <c r="D43" s="10" t="s">
        <v>37</v>
      </c>
      <c r="E43" s="10" t="s">
        <v>52</v>
      </c>
      <c r="F43" s="668" t="s">
        <v>41</v>
      </c>
      <c r="G43" s="669" t="s">
        <v>45</v>
      </c>
      <c r="H43" s="669" t="s">
        <v>63</v>
      </c>
      <c r="I43" s="670" t="s">
        <v>44</v>
      </c>
      <c r="J43" s="10"/>
      <c r="K43" s="24">
        <f t="shared" ref="K43:N44" si="2">K44</f>
        <v>4.5</v>
      </c>
      <c r="L43" s="24">
        <f t="shared" si="2"/>
        <v>0</v>
      </c>
      <c r="M43" s="24">
        <f t="shared" si="2"/>
        <v>4.5</v>
      </c>
      <c r="N43" s="24">
        <f t="shared" si="2"/>
        <v>4.5</v>
      </c>
    </row>
    <row r="44" spans="1:14" s="116" customFormat="1" ht="36" x14ac:dyDescent="0.35">
      <c r="A44" s="11"/>
      <c r="B44" s="510" t="s">
        <v>47</v>
      </c>
      <c r="C44" s="23" t="s">
        <v>1</v>
      </c>
      <c r="D44" s="10" t="s">
        <v>37</v>
      </c>
      <c r="E44" s="10" t="s">
        <v>52</v>
      </c>
      <c r="F44" s="668" t="s">
        <v>41</v>
      </c>
      <c r="G44" s="669" t="s">
        <v>45</v>
      </c>
      <c r="H44" s="669" t="s">
        <v>63</v>
      </c>
      <c r="I44" s="670" t="s">
        <v>48</v>
      </c>
      <c r="J44" s="10"/>
      <c r="K44" s="24">
        <f t="shared" si="2"/>
        <v>4.5</v>
      </c>
      <c r="L44" s="24">
        <f t="shared" si="2"/>
        <v>0</v>
      </c>
      <c r="M44" s="24">
        <f t="shared" si="2"/>
        <v>4.5</v>
      </c>
      <c r="N44" s="24">
        <f t="shared" si="2"/>
        <v>4.5</v>
      </c>
    </row>
    <row r="45" spans="1:14" s="7" customFormat="1" ht="54" x14ac:dyDescent="0.35">
      <c r="A45" s="11"/>
      <c r="B45" s="510" t="s">
        <v>55</v>
      </c>
      <c r="C45" s="23" t="s">
        <v>1</v>
      </c>
      <c r="D45" s="10" t="s">
        <v>37</v>
      </c>
      <c r="E45" s="10" t="s">
        <v>52</v>
      </c>
      <c r="F45" s="668" t="s">
        <v>41</v>
      </c>
      <c r="G45" s="669" t="s">
        <v>45</v>
      </c>
      <c r="H45" s="669" t="s">
        <v>63</v>
      </c>
      <c r="I45" s="670" t="s">
        <v>48</v>
      </c>
      <c r="J45" s="10" t="s">
        <v>56</v>
      </c>
      <c r="K45" s="24">
        <v>4.5</v>
      </c>
      <c r="L45" s="24">
        <f>M45-K45</f>
        <v>0</v>
      </c>
      <c r="M45" s="24">
        <v>4.5</v>
      </c>
      <c r="N45" s="24">
        <v>4.5</v>
      </c>
    </row>
    <row r="46" spans="1:14" s="7" customFormat="1" ht="18" x14ac:dyDescent="0.35">
      <c r="A46" s="11"/>
      <c r="B46" s="510" t="s">
        <v>383</v>
      </c>
      <c r="C46" s="23" t="s">
        <v>1</v>
      </c>
      <c r="D46" s="10" t="s">
        <v>37</v>
      </c>
      <c r="E46" s="10" t="s">
        <v>65</v>
      </c>
      <c r="F46" s="668"/>
      <c r="G46" s="669"/>
      <c r="H46" s="669"/>
      <c r="I46" s="670"/>
      <c r="J46" s="10"/>
      <c r="K46" s="24">
        <f t="shared" ref="K46:N50" si="3">K47</f>
        <v>20.3</v>
      </c>
      <c r="L46" s="24">
        <f t="shared" si="3"/>
        <v>0</v>
      </c>
      <c r="M46" s="24">
        <f t="shared" si="3"/>
        <v>20.3</v>
      </c>
      <c r="N46" s="24">
        <f t="shared" si="3"/>
        <v>17.7</v>
      </c>
    </row>
    <row r="47" spans="1:14" s="7" customFormat="1" ht="54" x14ac:dyDescent="0.35">
      <c r="A47" s="11"/>
      <c r="B47" s="510" t="s">
        <v>53</v>
      </c>
      <c r="C47" s="23" t="s">
        <v>1</v>
      </c>
      <c r="D47" s="10" t="s">
        <v>37</v>
      </c>
      <c r="E47" s="10" t="s">
        <v>65</v>
      </c>
      <c r="F47" s="668" t="s">
        <v>41</v>
      </c>
      <c r="G47" s="669" t="s">
        <v>42</v>
      </c>
      <c r="H47" s="669" t="s">
        <v>43</v>
      </c>
      <c r="I47" s="670" t="s">
        <v>44</v>
      </c>
      <c r="J47" s="10"/>
      <c r="K47" s="24">
        <f t="shared" si="3"/>
        <v>20.3</v>
      </c>
      <c r="L47" s="24">
        <f t="shared" si="3"/>
        <v>0</v>
      </c>
      <c r="M47" s="24">
        <f t="shared" si="3"/>
        <v>20.3</v>
      </c>
      <c r="N47" s="24">
        <f t="shared" si="3"/>
        <v>17.7</v>
      </c>
    </row>
    <row r="48" spans="1:14" s="7" customFormat="1" ht="36" x14ac:dyDescent="0.35">
      <c r="A48" s="11"/>
      <c r="B48" s="510" t="s">
        <v>339</v>
      </c>
      <c r="C48" s="23" t="s">
        <v>1</v>
      </c>
      <c r="D48" s="10" t="s">
        <v>37</v>
      </c>
      <c r="E48" s="10" t="s">
        <v>65</v>
      </c>
      <c r="F48" s="668" t="s">
        <v>41</v>
      </c>
      <c r="G48" s="669" t="s">
        <v>45</v>
      </c>
      <c r="H48" s="669" t="s">
        <v>43</v>
      </c>
      <c r="I48" s="670" t="s">
        <v>44</v>
      </c>
      <c r="J48" s="10"/>
      <c r="K48" s="24">
        <f t="shared" si="3"/>
        <v>20.3</v>
      </c>
      <c r="L48" s="24">
        <f t="shared" si="3"/>
        <v>0</v>
      </c>
      <c r="M48" s="24">
        <f t="shared" si="3"/>
        <v>20.3</v>
      </c>
      <c r="N48" s="24">
        <f t="shared" si="3"/>
        <v>17.7</v>
      </c>
    </row>
    <row r="49" spans="1:14" s="7" customFormat="1" ht="36" x14ac:dyDescent="0.35">
      <c r="A49" s="11"/>
      <c r="B49" s="510" t="s">
        <v>54</v>
      </c>
      <c r="C49" s="23" t="s">
        <v>1</v>
      </c>
      <c r="D49" s="10" t="s">
        <v>37</v>
      </c>
      <c r="E49" s="10" t="s">
        <v>65</v>
      </c>
      <c r="F49" s="668" t="s">
        <v>41</v>
      </c>
      <c r="G49" s="669" t="s">
        <v>45</v>
      </c>
      <c r="H49" s="669" t="s">
        <v>39</v>
      </c>
      <c r="I49" s="670" t="s">
        <v>44</v>
      </c>
      <c r="J49" s="10"/>
      <c r="K49" s="24">
        <f t="shared" si="3"/>
        <v>20.3</v>
      </c>
      <c r="L49" s="24">
        <f t="shared" si="3"/>
        <v>0</v>
      </c>
      <c r="M49" s="24">
        <f t="shared" si="3"/>
        <v>20.3</v>
      </c>
      <c r="N49" s="24">
        <f t="shared" si="3"/>
        <v>17.7</v>
      </c>
    </row>
    <row r="50" spans="1:14" s="7" customFormat="1" ht="72" x14ac:dyDescent="0.35">
      <c r="A50" s="11"/>
      <c r="B50" s="510" t="s">
        <v>385</v>
      </c>
      <c r="C50" s="23" t="s">
        <v>1</v>
      </c>
      <c r="D50" s="10" t="s">
        <v>37</v>
      </c>
      <c r="E50" s="10" t="s">
        <v>65</v>
      </c>
      <c r="F50" s="668" t="s">
        <v>41</v>
      </c>
      <c r="G50" s="669" t="s">
        <v>45</v>
      </c>
      <c r="H50" s="669" t="s">
        <v>39</v>
      </c>
      <c r="I50" s="670" t="s">
        <v>384</v>
      </c>
      <c r="J50" s="10"/>
      <c r="K50" s="24">
        <f t="shared" si="3"/>
        <v>20.3</v>
      </c>
      <c r="L50" s="24">
        <f t="shared" si="3"/>
        <v>0</v>
      </c>
      <c r="M50" s="24">
        <f t="shared" si="3"/>
        <v>20.3</v>
      </c>
      <c r="N50" s="24">
        <f t="shared" si="3"/>
        <v>17.7</v>
      </c>
    </row>
    <row r="51" spans="1:14" s="7" customFormat="1" ht="54" x14ac:dyDescent="0.35">
      <c r="A51" s="11"/>
      <c r="B51" s="510" t="s">
        <v>55</v>
      </c>
      <c r="C51" s="23" t="s">
        <v>1</v>
      </c>
      <c r="D51" s="10" t="s">
        <v>37</v>
      </c>
      <c r="E51" s="10" t="s">
        <v>65</v>
      </c>
      <c r="F51" s="668" t="s">
        <v>41</v>
      </c>
      <c r="G51" s="669" t="s">
        <v>45</v>
      </c>
      <c r="H51" s="669" t="s">
        <v>39</v>
      </c>
      <c r="I51" s="670" t="s">
        <v>384</v>
      </c>
      <c r="J51" s="10" t="s">
        <v>56</v>
      </c>
      <c r="K51" s="24">
        <v>20.3</v>
      </c>
      <c r="L51" s="24">
        <f>M51-K51</f>
        <v>0</v>
      </c>
      <c r="M51" s="24">
        <v>20.3</v>
      </c>
      <c r="N51" s="24">
        <v>17.7</v>
      </c>
    </row>
    <row r="52" spans="1:14" s="116" customFormat="1" ht="18" x14ac:dyDescent="0.35">
      <c r="A52" s="11"/>
      <c r="B52" s="510" t="s">
        <v>66</v>
      </c>
      <c r="C52" s="23" t="s">
        <v>1</v>
      </c>
      <c r="D52" s="10" t="s">
        <v>37</v>
      </c>
      <c r="E52" s="10" t="s">
        <v>67</v>
      </c>
      <c r="F52" s="668"/>
      <c r="G52" s="669"/>
      <c r="H52" s="669"/>
      <c r="I52" s="670"/>
      <c r="J52" s="10"/>
      <c r="K52" s="24">
        <f t="shared" ref="K52:N55" si="4">K53</f>
        <v>29961.8</v>
      </c>
      <c r="L52" s="24">
        <f t="shared" si="4"/>
        <v>0</v>
      </c>
      <c r="M52" s="24">
        <f t="shared" si="4"/>
        <v>29961.8</v>
      </c>
      <c r="N52" s="24">
        <f t="shared" si="4"/>
        <v>35000</v>
      </c>
    </row>
    <row r="53" spans="1:14" s="116" customFormat="1" ht="36" x14ac:dyDescent="0.35">
      <c r="A53" s="11"/>
      <c r="B53" s="510" t="s">
        <v>445</v>
      </c>
      <c r="C53" s="23" t="s">
        <v>1</v>
      </c>
      <c r="D53" s="10" t="s">
        <v>37</v>
      </c>
      <c r="E53" s="10" t="s">
        <v>67</v>
      </c>
      <c r="F53" s="668" t="s">
        <v>68</v>
      </c>
      <c r="G53" s="669" t="s">
        <v>42</v>
      </c>
      <c r="H53" s="669" t="s">
        <v>43</v>
      </c>
      <c r="I53" s="670" t="s">
        <v>44</v>
      </c>
      <c r="J53" s="10"/>
      <c r="K53" s="24">
        <f t="shared" si="4"/>
        <v>29961.8</v>
      </c>
      <c r="L53" s="24">
        <f t="shared" si="4"/>
        <v>0</v>
      </c>
      <c r="M53" s="24">
        <f t="shared" si="4"/>
        <v>29961.8</v>
      </c>
      <c r="N53" s="24">
        <f t="shared" si="4"/>
        <v>35000</v>
      </c>
    </row>
    <row r="54" spans="1:14" s="116" customFormat="1" ht="18" x14ac:dyDescent="0.35">
      <c r="A54" s="11"/>
      <c r="B54" s="543" t="s">
        <v>446</v>
      </c>
      <c r="C54" s="23" t="s">
        <v>1</v>
      </c>
      <c r="D54" s="10" t="s">
        <v>37</v>
      </c>
      <c r="E54" s="10" t="s">
        <v>67</v>
      </c>
      <c r="F54" s="668" t="s">
        <v>68</v>
      </c>
      <c r="G54" s="669" t="s">
        <v>45</v>
      </c>
      <c r="H54" s="669" t="s">
        <v>43</v>
      </c>
      <c r="I54" s="670" t="s">
        <v>44</v>
      </c>
      <c r="J54" s="10"/>
      <c r="K54" s="24">
        <f>K55</f>
        <v>29961.8</v>
      </c>
      <c r="L54" s="24">
        <f>L55</f>
        <v>0</v>
      </c>
      <c r="M54" s="24">
        <f>M55</f>
        <v>29961.8</v>
      </c>
      <c r="N54" s="24">
        <f>N55</f>
        <v>35000</v>
      </c>
    </row>
    <row r="55" spans="1:14" s="116" customFormat="1" ht="36" x14ac:dyDescent="0.35">
      <c r="A55" s="11"/>
      <c r="B55" s="510" t="s">
        <v>444</v>
      </c>
      <c r="C55" s="23" t="s">
        <v>1</v>
      </c>
      <c r="D55" s="10" t="s">
        <v>37</v>
      </c>
      <c r="E55" s="10" t="s">
        <v>67</v>
      </c>
      <c r="F55" s="668" t="s">
        <v>68</v>
      </c>
      <c r="G55" s="669" t="s">
        <v>45</v>
      </c>
      <c r="H55" s="669" t="s">
        <v>43</v>
      </c>
      <c r="I55" s="670" t="s">
        <v>69</v>
      </c>
      <c r="J55" s="10"/>
      <c r="K55" s="24">
        <f t="shared" si="4"/>
        <v>29961.8</v>
      </c>
      <c r="L55" s="24">
        <f t="shared" si="4"/>
        <v>0</v>
      </c>
      <c r="M55" s="24">
        <f t="shared" si="4"/>
        <v>29961.8</v>
      </c>
      <c r="N55" s="24">
        <f t="shared" si="4"/>
        <v>35000</v>
      </c>
    </row>
    <row r="56" spans="1:14" s="116" customFormat="1" ht="18" x14ac:dyDescent="0.35">
      <c r="A56" s="11"/>
      <c r="B56" s="510" t="s">
        <v>57</v>
      </c>
      <c r="C56" s="23" t="s">
        <v>1</v>
      </c>
      <c r="D56" s="10" t="s">
        <v>37</v>
      </c>
      <c r="E56" s="10" t="s">
        <v>67</v>
      </c>
      <c r="F56" s="668" t="s">
        <v>68</v>
      </c>
      <c r="G56" s="669" t="s">
        <v>45</v>
      </c>
      <c r="H56" s="669" t="s">
        <v>43</v>
      </c>
      <c r="I56" s="670" t="s">
        <v>69</v>
      </c>
      <c r="J56" s="10" t="s">
        <v>58</v>
      </c>
      <c r="K56" s="24">
        <f>30000-17467.3+17429.1</f>
        <v>29961.8</v>
      </c>
      <c r="L56" s="24">
        <f>M56-K56</f>
        <v>0</v>
      </c>
      <c r="M56" s="24">
        <f>30000-17467.3+17429.1</f>
        <v>29961.8</v>
      </c>
      <c r="N56" s="24">
        <v>35000</v>
      </c>
    </row>
    <row r="57" spans="1:14" s="116" customFormat="1" ht="18" x14ac:dyDescent="0.35">
      <c r="A57" s="11"/>
      <c r="B57" s="510" t="s">
        <v>70</v>
      </c>
      <c r="C57" s="23" t="s">
        <v>1</v>
      </c>
      <c r="D57" s="10" t="s">
        <v>37</v>
      </c>
      <c r="E57" s="10" t="s">
        <v>71</v>
      </c>
      <c r="F57" s="668"/>
      <c r="G57" s="669"/>
      <c r="H57" s="669"/>
      <c r="I57" s="670"/>
      <c r="J57" s="10"/>
      <c r="K57" s="24">
        <f>K63+K58</f>
        <v>36536.1</v>
      </c>
      <c r="L57" s="24">
        <f>L63+L58</f>
        <v>0</v>
      </c>
      <c r="M57" s="24">
        <f>M63+M58</f>
        <v>36536.1</v>
      </c>
      <c r="N57" s="24">
        <f>N63+N58</f>
        <v>36536.1</v>
      </c>
    </row>
    <row r="58" spans="1:14" s="116" customFormat="1" ht="72" x14ac:dyDescent="0.35">
      <c r="A58" s="11"/>
      <c r="B58" s="510" t="s">
        <v>72</v>
      </c>
      <c r="C58" s="23" t="s">
        <v>1</v>
      </c>
      <c r="D58" s="10" t="s">
        <v>37</v>
      </c>
      <c r="E58" s="10" t="s">
        <v>71</v>
      </c>
      <c r="F58" s="668" t="s">
        <v>73</v>
      </c>
      <c r="G58" s="669" t="s">
        <v>42</v>
      </c>
      <c r="H58" s="669" t="s">
        <v>43</v>
      </c>
      <c r="I58" s="670" t="s">
        <v>44</v>
      </c>
      <c r="J58" s="10"/>
      <c r="K58" s="24">
        <f t="shared" ref="K58:N61" si="5">K59</f>
        <v>406.2</v>
      </c>
      <c r="L58" s="24">
        <f t="shared" si="5"/>
        <v>0</v>
      </c>
      <c r="M58" s="24">
        <f t="shared" si="5"/>
        <v>406.2</v>
      </c>
      <c r="N58" s="24">
        <f t="shared" si="5"/>
        <v>406.2</v>
      </c>
    </row>
    <row r="59" spans="1:14" s="116" customFormat="1" ht="36" x14ac:dyDescent="0.35">
      <c r="A59" s="11"/>
      <c r="B59" s="510" t="s">
        <v>339</v>
      </c>
      <c r="C59" s="23" t="s">
        <v>1</v>
      </c>
      <c r="D59" s="10" t="s">
        <v>37</v>
      </c>
      <c r="E59" s="10" t="s">
        <v>71</v>
      </c>
      <c r="F59" s="668" t="s">
        <v>73</v>
      </c>
      <c r="G59" s="669" t="s">
        <v>45</v>
      </c>
      <c r="H59" s="669" t="s">
        <v>43</v>
      </c>
      <c r="I59" s="670" t="s">
        <v>44</v>
      </c>
      <c r="J59" s="10"/>
      <c r="K59" s="24">
        <f t="shared" si="5"/>
        <v>406.2</v>
      </c>
      <c r="L59" s="24">
        <f t="shared" si="5"/>
        <v>0</v>
      </c>
      <c r="M59" s="24">
        <f t="shared" si="5"/>
        <v>406.2</v>
      </c>
      <c r="N59" s="24">
        <f t="shared" si="5"/>
        <v>406.2</v>
      </c>
    </row>
    <row r="60" spans="1:14" s="116" customFormat="1" ht="54" x14ac:dyDescent="0.35">
      <c r="A60" s="11"/>
      <c r="B60" s="543" t="s">
        <v>266</v>
      </c>
      <c r="C60" s="23" t="s">
        <v>1</v>
      </c>
      <c r="D60" s="10" t="s">
        <v>37</v>
      </c>
      <c r="E60" s="10" t="s">
        <v>71</v>
      </c>
      <c r="F60" s="668" t="s">
        <v>73</v>
      </c>
      <c r="G60" s="669" t="s">
        <v>45</v>
      </c>
      <c r="H60" s="669" t="s">
        <v>37</v>
      </c>
      <c r="I60" s="670" t="s">
        <v>44</v>
      </c>
      <c r="J60" s="10"/>
      <c r="K60" s="24">
        <f t="shared" si="5"/>
        <v>406.2</v>
      </c>
      <c r="L60" s="24">
        <f t="shared" si="5"/>
        <v>0</v>
      </c>
      <c r="M60" s="24">
        <f t="shared" si="5"/>
        <v>406.2</v>
      </c>
      <c r="N60" s="24">
        <f t="shared" si="5"/>
        <v>406.2</v>
      </c>
    </row>
    <row r="61" spans="1:14" s="116" customFormat="1" ht="54" x14ac:dyDescent="0.35">
      <c r="A61" s="11"/>
      <c r="B61" s="543" t="s">
        <v>74</v>
      </c>
      <c r="C61" s="23" t="s">
        <v>1</v>
      </c>
      <c r="D61" s="10" t="s">
        <v>37</v>
      </c>
      <c r="E61" s="10" t="s">
        <v>71</v>
      </c>
      <c r="F61" s="668" t="s">
        <v>73</v>
      </c>
      <c r="G61" s="669" t="s">
        <v>45</v>
      </c>
      <c r="H61" s="669" t="s">
        <v>37</v>
      </c>
      <c r="I61" s="670" t="s">
        <v>75</v>
      </c>
      <c r="J61" s="10"/>
      <c r="K61" s="24">
        <f t="shared" si="5"/>
        <v>406.2</v>
      </c>
      <c r="L61" s="24">
        <f t="shared" si="5"/>
        <v>0</v>
      </c>
      <c r="M61" s="24">
        <f t="shared" si="5"/>
        <v>406.2</v>
      </c>
      <c r="N61" s="24">
        <f t="shared" si="5"/>
        <v>406.2</v>
      </c>
    </row>
    <row r="62" spans="1:14" s="116" customFormat="1" ht="54" x14ac:dyDescent="0.35">
      <c r="A62" s="11"/>
      <c r="B62" s="517" t="s">
        <v>76</v>
      </c>
      <c r="C62" s="23" t="s">
        <v>1</v>
      </c>
      <c r="D62" s="10" t="s">
        <v>37</v>
      </c>
      <c r="E62" s="10" t="s">
        <v>71</v>
      </c>
      <c r="F62" s="668" t="s">
        <v>73</v>
      </c>
      <c r="G62" s="669" t="s">
        <v>45</v>
      </c>
      <c r="H62" s="669" t="s">
        <v>37</v>
      </c>
      <c r="I62" s="670" t="s">
        <v>75</v>
      </c>
      <c r="J62" s="10" t="s">
        <v>77</v>
      </c>
      <c r="K62" s="24">
        <v>406.2</v>
      </c>
      <c r="L62" s="24">
        <f>M62-K62</f>
        <v>0</v>
      </c>
      <c r="M62" s="24">
        <v>406.2</v>
      </c>
      <c r="N62" s="24">
        <v>406.2</v>
      </c>
    </row>
    <row r="63" spans="1:14" s="116" customFormat="1" ht="54" x14ac:dyDescent="0.35">
      <c r="A63" s="11"/>
      <c r="B63" s="510" t="s">
        <v>40</v>
      </c>
      <c r="C63" s="23" t="s">
        <v>1</v>
      </c>
      <c r="D63" s="10" t="s">
        <v>37</v>
      </c>
      <c r="E63" s="10" t="s">
        <v>71</v>
      </c>
      <c r="F63" s="668" t="s">
        <v>41</v>
      </c>
      <c r="G63" s="669" t="s">
        <v>42</v>
      </c>
      <c r="H63" s="669" t="s">
        <v>43</v>
      </c>
      <c r="I63" s="670" t="s">
        <v>44</v>
      </c>
      <c r="J63" s="10"/>
      <c r="K63" s="24">
        <f>K64</f>
        <v>36129.9</v>
      </c>
      <c r="L63" s="24">
        <f>L64</f>
        <v>0</v>
      </c>
      <c r="M63" s="24">
        <f>M64</f>
        <v>36129.9</v>
      </c>
      <c r="N63" s="24">
        <f>N64</f>
        <v>36129.9</v>
      </c>
    </row>
    <row r="64" spans="1:14" s="116" customFormat="1" ht="36" x14ac:dyDescent="0.35">
      <c r="A64" s="11"/>
      <c r="B64" s="510" t="s">
        <v>339</v>
      </c>
      <c r="C64" s="23" t="s">
        <v>1</v>
      </c>
      <c r="D64" s="10" t="s">
        <v>37</v>
      </c>
      <c r="E64" s="10" t="s">
        <v>71</v>
      </c>
      <c r="F64" s="668" t="s">
        <v>41</v>
      </c>
      <c r="G64" s="669" t="s">
        <v>45</v>
      </c>
      <c r="H64" s="669" t="s">
        <v>43</v>
      </c>
      <c r="I64" s="670" t="s">
        <v>44</v>
      </c>
      <c r="J64" s="10"/>
      <c r="K64" s="24">
        <f>K69+K65+K74</f>
        <v>36129.9</v>
      </c>
      <c r="L64" s="24">
        <f>L69+L65+L74</f>
        <v>0</v>
      </c>
      <c r="M64" s="24">
        <f>M69+M65+M74</f>
        <v>36129.9</v>
      </c>
      <c r="N64" s="24">
        <f>N69+N65+N74</f>
        <v>36129.9</v>
      </c>
    </row>
    <row r="65" spans="1:14" s="116" customFormat="1" ht="18" x14ac:dyDescent="0.35">
      <c r="A65" s="11"/>
      <c r="B65" s="517" t="s">
        <v>62</v>
      </c>
      <c r="C65" s="23" t="s">
        <v>1</v>
      </c>
      <c r="D65" s="10" t="s">
        <v>37</v>
      </c>
      <c r="E65" s="10" t="s">
        <v>71</v>
      </c>
      <c r="F65" s="668" t="s">
        <v>41</v>
      </c>
      <c r="G65" s="669" t="s">
        <v>45</v>
      </c>
      <c r="H65" s="669" t="s">
        <v>63</v>
      </c>
      <c r="I65" s="670" t="s">
        <v>44</v>
      </c>
      <c r="J65" s="10"/>
      <c r="K65" s="24">
        <f>K66</f>
        <v>2413.9</v>
      </c>
      <c r="L65" s="24">
        <f>L66</f>
        <v>0</v>
      </c>
      <c r="M65" s="24">
        <f>M66</f>
        <v>2413.9</v>
      </c>
      <c r="N65" s="24">
        <f>N66</f>
        <v>2413.9</v>
      </c>
    </row>
    <row r="66" spans="1:14" s="116" customFormat="1" ht="54" x14ac:dyDescent="0.35">
      <c r="A66" s="11"/>
      <c r="B66" s="517" t="s">
        <v>379</v>
      </c>
      <c r="C66" s="23" t="s">
        <v>1</v>
      </c>
      <c r="D66" s="10" t="s">
        <v>37</v>
      </c>
      <c r="E66" s="10" t="s">
        <v>71</v>
      </c>
      <c r="F66" s="668" t="s">
        <v>41</v>
      </c>
      <c r="G66" s="669" t="s">
        <v>45</v>
      </c>
      <c r="H66" s="669" t="s">
        <v>63</v>
      </c>
      <c r="I66" s="670" t="s">
        <v>378</v>
      </c>
      <c r="J66" s="10"/>
      <c r="K66" s="24">
        <f>K67+K68</f>
        <v>2413.9</v>
      </c>
      <c r="L66" s="24">
        <f>L67+L68</f>
        <v>0</v>
      </c>
      <c r="M66" s="24">
        <f>M67+M68</f>
        <v>2413.9</v>
      </c>
      <c r="N66" s="24">
        <f>N67+N68</f>
        <v>2413.9</v>
      </c>
    </row>
    <row r="67" spans="1:14" s="116" customFormat="1" ht="54" x14ac:dyDescent="0.35">
      <c r="A67" s="11"/>
      <c r="B67" s="510" t="s">
        <v>55</v>
      </c>
      <c r="C67" s="23" t="s">
        <v>1</v>
      </c>
      <c r="D67" s="10" t="s">
        <v>37</v>
      </c>
      <c r="E67" s="10" t="s">
        <v>71</v>
      </c>
      <c r="F67" s="668" t="s">
        <v>41</v>
      </c>
      <c r="G67" s="669" t="s">
        <v>45</v>
      </c>
      <c r="H67" s="669" t="s">
        <v>63</v>
      </c>
      <c r="I67" s="670" t="s">
        <v>378</v>
      </c>
      <c r="J67" s="10" t="s">
        <v>56</v>
      </c>
      <c r="K67" s="24">
        <v>2187.6</v>
      </c>
      <c r="L67" s="24">
        <f>M67-K67</f>
        <v>0</v>
      </c>
      <c r="M67" s="24">
        <v>2187.6</v>
      </c>
      <c r="N67" s="24">
        <v>2187.6</v>
      </c>
    </row>
    <row r="68" spans="1:14" s="116" customFormat="1" ht="18" x14ac:dyDescent="0.35">
      <c r="A68" s="11"/>
      <c r="B68" s="510" t="s">
        <v>57</v>
      </c>
      <c r="C68" s="23" t="s">
        <v>1</v>
      </c>
      <c r="D68" s="10" t="s">
        <v>37</v>
      </c>
      <c r="E68" s="10" t="s">
        <v>71</v>
      </c>
      <c r="F68" s="668" t="s">
        <v>41</v>
      </c>
      <c r="G68" s="669" t="s">
        <v>45</v>
      </c>
      <c r="H68" s="669" t="s">
        <v>63</v>
      </c>
      <c r="I68" s="670" t="s">
        <v>378</v>
      </c>
      <c r="J68" s="10" t="s">
        <v>58</v>
      </c>
      <c r="K68" s="24">
        <v>226.3</v>
      </c>
      <c r="L68" s="24">
        <f>M68-K68</f>
        <v>0</v>
      </c>
      <c r="M68" s="24">
        <v>226.3</v>
      </c>
      <c r="N68" s="24">
        <v>226.3</v>
      </c>
    </row>
    <row r="69" spans="1:14" s="116" customFormat="1" ht="18" x14ac:dyDescent="0.35">
      <c r="A69" s="11"/>
      <c r="B69" s="510" t="s">
        <v>64</v>
      </c>
      <c r="C69" s="23" t="s">
        <v>1</v>
      </c>
      <c r="D69" s="10" t="s">
        <v>37</v>
      </c>
      <c r="E69" s="10" t="s">
        <v>71</v>
      </c>
      <c r="F69" s="668" t="s">
        <v>41</v>
      </c>
      <c r="G69" s="669" t="s">
        <v>45</v>
      </c>
      <c r="H69" s="669" t="s">
        <v>52</v>
      </c>
      <c r="I69" s="670" t="s">
        <v>44</v>
      </c>
      <c r="J69" s="10"/>
      <c r="K69" s="24">
        <f>K70+K72</f>
        <v>3227.8</v>
      </c>
      <c r="L69" s="24">
        <f>L70+L72</f>
        <v>0</v>
      </c>
      <c r="M69" s="24">
        <f>M70+M72</f>
        <v>3227.8</v>
      </c>
      <c r="N69" s="24">
        <f>N70+N72</f>
        <v>3227.8</v>
      </c>
    </row>
    <row r="70" spans="1:14" s="116" customFormat="1" ht="54" x14ac:dyDescent="0.35">
      <c r="A70" s="11"/>
      <c r="B70" s="559" t="s">
        <v>352</v>
      </c>
      <c r="C70" s="23" t="s">
        <v>1</v>
      </c>
      <c r="D70" s="10" t="s">
        <v>37</v>
      </c>
      <c r="E70" s="10" t="s">
        <v>71</v>
      </c>
      <c r="F70" s="668" t="s">
        <v>41</v>
      </c>
      <c r="G70" s="669" t="s">
        <v>45</v>
      </c>
      <c r="H70" s="669" t="s">
        <v>52</v>
      </c>
      <c r="I70" s="670" t="s">
        <v>105</v>
      </c>
      <c r="J70" s="10"/>
      <c r="K70" s="24">
        <f>K71</f>
        <v>1138.8</v>
      </c>
      <c r="L70" s="24">
        <f>L71</f>
        <v>0</v>
      </c>
      <c r="M70" s="24">
        <f>M71</f>
        <v>1138.8</v>
      </c>
      <c r="N70" s="24">
        <f>N71</f>
        <v>1138.8</v>
      </c>
    </row>
    <row r="71" spans="1:14" s="116" customFormat="1" ht="54" x14ac:dyDescent="0.35">
      <c r="A71" s="11"/>
      <c r="B71" s="510" t="s">
        <v>55</v>
      </c>
      <c r="C71" s="23" t="s">
        <v>1</v>
      </c>
      <c r="D71" s="10" t="s">
        <v>37</v>
      </c>
      <c r="E71" s="10" t="s">
        <v>71</v>
      </c>
      <c r="F71" s="668" t="s">
        <v>41</v>
      </c>
      <c r="G71" s="669" t="s">
        <v>45</v>
      </c>
      <c r="H71" s="669" t="s">
        <v>52</v>
      </c>
      <c r="I71" s="670" t="s">
        <v>105</v>
      </c>
      <c r="J71" s="10" t="s">
        <v>56</v>
      </c>
      <c r="K71" s="24">
        <v>1138.8</v>
      </c>
      <c r="L71" s="24">
        <f>M71-K71</f>
        <v>0</v>
      </c>
      <c r="M71" s="24">
        <v>1138.8</v>
      </c>
      <c r="N71" s="24">
        <v>1138.8</v>
      </c>
    </row>
    <row r="72" spans="1:14" s="116" customFormat="1" ht="54" x14ac:dyDescent="0.35">
      <c r="A72" s="11"/>
      <c r="B72" s="510" t="s">
        <v>354</v>
      </c>
      <c r="C72" s="23" t="s">
        <v>1</v>
      </c>
      <c r="D72" s="10" t="s">
        <v>37</v>
      </c>
      <c r="E72" s="10" t="s">
        <v>71</v>
      </c>
      <c r="F72" s="668" t="s">
        <v>41</v>
      </c>
      <c r="G72" s="669" t="s">
        <v>45</v>
      </c>
      <c r="H72" s="669" t="s">
        <v>52</v>
      </c>
      <c r="I72" s="670" t="s">
        <v>353</v>
      </c>
      <c r="J72" s="10"/>
      <c r="K72" s="24">
        <f>K73</f>
        <v>2089</v>
      </c>
      <c r="L72" s="24">
        <f>L73</f>
        <v>0</v>
      </c>
      <c r="M72" s="24">
        <f>M73</f>
        <v>2089</v>
      </c>
      <c r="N72" s="24">
        <f>N73</f>
        <v>2089</v>
      </c>
    </row>
    <row r="73" spans="1:14" s="116" customFormat="1" ht="54" x14ac:dyDescent="0.35">
      <c r="A73" s="11"/>
      <c r="B73" s="510" t="s">
        <v>55</v>
      </c>
      <c r="C73" s="23" t="s">
        <v>1</v>
      </c>
      <c r="D73" s="10" t="s">
        <v>37</v>
      </c>
      <c r="E73" s="10" t="s">
        <v>71</v>
      </c>
      <c r="F73" s="668" t="s">
        <v>41</v>
      </c>
      <c r="G73" s="669" t="s">
        <v>45</v>
      </c>
      <c r="H73" s="669" t="s">
        <v>52</v>
      </c>
      <c r="I73" s="670" t="s">
        <v>353</v>
      </c>
      <c r="J73" s="10" t="s">
        <v>56</v>
      </c>
      <c r="K73" s="24">
        <v>2089</v>
      </c>
      <c r="L73" s="24">
        <f>M73-K73</f>
        <v>0</v>
      </c>
      <c r="M73" s="24">
        <v>2089</v>
      </c>
      <c r="N73" s="24">
        <v>2089</v>
      </c>
    </row>
    <row r="74" spans="1:14" s="116" customFormat="1" ht="90" x14ac:dyDescent="0.35">
      <c r="A74" s="11"/>
      <c r="B74" s="510" t="s">
        <v>601</v>
      </c>
      <c r="C74" s="23" t="s">
        <v>1</v>
      </c>
      <c r="D74" s="10" t="s">
        <v>37</v>
      </c>
      <c r="E74" s="10" t="s">
        <v>71</v>
      </c>
      <c r="F74" s="668" t="s">
        <v>41</v>
      </c>
      <c r="G74" s="669" t="s">
        <v>45</v>
      </c>
      <c r="H74" s="669" t="s">
        <v>590</v>
      </c>
      <c r="I74" s="670" t="s">
        <v>44</v>
      </c>
      <c r="J74" s="10"/>
      <c r="K74" s="24">
        <f>K75</f>
        <v>30488.2</v>
      </c>
      <c r="L74" s="24">
        <f>L75</f>
        <v>0</v>
      </c>
      <c r="M74" s="24">
        <f>M75</f>
        <v>30488.2</v>
      </c>
      <c r="N74" s="24">
        <f>N75</f>
        <v>30488.2</v>
      </c>
    </row>
    <row r="75" spans="1:14" s="116" customFormat="1" ht="36" x14ac:dyDescent="0.35">
      <c r="A75" s="11"/>
      <c r="B75" s="543" t="s">
        <v>464</v>
      </c>
      <c r="C75" s="23" t="s">
        <v>1</v>
      </c>
      <c r="D75" s="10" t="s">
        <v>37</v>
      </c>
      <c r="E75" s="10" t="s">
        <v>71</v>
      </c>
      <c r="F75" s="668" t="s">
        <v>41</v>
      </c>
      <c r="G75" s="669" t="s">
        <v>45</v>
      </c>
      <c r="H75" s="669" t="s">
        <v>590</v>
      </c>
      <c r="I75" s="670" t="s">
        <v>91</v>
      </c>
      <c r="J75" s="10"/>
      <c r="K75" s="24">
        <f>K76+K77</f>
        <v>30488.2</v>
      </c>
      <c r="L75" s="24">
        <f>L76+L77</f>
        <v>0</v>
      </c>
      <c r="M75" s="24">
        <f>M76+M77</f>
        <v>30488.2</v>
      </c>
      <c r="N75" s="24">
        <f>N76+N77</f>
        <v>30488.2</v>
      </c>
    </row>
    <row r="76" spans="1:14" s="116" customFormat="1" ht="108" x14ac:dyDescent="0.35">
      <c r="A76" s="11"/>
      <c r="B76" s="510" t="s">
        <v>49</v>
      </c>
      <c r="C76" s="23" t="s">
        <v>1</v>
      </c>
      <c r="D76" s="10" t="s">
        <v>37</v>
      </c>
      <c r="E76" s="10" t="s">
        <v>71</v>
      </c>
      <c r="F76" s="668" t="s">
        <v>41</v>
      </c>
      <c r="G76" s="669" t="s">
        <v>45</v>
      </c>
      <c r="H76" s="669" t="s">
        <v>590</v>
      </c>
      <c r="I76" s="670" t="s">
        <v>91</v>
      </c>
      <c r="J76" s="10" t="s">
        <v>50</v>
      </c>
      <c r="K76" s="24">
        <v>23999.5</v>
      </c>
      <c r="L76" s="24">
        <f>M76-K76</f>
        <v>0</v>
      </c>
      <c r="M76" s="24">
        <v>23999.5</v>
      </c>
      <c r="N76" s="24">
        <v>23999.5</v>
      </c>
    </row>
    <row r="77" spans="1:14" s="116" customFormat="1" ht="54" x14ac:dyDescent="0.35">
      <c r="A77" s="11"/>
      <c r="B77" s="510" t="s">
        <v>55</v>
      </c>
      <c r="C77" s="23" t="s">
        <v>1</v>
      </c>
      <c r="D77" s="10" t="s">
        <v>37</v>
      </c>
      <c r="E77" s="10" t="s">
        <v>71</v>
      </c>
      <c r="F77" s="668" t="s">
        <v>41</v>
      </c>
      <c r="G77" s="669" t="s">
        <v>45</v>
      </c>
      <c r="H77" s="669" t="s">
        <v>590</v>
      </c>
      <c r="I77" s="670" t="s">
        <v>91</v>
      </c>
      <c r="J77" s="10" t="s">
        <v>56</v>
      </c>
      <c r="K77" s="24">
        <f>6314.2+174.5</f>
        <v>6488.7</v>
      </c>
      <c r="L77" s="24">
        <f>M77-K77</f>
        <v>0</v>
      </c>
      <c r="M77" s="24">
        <f>6314.2+174.5</f>
        <v>6488.7</v>
      </c>
      <c r="N77" s="24">
        <v>6488.7</v>
      </c>
    </row>
    <row r="78" spans="1:14" s="116" customFormat="1" ht="36" x14ac:dyDescent="0.35">
      <c r="A78" s="11"/>
      <c r="B78" s="510" t="s">
        <v>78</v>
      </c>
      <c r="C78" s="23" t="s">
        <v>1</v>
      </c>
      <c r="D78" s="10" t="s">
        <v>63</v>
      </c>
      <c r="E78" s="10"/>
      <c r="F78" s="668"/>
      <c r="G78" s="669"/>
      <c r="H78" s="669"/>
      <c r="I78" s="670"/>
      <c r="J78" s="10"/>
      <c r="K78" s="24">
        <f>K79+K87</f>
        <v>12719.499999999996</v>
      </c>
      <c r="L78" s="24">
        <f>L79+L87</f>
        <v>0</v>
      </c>
      <c r="M78" s="24">
        <f>M79+M87</f>
        <v>12719.499999999996</v>
      </c>
      <c r="N78" s="24">
        <f>N79+N87</f>
        <v>12720.499999999996</v>
      </c>
    </row>
    <row r="79" spans="1:14" s="116" customFormat="1" ht="72" x14ac:dyDescent="0.35">
      <c r="A79" s="11"/>
      <c r="B79" s="587" t="s">
        <v>462</v>
      </c>
      <c r="C79" s="23" t="s">
        <v>1</v>
      </c>
      <c r="D79" s="10" t="s">
        <v>63</v>
      </c>
      <c r="E79" s="10" t="s">
        <v>104</v>
      </c>
      <c r="F79" s="668"/>
      <c r="G79" s="669"/>
      <c r="H79" s="669"/>
      <c r="I79" s="670"/>
      <c r="J79" s="10"/>
      <c r="K79" s="24">
        <f t="shared" ref="K79:N81" si="6">K80</f>
        <v>362.29999999999995</v>
      </c>
      <c r="L79" s="24">
        <f t="shared" si="6"/>
        <v>0</v>
      </c>
      <c r="M79" s="24">
        <f t="shared" si="6"/>
        <v>362.29999999999995</v>
      </c>
      <c r="N79" s="24">
        <f t="shared" si="6"/>
        <v>362.29999999999995</v>
      </c>
    </row>
    <row r="80" spans="1:14" s="116" customFormat="1" ht="54" x14ac:dyDescent="0.35">
      <c r="A80" s="11"/>
      <c r="B80" s="510" t="s">
        <v>80</v>
      </c>
      <c r="C80" s="23" t="s">
        <v>1</v>
      </c>
      <c r="D80" s="10" t="s">
        <v>63</v>
      </c>
      <c r="E80" s="10" t="s">
        <v>104</v>
      </c>
      <c r="F80" s="668" t="s">
        <v>81</v>
      </c>
      <c r="G80" s="669" t="s">
        <v>42</v>
      </c>
      <c r="H80" s="669" t="s">
        <v>43</v>
      </c>
      <c r="I80" s="670" t="s">
        <v>44</v>
      </c>
      <c r="J80" s="10"/>
      <c r="K80" s="24">
        <f t="shared" si="6"/>
        <v>362.29999999999995</v>
      </c>
      <c r="L80" s="24">
        <f t="shared" si="6"/>
        <v>0</v>
      </c>
      <c r="M80" s="24">
        <f t="shared" si="6"/>
        <v>362.29999999999995</v>
      </c>
      <c r="N80" s="24">
        <f t="shared" si="6"/>
        <v>362.29999999999995</v>
      </c>
    </row>
    <row r="81" spans="1:14" s="116" customFormat="1" ht="54" x14ac:dyDescent="0.35">
      <c r="A81" s="11"/>
      <c r="B81" s="560" t="s">
        <v>82</v>
      </c>
      <c r="C81" s="23" t="s">
        <v>1</v>
      </c>
      <c r="D81" s="10" t="s">
        <v>63</v>
      </c>
      <c r="E81" s="10" t="s">
        <v>104</v>
      </c>
      <c r="F81" s="668" t="s">
        <v>81</v>
      </c>
      <c r="G81" s="669" t="s">
        <v>45</v>
      </c>
      <c r="H81" s="669" t="s">
        <v>43</v>
      </c>
      <c r="I81" s="670" t="s">
        <v>44</v>
      </c>
      <c r="J81" s="10"/>
      <c r="K81" s="24">
        <f t="shared" si="6"/>
        <v>362.29999999999995</v>
      </c>
      <c r="L81" s="24">
        <f t="shared" si="6"/>
        <v>0</v>
      </c>
      <c r="M81" s="24">
        <f t="shared" si="6"/>
        <v>362.29999999999995</v>
      </c>
      <c r="N81" s="24">
        <f t="shared" si="6"/>
        <v>362.29999999999995</v>
      </c>
    </row>
    <row r="82" spans="1:14" s="116" customFormat="1" ht="72" x14ac:dyDescent="0.35">
      <c r="A82" s="11"/>
      <c r="B82" s="510" t="s">
        <v>83</v>
      </c>
      <c r="C82" s="23" t="s">
        <v>1</v>
      </c>
      <c r="D82" s="10" t="s">
        <v>63</v>
      </c>
      <c r="E82" s="10" t="s">
        <v>104</v>
      </c>
      <c r="F82" s="668" t="s">
        <v>81</v>
      </c>
      <c r="G82" s="669" t="s">
        <v>45</v>
      </c>
      <c r="H82" s="669" t="s">
        <v>37</v>
      </c>
      <c r="I82" s="670" t="s">
        <v>44</v>
      </c>
      <c r="J82" s="10"/>
      <c r="K82" s="24">
        <f>K83+K85</f>
        <v>362.29999999999995</v>
      </c>
      <c r="L82" s="24">
        <f>L83+L85</f>
        <v>0</v>
      </c>
      <c r="M82" s="24">
        <f>M83+M85</f>
        <v>362.29999999999995</v>
      </c>
      <c r="N82" s="24">
        <f>N83+N85</f>
        <v>362.29999999999995</v>
      </c>
    </row>
    <row r="83" spans="1:14" s="116" customFormat="1" ht="36" x14ac:dyDescent="0.35">
      <c r="A83" s="11"/>
      <c r="B83" s="560" t="s">
        <v>450</v>
      </c>
      <c r="C83" s="23" t="s">
        <v>1</v>
      </c>
      <c r="D83" s="10" t="s">
        <v>63</v>
      </c>
      <c r="E83" s="10" t="s">
        <v>104</v>
      </c>
      <c r="F83" s="668" t="s">
        <v>81</v>
      </c>
      <c r="G83" s="669" t="s">
        <v>45</v>
      </c>
      <c r="H83" s="669" t="s">
        <v>37</v>
      </c>
      <c r="I83" s="670" t="s">
        <v>84</v>
      </c>
      <c r="J83" s="10"/>
      <c r="K83" s="24">
        <f>K84</f>
        <v>298.39999999999998</v>
      </c>
      <c r="L83" s="24">
        <f>L84</f>
        <v>0</v>
      </c>
      <c r="M83" s="24">
        <f>M84</f>
        <v>298.39999999999998</v>
      </c>
      <c r="N83" s="24">
        <f>N84</f>
        <v>298.39999999999998</v>
      </c>
    </row>
    <row r="84" spans="1:14" s="116" customFormat="1" ht="54" x14ac:dyDescent="0.35">
      <c r="A84" s="11"/>
      <c r="B84" s="510" t="s">
        <v>55</v>
      </c>
      <c r="C84" s="23" t="s">
        <v>1</v>
      </c>
      <c r="D84" s="10" t="s">
        <v>63</v>
      </c>
      <c r="E84" s="10" t="s">
        <v>104</v>
      </c>
      <c r="F84" s="668" t="s">
        <v>81</v>
      </c>
      <c r="G84" s="669" t="s">
        <v>45</v>
      </c>
      <c r="H84" s="669" t="s">
        <v>37</v>
      </c>
      <c r="I84" s="670" t="s">
        <v>84</v>
      </c>
      <c r="J84" s="10" t="s">
        <v>56</v>
      </c>
      <c r="K84" s="24">
        <v>298.39999999999998</v>
      </c>
      <c r="L84" s="24">
        <f>M84-K84</f>
        <v>0</v>
      </c>
      <c r="M84" s="24">
        <v>298.39999999999998</v>
      </c>
      <c r="N84" s="24">
        <v>298.39999999999998</v>
      </c>
    </row>
    <row r="85" spans="1:14" s="116" customFormat="1" ht="54" x14ac:dyDescent="0.35">
      <c r="A85" s="11"/>
      <c r="B85" s="510" t="s">
        <v>85</v>
      </c>
      <c r="C85" s="23" t="s">
        <v>1</v>
      </c>
      <c r="D85" s="10" t="s">
        <v>63</v>
      </c>
      <c r="E85" s="10" t="s">
        <v>104</v>
      </c>
      <c r="F85" s="668" t="s">
        <v>81</v>
      </c>
      <c r="G85" s="669" t="s">
        <v>45</v>
      </c>
      <c r="H85" s="669" t="s">
        <v>37</v>
      </c>
      <c r="I85" s="670" t="s">
        <v>86</v>
      </c>
      <c r="J85" s="10"/>
      <c r="K85" s="24">
        <f>K86</f>
        <v>63.9</v>
      </c>
      <c r="L85" s="24">
        <f>L86</f>
        <v>0</v>
      </c>
      <c r="M85" s="24">
        <f>M86</f>
        <v>63.9</v>
      </c>
      <c r="N85" s="24">
        <f>N86</f>
        <v>63.9</v>
      </c>
    </row>
    <row r="86" spans="1:14" s="116" customFormat="1" ht="54" x14ac:dyDescent="0.35">
      <c r="A86" s="11"/>
      <c r="B86" s="510" t="s">
        <v>55</v>
      </c>
      <c r="C86" s="23" t="s">
        <v>1</v>
      </c>
      <c r="D86" s="10" t="s">
        <v>63</v>
      </c>
      <c r="E86" s="10" t="s">
        <v>104</v>
      </c>
      <c r="F86" s="668" t="s">
        <v>81</v>
      </c>
      <c r="G86" s="669" t="s">
        <v>45</v>
      </c>
      <c r="H86" s="669" t="s">
        <v>37</v>
      </c>
      <c r="I86" s="670" t="s">
        <v>86</v>
      </c>
      <c r="J86" s="10" t="s">
        <v>56</v>
      </c>
      <c r="K86" s="24">
        <v>63.9</v>
      </c>
      <c r="L86" s="24">
        <f>M86-K86</f>
        <v>0</v>
      </c>
      <c r="M86" s="24">
        <v>63.9</v>
      </c>
      <c r="N86" s="24">
        <v>63.9</v>
      </c>
    </row>
    <row r="87" spans="1:14" s="116" customFormat="1" ht="54" x14ac:dyDescent="0.35">
      <c r="A87" s="11"/>
      <c r="B87" s="559" t="s">
        <v>87</v>
      </c>
      <c r="C87" s="23" t="s">
        <v>1</v>
      </c>
      <c r="D87" s="10" t="s">
        <v>63</v>
      </c>
      <c r="E87" s="10" t="s">
        <v>88</v>
      </c>
      <c r="F87" s="668"/>
      <c r="G87" s="669"/>
      <c r="H87" s="669"/>
      <c r="I87" s="670"/>
      <c r="J87" s="10"/>
      <c r="K87" s="24">
        <f>K88</f>
        <v>12357.199999999997</v>
      </c>
      <c r="L87" s="24">
        <f>L88</f>
        <v>0</v>
      </c>
      <c r="M87" s="24">
        <f>M88</f>
        <v>12357.199999999997</v>
      </c>
      <c r="N87" s="24">
        <f>N88</f>
        <v>12358.199999999997</v>
      </c>
    </row>
    <row r="88" spans="1:14" s="116" customFormat="1" ht="54" x14ac:dyDescent="0.35">
      <c r="A88" s="11"/>
      <c r="B88" s="510" t="s">
        <v>80</v>
      </c>
      <c r="C88" s="23" t="s">
        <v>1</v>
      </c>
      <c r="D88" s="10" t="s">
        <v>63</v>
      </c>
      <c r="E88" s="10" t="s">
        <v>88</v>
      </c>
      <c r="F88" s="668" t="s">
        <v>81</v>
      </c>
      <c r="G88" s="669" t="s">
        <v>42</v>
      </c>
      <c r="H88" s="669" t="s">
        <v>43</v>
      </c>
      <c r="I88" s="670" t="s">
        <v>44</v>
      </c>
      <c r="J88" s="10"/>
      <c r="K88" s="24">
        <f>K96+K89+K102</f>
        <v>12357.199999999997</v>
      </c>
      <c r="L88" s="24">
        <f>L96+L89+L102</f>
        <v>0</v>
      </c>
      <c r="M88" s="24">
        <f>M96+M89+M102</f>
        <v>12357.199999999997</v>
      </c>
      <c r="N88" s="24">
        <f>N96+N89+N102</f>
        <v>12358.199999999997</v>
      </c>
    </row>
    <row r="89" spans="1:14" s="116" customFormat="1" ht="36" x14ac:dyDescent="0.35">
      <c r="A89" s="11"/>
      <c r="B89" s="559" t="s">
        <v>125</v>
      </c>
      <c r="C89" s="23" t="s">
        <v>1</v>
      </c>
      <c r="D89" s="10" t="s">
        <v>63</v>
      </c>
      <c r="E89" s="10" t="s">
        <v>88</v>
      </c>
      <c r="F89" s="668" t="s">
        <v>81</v>
      </c>
      <c r="G89" s="669" t="s">
        <v>89</v>
      </c>
      <c r="H89" s="669" t="s">
        <v>43</v>
      </c>
      <c r="I89" s="670" t="s">
        <v>44</v>
      </c>
      <c r="J89" s="10"/>
      <c r="K89" s="24">
        <f>K90+K93</f>
        <v>1480.3999999999999</v>
      </c>
      <c r="L89" s="24">
        <f>L90+L93</f>
        <v>0</v>
      </c>
      <c r="M89" s="24">
        <f>M90+M93</f>
        <v>1480.3999999999999</v>
      </c>
      <c r="N89" s="24">
        <f>N90+N93</f>
        <v>1480.3999999999999</v>
      </c>
    </row>
    <row r="90" spans="1:14" s="116" customFormat="1" ht="36" x14ac:dyDescent="0.35">
      <c r="A90" s="11"/>
      <c r="B90" s="559" t="s">
        <v>271</v>
      </c>
      <c r="C90" s="23" t="s">
        <v>1</v>
      </c>
      <c r="D90" s="10" t="s">
        <v>63</v>
      </c>
      <c r="E90" s="10" t="s">
        <v>88</v>
      </c>
      <c r="F90" s="668" t="s">
        <v>81</v>
      </c>
      <c r="G90" s="669" t="s">
        <v>89</v>
      </c>
      <c r="H90" s="669" t="s">
        <v>37</v>
      </c>
      <c r="I90" s="670" t="s">
        <v>44</v>
      </c>
      <c r="J90" s="10"/>
      <c r="K90" s="24">
        <f t="shared" ref="K90:N91" si="7">K91</f>
        <v>21.8</v>
      </c>
      <c r="L90" s="24">
        <f t="shared" si="7"/>
        <v>0</v>
      </c>
      <c r="M90" s="24">
        <f t="shared" si="7"/>
        <v>21.8</v>
      </c>
      <c r="N90" s="24">
        <f t="shared" si="7"/>
        <v>21.8</v>
      </c>
    </row>
    <row r="91" spans="1:14" s="116" customFormat="1" ht="36" x14ac:dyDescent="0.35">
      <c r="A91" s="11"/>
      <c r="B91" s="543" t="s">
        <v>127</v>
      </c>
      <c r="C91" s="23" t="s">
        <v>1</v>
      </c>
      <c r="D91" s="10" t="s">
        <v>63</v>
      </c>
      <c r="E91" s="10" t="s">
        <v>88</v>
      </c>
      <c r="F91" s="668" t="s">
        <v>81</v>
      </c>
      <c r="G91" s="669" t="s">
        <v>89</v>
      </c>
      <c r="H91" s="669" t="s">
        <v>37</v>
      </c>
      <c r="I91" s="670" t="s">
        <v>90</v>
      </c>
      <c r="J91" s="10"/>
      <c r="K91" s="24">
        <f t="shared" si="7"/>
        <v>21.8</v>
      </c>
      <c r="L91" s="24">
        <f t="shared" si="7"/>
        <v>0</v>
      </c>
      <c r="M91" s="24">
        <f t="shared" si="7"/>
        <v>21.8</v>
      </c>
      <c r="N91" s="24">
        <f t="shared" si="7"/>
        <v>21.8</v>
      </c>
    </row>
    <row r="92" spans="1:14" s="116" customFormat="1" ht="54" x14ac:dyDescent="0.35">
      <c r="A92" s="11"/>
      <c r="B92" s="510" t="s">
        <v>55</v>
      </c>
      <c r="C92" s="23" t="s">
        <v>1</v>
      </c>
      <c r="D92" s="10" t="s">
        <v>63</v>
      </c>
      <c r="E92" s="10" t="s">
        <v>88</v>
      </c>
      <c r="F92" s="668" t="s">
        <v>81</v>
      </c>
      <c r="G92" s="669" t="s">
        <v>89</v>
      </c>
      <c r="H92" s="669" t="s">
        <v>37</v>
      </c>
      <c r="I92" s="670" t="s">
        <v>90</v>
      </c>
      <c r="J92" s="10" t="s">
        <v>56</v>
      </c>
      <c r="K92" s="24">
        <v>21.8</v>
      </c>
      <c r="L92" s="24">
        <f>M92-K92</f>
        <v>0</v>
      </c>
      <c r="M92" s="24">
        <v>21.8</v>
      </c>
      <c r="N92" s="24">
        <v>21.8</v>
      </c>
    </row>
    <row r="93" spans="1:14" s="116" customFormat="1" ht="54" x14ac:dyDescent="0.35">
      <c r="A93" s="11"/>
      <c r="B93" s="543" t="s">
        <v>126</v>
      </c>
      <c r="C93" s="23" t="s">
        <v>1</v>
      </c>
      <c r="D93" s="10" t="s">
        <v>63</v>
      </c>
      <c r="E93" s="10" t="s">
        <v>88</v>
      </c>
      <c r="F93" s="668" t="s">
        <v>81</v>
      </c>
      <c r="G93" s="669" t="s">
        <v>89</v>
      </c>
      <c r="H93" s="669" t="s">
        <v>39</v>
      </c>
      <c r="I93" s="670" t="s">
        <v>44</v>
      </c>
      <c r="J93" s="10"/>
      <c r="K93" s="24">
        <f t="shared" ref="K93:N94" si="8">K94</f>
        <v>1458.6</v>
      </c>
      <c r="L93" s="24">
        <f t="shared" si="8"/>
        <v>0</v>
      </c>
      <c r="M93" s="24">
        <f t="shared" si="8"/>
        <v>1458.6</v>
      </c>
      <c r="N93" s="24">
        <f t="shared" si="8"/>
        <v>1458.6</v>
      </c>
    </row>
    <row r="94" spans="1:14" s="116" customFormat="1" ht="36" x14ac:dyDescent="0.35">
      <c r="A94" s="11"/>
      <c r="B94" s="543" t="s">
        <v>127</v>
      </c>
      <c r="C94" s="23" t="s">
        <v>1</v>
      </c>
      <c r="D94" s="10" t="s">
        <v>63</v>
      </c>
      <c r="E94" s="10" t="s">
        <v>88</v>
      </c>
      <c r="F94" s="668" t="s">
        <v>81</v>
      </c>
      <c r="G94" s="669" t="s">
        <v>89</v>
      </c>
      <c r="H94" s="669" t="s">
        <v>39</v>
      </c>
      <c r="I94" s="670" t="s">
        <v>90</v>
      </c>
      <c r="J94" s="10"/>
      <c r="K94" s="24">
        <f t="shared" si="8"/>
        <v>1458.6</v>
      </c>
      <c r="L94" s="24">
        <f t="shared" si="8"/>
        <v>0</v>
      </c>
      <c r="M94" s="24">
        <f t="shared" si="8"/>
        <v>1458.6</v>
      </c>
      <c r="N94" s="24">
        <f t="shared" si="8"/>
        <v>1458.6</v>
      </c>
    </row>
    <row r="95" spans="1:14" s="116" customFormat="1" ht="54" x14ac:dyDescent="0.35">
      <c r="A95" s="11"/>
      <c r="B95" s="510" t="s">
        <v>55</v>
      </c>
      <c r="C95" s="23" t="s">
        <v>1</v>
      </c>
      <c r="D95" s="10" t="s">
        <v>63</v>
      </c>
      <c r="E95" s="10" t="s">
        <v>88</v>
      </c>
      <c r="F95" s="668" t="s">
        <v>81</v>
      </c>
      <c r="G95" s="669" t="s">
        <v>89</v>
      </c>
      <c r="H95" s="669" t="s">
        <v>39</v>
      </c>
      <c r="I95" s="670" t="s">
        <v>90</v>
      </c>
      <c r="J95" s="10" t="s">
        <v>56</v>
      </c>
      <c r="K95" s="24">
        <v>1458.6</v>
      </c>
      <c r="L95" s="24">
        <f>M95-K95</f>
        <v>0</v>
      </c>
      <c r="M95" s="24">
        <v>1458.6</v>
      </c>
      <c r="N95" s="24">
        <v>1458.6</v>
      </c>
    </row>
    <row r="96" spans="1:14" s="116" customFormat="1" ht="72" x14ac:dyDescent="0.35">
      <c r="A96" s="11"/>
      <c r="B96" s="559" t="s">
        <v>368</v>
      </c>
      <c r="C96" s="23" t="s">
        <v>1</v>
      </c>
      <c r="D96" s="10" t="s">
        <v>63</v>
      </c>
      <c r="E96" s="10" t="s">
        <v>88</v>
      </c>
      <c r="F96" s="668" t="s">
        <v>81</v>
      </c>
      <c r="G96" s="669" t="s">
        <v>30</v>
      </c>
      <c r="H96" s="669" t="s">
        <v>43</v>
      </c>
      <c r="I96" s="670" t="s">
        <v>44</v>
      </c>
      <c r="J96" s="10"/>
      <c r="K96" s="24">
        <f t="shared" ref="K96:N97" si="9">K97</f>
        <v>10854.999999999998</v>
      </c>
      <c r="L96" s="24">
        <f t="shared" si="9"/>
        <v>0</v>
      </c>
      <c r="M96" s="24">
        <f t="shared" si="9"/>
        <v>10854.999999999998</v>
      </c>
      <c r="N96" s="24">
        <f t="shared" si="9"/>
        <v>10855.999999999998</v>
      </c>
    </row>
    <row r="97" spans="1:14" s="116" customFormat="1" ht="72" x14ac:dyDescent="0.35">
      <c r="A97" s="11"/>
      <c r="B97" s="543" t="s">
        <v>323</v>
      </c>
      <c r="C97" s="23" t="s">
        <v>1</v>
      </c>
      <c r="D97" s="10" t="s">
        <v>63</v>
      </c>
      <c r="E97" s="10" t="s">
        <v>88</v>
      </c>
      <c r="F97" s="668" t="s">
        <v>81</v>
      </c>
      <c r="G97" s="669" t="s">
        <v>30</v>
      </c>
      <c r="H97" s="669" t="s">
        <v>37</v>
      </c>
      <c r="I97" s="670" t="s">
        <v>44</v>
      </c>
      <c r="J97" s="10"/>
      <c r="K97" s="24">
        <f t="shared" si="9"/>
        <v>10854.999999999998</v>
      </c>
      <c r="L97" s="24">
        <f t="shared" si="9"/>
        <v>0</v>
      </c>
      <c r="M97" s="24">
        <f t="shared" si="9"/>
        <v>10854.999999999998</v>
      </c>
      <c r="N97" s="24">
        <f t="shared" si="9"/>
        <v>10855.999999999998</v>
      </c>
    </row>
    <row r="98" spans="1:14" s="116" customFormat="1" ht="36" x14ac:dyDescent="0.35">
      <c r="A98" s="11"/>
      <c r="B98" s="588" t="s">
        <v>464</v>
      </c>
      <c r="C98" s="23" t="s">
        <v>1</v>
      </c>
      <c r="D98" s="10" t="s">
        <v>63</v>
      </c>
      <c r="E98" s="10" t="s">
        <v>88</v>
      </c>
      <c r="F98" s="668" t="s">
        <v>81</v>
      </c>
      <c r="G98" s="669" t="s">
        <v>30</v>
      </c>
      <c r="H98" s="669" t="s">
        <v>37</v>
      </c>
      <c r="I98" s="670" t="s">
        <v>91</v>
      </c>
      <c r="J98" s="10"/>
      <c r="K98" s="24">
        <f>K99+K100+K101</f>
        <v>10854.999999999998</v>
      </c>
      <c r="L98" s="24">
        <f>L99+L100+L101</f>
        <v>0</v>
      </c>
      <c r="M98" s="24">
        <f>M99+M100+M101</f>
        <v>10854.999999999998</v>
      </c>
      <c r="N98" s="24">
        <f>N99+N100+N101</f>
        <v>10855.999999999998</v>
      </c>
    </row>
    <row r="99" spans="1:14" s="116" customFormat="1" ht="108" x14ac:dyDescent="0.35">
      <c r="A99" s="11"/>
      <c r="B99" s="510" t="s">
        <v>49</v>
      </c>
      <c r="C99" s="23" t="s">
        <v>1</v>
      </c>
      <c r="D99" s="10" t="s">
        <v>63</v>
      </c>
      <c r="E99" s="10" t="s">
        <v>88</v>
      </c>
      <c r="F99" s="668" t="s">
        <v>81</v>
      </c>
      <c r="G99" s="669" t="s">
        <v>30</v>
      </c>
      <c r="H99" s="669" t="s">
        <v>37</v>
      </c>
      <c r="I99" s="670" t="s">
        <v>91</v>
      </c>
      <c r="J99" s="10" t="s">
        <v>50</v>
      </c>
      <c r="K99" s="24">
        <v>8959.9</v>
      </c>
      <c r="L99" s="24">
        <f>M99-K99</f>
        <v>0</v>
      </c>
      <c r="M99" s="24">
        <v>8959.9</v>
      </c>
      <c r="N99" s="24">
        <v>8959.9</v>
      </c>
    </row>
    <row r="100" spans="1:14" s="116" customFormat="1" ht="54" x14ac:dyDescent="0.35">
      <c r="A100" s="11"/>
      <c r="B100" s="510" t="s">
        <v>55</v>
      </c>
      <c r="C100" s="23" t="s">
        <v>1</v>
      </c>
      <c r="D100" s="10" t="s">
        <v>63</v>
      </c>
      <c r="E100" s="10" t="s">
        <v>88</v>
      </c>
      <c r="F100" s="668" t="s">
        <v>81</v>
      </c>
      <c r="G100" s="669" t="s">
        <v>30</v>
      </c>
      <c r="H100" s="669" t="s">
        <v>37</v>
      </c>
      <c r="I100" s="670" t="s">
        <v>91</v>
      </c>
      <c r="J100" s="10" t="s">
        <v>56</v>
      </c>
      <c r="K100" s="24">
        <v>1891.8</v>
      </c>
      <c r="L100" s="24">
        <f>M100-K100</f>
        <v>0</v>
      </c>
      <c r="M100" s="24">
        <v>1891.8</v>
      </c>
      <c r="N100" s="24">
        <v>1892.8</v>
      </c>
    </row>
    <row r="101" spans="1:14" s="116" customFormat="1" ht="18" x14ac:dyDescent="0.35">
      <c r="A101" s="11"/>
      <c r="B101" s="510" t="s">
        <v>57</v>
      </c>
      <c r="C101" s="23" t="s">
        <v>1</v>
      </c>
      <c r="D101" s="10" t="s">
        <v>63</v>
      </c>
      <c r="E101" s="10" t="s">
        <v>88</v>
      </c>
      <c r="F101" s="668" t="s">
        <v>81</v>
      </c>
      <c r="G101" s="669" t="s">
        <v>30</v>
      </c>
      <c r="H101" s="669" t="s">
        <v>37</v>
      </c>
      <c r="I101" s="670" t="s">
        <v>91</v>
      </c>
      <c r="J101" s="10" t="s">
        <v>58</v>
      </c>
      <c r="K101" s="24">
        <v>3.3</v>
      </c>
      <c r="L101" s="24">
        <f>M101-K101</f>
        <v>0</v>
      </c>
      <c r="M101" s="24">
        <v>3.3</v>
      </c>
      <c r="N101" s="24">
        <v>3.3</v>
      </c>
    </row>
    <row r="102" spans="1:14" s="116" customFormat="1" ht="54" x14ac:dyDescent="0.35">
      <c r="A102" s="11"/>
      <c r="B102" s="524" t="s">
        <v>490</v>
      </c>
      <c r="C102" s="23" t="s">
        <v>1</v>
      </c>
      <c r="D102" s="10" t="s">
        <v>63</v>
      </c>
      <c r="E102" s="10" t="s">
        <v>88</v>
      </c>
      <c r="F102" s="668" t="s">
        <v>81</v>
      </c>
      <c r="G102" s="669" t="s">
        <v>31</v>
      </c>
      <c r="H102" s="669" t="s">
        <v>43</v>
      </c>
      <c r="I102" s="670" t="s">
        <v>44</v>
      </c>
      <c r="J102" s="10"/>
      <c r="K102" s="24">
        <f t="shared" ref="K102:N104" si="10">K103</f>
        <v>21.8</v>
      </c>
      <c r="L102" s="24">
        <f t="shared" si="10"/>
        <v>0</v>
      </c>
      <c r="M102" s="24">
        <f t="shared" si="10"/>
        <v>21.8</v>
      </c>
      <c r="N102" s="24">
        <f t="shared" si="10"/>
        <v>21.8</v>
      </c>
    </row>
    <row r="103" spans="1:14" s="116" customFormat="1" ht="72" x14ac:dyDescent="0.35">
      <c r="A103" s="11"/>
      <c r="B103" s="525" t="s">
        <v>491</v>
      </c>
      <c r="C103" s="23" t="s">
        <v>1</v>
      </c>
      <c r="D103" s="10" t="s">
        <v>63</v>
      </c>
      <c r="E103" s="10" t="s">
        <v>88</v>
      </c>
      <c r="F103" s="668" t="s">
        <v>81</v>
      </c>
      <c r="G103" s="669" t="s">
        <v>31</v>
      </c>
      <c r="H103" s="669" t="s">
        <v>37</v>
      </c>
      <c r="I103" s="670" t="s">
        <v>44</v>
      </c>
      <c r="J103" s="10"/>
      <c r="K103" s="24">
        <f t="shared" si="10"/>
        <v>21.8</v>
      </c>
      <c r="L103" s="24">
        <f t="shared" si="10"/>
        <v>0</v>
      </c>
      <c r="M103" s="24">
        <f t="shared" si="10"/>
        <v>21.8</v>
      </c>
      <c r="N103" s="24">
        <f t="shared" si="10"/>
        <v>21.8</v>
      </c>
    </row>
    <row r="104" spans="1:14" s="116" customFormat="1" ht="54" x14ac:dyDescent="0.35">
      <c r="A104" s="11"/>
      <c r="B104" s="526" t="s">
        <v>85</v>
      </c>
      <c r="C104" s="23" t="s">
        <v>1</v>
      </c>
      <c r="D104" s="10" t="s">
        <v>63</v>
      </c>
      <c r="E104" s="10" t="s">
        <v>88</v>
      </c>
      <c r="F104" s="668" t="s">
        <v>81</v>
      </c>
      <c r="G104" s="669" t="s">
        <v>31</v>
      </c>
      <c r="H104" s="669" t="s">
        <v>37</v>
      </c>
      <c r="I104" s="670" t="s">
        <v>86</v>
      </c>
      <c r="J104" s="10"/>
      <c r="K104" s="24">
        <f t="shared" si="10"/>
        <v>21.8</v>
      </c>
      <c r="L104" s="24">
        <f t="shared" si="10"/>
        <v>0</v>
      </c>
      <c r="M104" s="24">
        <f t="shared" si="10"/>
        <v>21.8</v>
      </c>
      <c r="N104" s="24">
        <f t="shared" si="10"/>
        <v>21.8</v>
      </c>
    </row>
    <row r="105" spans="1:14" s="116" customFormat="1" ht="54" x14ac:dyDescent="0.35">
      <c r="A105" s="11"/>
      <c r="B105" s="527" t="s">
        <v>55</v>
      </c>
      <c r="C105" s="23" t="s">
        <v>1</v>
      </c>
      <c r="D105" s="10" t="s">
        <v>63</v>
      </c>
      <c r="E105" s="10" t="s">
        <v>88</v>
      </c>
      <c r="F105" s="668" t="s">
        <v>81</v>
      </c>
      <c r="G105" s="669" t="s">
        <v>31</v>
      </c>
      <c r="H105" s="669" t="s">
        <v>37</v>
      </c>
      <c r="I105" s="670" t="s">
        <v>86</v>
      </c>
      <c r="J105" s="10" t="s">
        <v>56</v>
      </c>
      <c r="K105" s="24">
        <v>21.8</v>
      </c>
      <c r="L105" s="24">
        <f>M105-K105</f>
        <v>0</v>
      </c>
      <c r="M105" s="24">
        <v>21.8</v>
      </c>
      <c r="N105" s="24">
        <v>21.8</v>
      </c>
    </row>
    <row r="106" spans="1:14" s="116" customFormat="1" ht="18" x14ac:dyDescent="0.35">
      <c r="A106" s="11"/>
      <c r="B106" s="510" t="s">
        <v>92</v>
      </c>
      <c r="C106" s="23" t="s">
        <v>1</v>
      </c>
      <c r="D106" s="10" t="s">
        <v>52</v>
      </c>
      <c r="E106" s="10"/>
      <c r="F106" s="668"/>
      <c r="G106" s="669"/>
      <c r="H106" s="669"/>
      <c r="I106" s="670"/>
      <c r="J106" s="10"/>
      <c r="K106" s="24">
        <f>K107+K116+K122</f>
        <v>27573.599999999999</v>
      </c>
      <c r="L106" s="24">
        <f>L107+L116+L122</f>
        <v>0</v>
      </c>
      <c r="M106" s="24">
        <f>M107+M116+M122</f>
        <v>27573.599999999999</v>
      </c>
      <c r="N106" s="24">
        <f>N107+N116+N122</f>
        <v>26840.6</v>
      </c>
    </row>
    <row r="107" spans="1:14" s="7" customFormat="1" ht="18" x14ac:dyDescent="0.35">
      <c r="A107" s="11"/>
      <c r="B107" s="510" t="s">
        <v>93</v>
      </c>
      <c r="C107" s="23" t="s">
        <v>1</v>
      </c>
      <c r="D107" s="10" t="s">
        <v>52</v>
      </c>
      <c r="E107" s="10" t="s">
        <v>65</v>
      </c>
      <c r="F107" s="668"/>
      <c r="G107" s="669"/>
      <c r="H107" s="669"/>
      <c r="I107" s="670"/>
      <c r="J107" s="10"/>
      <c r="K107" s="24">
        <f t="shared" ref="K107:N108" si="11">K108</f>
        <v>19075.7</v>
      </c>
      <c r="L107" s="24">
        <f t="shared" si="11"/>
        <v>0</v>
      </c>
      <c r="M107" s="24">
        <f t="shared" si="11"/>
        <v>19075.7</v>
      </c>
      <c r="N107" s="24">
        <f t="shared" si="11"/>
        <v>19075.7</v>
      </c>
    </row>
    <row r="108" spans="1:14" s="116" customFormat="1" ht="54" x14ac:dyDescent="0.35">
      <c r="A108" s="11"/>
      <c r="B108" s="510" t="s">
        <v>94</v>
      </c>
      <c r="C108" s="23" t="s">
        <v>1</v>
      </c>
      <c r="D108" s="10" t="s">
        <v>52</v>
      </c>
      <c r="E108" s="10" t="s">
        <v>65</v>
      </c>
      <c r="F108" s="668" t="s">
        <v>67</v>
      </c>
      <c r="G108" s="669" t="s">
        <v>42</v>
      </c>
      <c r="H108" s="669" t="s">
        <v>43</v>
      </c>
      <c r="I108" s="670" t="s">
        <v>44</v>
      </c>
      <c r="J108" s="10"/>
      <c r="K108" s="24">
        <f t="shared" si="11"/>
        <v>19075.7</v>
      </c>
      <c r="L108" s="24">
        <f t="shared" si="11"/>
        <v>0</v>
      </c>
      <c r="M108" s="24">
        <f t="shared" si="11"/>
        <v>19075.7</v>
      </c>
      <c r="N108" s="24">
        <f t="shared" si="11"/>
        <v>19075.7</v>
      </c>
    </row>
    <row r="109" spans="1:14" s="7" customFormat="1" ht="36" x14ac:dyDescent="0.35">
      <c r="A109" s="11"/>
      <c r="B109" s="510" t="s">
        <v>339</v>
      </c>
      <c r="C109" s="23" t="s">
        <v>1</v>
      </c>
      <c r="D109" s="10" t="s">
        <v>52</v>
      </c>
      <c r="E109" s="10" t="s">
        <v>65</v>
      </c>
      <c r="F109" s="668" t="s">
        <v>67</v>
      </c>
      <c r="G109" s="669" t="s">
        <v>45</v>
      </c>
      <c r="H109" s="669" t="s">
        <v>43</v>
      </c>
      <c r="I109" s="670" t="s">
        <v>44</v>
      </c>
      <c r="J109" s="10"/>
      <c r="K109" s="24">
        <f>K110+K113</f>
        <v>19075.7</v>
      </c>
      <c r="L109" s="24">
        <f>L110+L113</f>
        <v>0</v>
      </c>
      <c r="M109" s="24">
        <f>M110+M113</f>
        <v>19075.7</v>
      </c>
      <c r="N109" s="24">
        <f>N110+N113</f>
        <v>19075.7</v>
      </c>
    </row>
    <row r="110" spans="1:14" s="7" customFormat="1" ht="54" x14ac:dyDescent="0.35">
      <c r="A110" s="11"/>
      <c r="B110" s="510" t="s">
        <v>95</v>
      </c>
      <c r="C110" s="23" t="s">
        <v>1</v>
      </c>
      <c r="D110" s="10" t="s">
        <v>52</v>
      </c>
      <c r="E110" s="10" t="s">
        <v>65</v>
      </c>
      <c r="F110" s="668" t="s">
        <v>67</v>
      </c>
      <c r="G110" s="669" t="s">
        <v>45</v>
      </c>
      <c r="H110" s="669" t="s">
        <v>37</v>
      </c>
      <c r="I110" s="670" t="s">
        <v>44</v>
      </c>
      <c r="J110" s="10"/>
      <c r="K110" s="24">
        <f t="shared" ref="K110:N111" si="12">K111</f>
        <v>15776.9</v>
      </c>
      <c r="L110" s="24">
        <f t="shared" si="12"/>
        <v>0</v>
      </c>
      <c r="M110" s="24">
        <f t="shared" si="12"/>
        <v>15776.9</v>
      </c>
      <c r="N110" s="24">
        <f t="shared" si="12"/>
        <v>15776.9</v>
      </c>
    </row>
    <row r="111" spans="1:14" s="7" customFormat="1" ht="72" x14ac:dyDescent="0.35">
      <c r="A111" s="11"/>
      <c r="B111" s="558" t="s">
        <v>407</v>
      </c>
      <c r="C111" s="23" t="s">
        <v>1</v>
      </c>
      <c r="D111" s="10" t="s">
        <v>52</v>
      </c>
      <c r="E111" s="10" t="s">
        <v>65</v>
      </c>
      <c r="F111" s="668" t="s">
        <v>67</v>
      </c>
      <c r="G111" s="669" t="s">
        <v>45</v>
      </c>
      <c r="H111" s="669" t="s">
        <v>37</v>
      </c>
      <c r="I111" s="670" t="s">
        <v>61</v>
      </c>
      <c r="J111" s="10"/>
      <c r="K111" s="24">
        <f t="shared" si="12"/>
        <v>15776.9</v>
      </c>
      <c r="L111" s="24">
        <f t="shared" si="12"/>
        <v>0</v>
      </c>
      <c r="M111" s="24">
        <f t="shared" si="12"/>
        <v>15776.9</v>
      </c>
      <c r="N111" s="24">
        <f t="shared" si="12"/>
        <v>15776.9</v>
      </c>
    </row>
    <row r="112" spans="1:14" s="116" customFormat="1" ht="18" x14ac:dyDescent="0.35">
      <c r="A112" s="11"/>
      <c r="B112" s="510" t="s">
        <v>57</v>
      </c>
      <c r="C112" s="23" t="s">
        <v>1</v>
      </c>
      <c r="D112" s="10" t="s">
        <v>52</v>
      </c>
      <c r="E112" s="10" t="s">
        <v>65</v>
      </c>
      <c r="F112" s="668" t="s">
        <v>67</v>
      </c>
      <c r="G112" s="669" t="s">
        <v>45</v>
      </c>
      <c r="H112" s="669" t="s">
        <v>37</v>
      </c>
      <c r="I112" s="670" t="s">
        <v>61</v>
      </c>
      <c r="J112" s="10" t="s">
        <v>58</v>
      </c>
      <c r="K112" s="24">
        <v>15776.9</v>
      </c>
      <c r="L112" s="24">
        <f>M112-K112</f>
        <v>0</v>
      </c>
      <c r="M112" s="24">
        <v>15776.9</v>
      </c>
      <c r="N112" s="24">
        <v>15776.9</v>
      </c>
    </row>
    <row r="113" spans="1:14" s="7" customFormat="1" ht="54" x14ac:dyDescent="0.35">
      <c r="A113" s="11"/>
      <c r="B113" s="510" t="s">
        <v>96</v>
      </c>
      <c r="C113" s="23" t="s">
        <v>1</v>
      </c>
      <c r="D113" s="10" t="s">
        <v>52</v>
      </c>
      <c r="E113" s="10" t="s">
        <v>65</v>
      </c>
      <c r="F113" s="668" t="s">
        <v>67</v>
      </c>
      <c r="G113" s="669" t="s">
        <v>45</v>
      </c>
      <c r="H113" s="669" t="s">
        <v>39</v>
      </c>
      <c r="I113" s="670" t="s">
        <v>44</v>
      </c>
      <c r="J113" s="10"/>
      <c r="K113" s="24">
        <f t="shared" ref="K113:N114" si="13">K114</f>
        <v>3298.8</v>
      </c>
      <c r="L113" s="24">
        <f t="shared" si="13"/>
        <v>0</v>
      </c>
      <c r="M113" s="24">
        <f t="shared" si="13"/>
        <v>3298.8</v>
      </c>
      <c r="N113" s="24">
        <f t="shared" si="13"/>
        <v>3298.8</v>
      </c>
    </row>
    <row r="114" spans="1:14" s="7" customFormat="1" ht="180" x14ac:dyDescent="0.35">
      <c r="A114" s="11"/>
      <c r="B114" s="510" t="s">
        <v>525</v>
      </c>
      <c r="C114" s="23" t="s">
        <v>1</v>
      </c>
      <c r="D114" s="10" t="s">
        <v>52</v>
      </c>
      <c r="E114" s="10" t="s">
        <v>65</v>
      </c>
      <c r="F114" s="668" t="s">
        <v>67</v>
      </c>
      <c r="G114" s="669" t="s">
        <v>45</v>
      </c>
      <c r="H114" s="669" t="s">
        <v>39</v>
      </c>
      <c r="I114" s="670" t="s">
        <v>97</v>
      </c>
      <c r="J114" s="10"/>
      <c r="K114" s="24">
        <f t="shared" si="13"/>
        <v>3298.8</v>
      </c>
      <c r="L114" s="24">
        <f t="shared" si="13"/>
        <v>0</v>
      </c>
      <c r="M114" s="24">
        <f t="shared" si="13"/>
        <v>3298.8</v>
      </c>
      <c r="N114" s="24">
        <f t="shared" si="13"/>
        <v>3298.8</v>
      </c>
    </row>
    <row r="115" spans="1:14" s="116" customFormat="1" ht="54" x14ac:dyDescent="0.35">
      <c r="A115" s="11"/>
      <c r="B115" s="510" t="s">
        <v>55</v>
      </c>
      <c r="C115" s="23" t="s">
        <v>1</v>
      </c>
      <c r="D115" s="10" t="s">
        <v>52</v>
      </c>
      <c r="E115" s="10" t="s">
        <v>65</v>
      </c>
      <c r="F115" s="668" t="s">
        <v>67</v>
      </c>
      <c r="G115" s="669" t="s">
        <v>45</v>
      </c>
      <c r="H115" s="669" t="s">
        <v>39</v>
      </c>
      <c r="I115" s="670" t="s">
        <v>97</v>
      </c>
      <c r="J115" s="10" t="s">
        <v>56</v>
      </c>
      <c r="K115" s="24">
        <v>3298.8</v>
      </c>
      <c r="L115" s="24">
        <f>M115-K115</f>
        <v>0</v>
      </c>
      <c r="M115" s="24">
        <v>3298.8</v>
      </c>
      <c r="N115" s="24">
        <v>3298.8</v>
      </c>
    </row>
    <row r="116" spans="1:14" s="7" customFormat="1" ht="18" x14ac:dyDescent="0.35">
      <c r="A116" s="11"/>
      <c r="B116" s="559" t="s">
        <v>98</v>
      </c>
      <c r="C116" s="23" t="s">
        <v>1</v>
      </c>
      <c r="D116" s="10" t="s">
        <v>52</v>
      </c>
      <c r="E116" s="10" t="s">
        <v>79</v>
      </c>
      <c r="F116" s="668"/>
      <c r="G116" s="669"/>
      <c r="H116" s="669"/>
      <c r="I116" s="670"/>
      <c r="J116" s="10"/>
      <c r="K116" s="24">
        <f t="shared" ref="K116:N120" si="14">K117</f>
        <v>6181.8</v>
      </c>
      <c r="L116" s="24">
        <f t="shared" si="14"/>
        <v>0</v>
      </c>
      <c r="M116" s="24">
        <f t="shared" si="14"/>
        <v>6181.8</v>
      </c>
      <c r="N116" s="24">
        <f t="shared" si="14"/>
        <v>6648.8</v>
      </c>
    </row>
    <row r="117" spans="1:14" s="116" customFormat="1" ht="54" x14ac:dyDescent="0.35">
      <c r="A117" s="11"/>
      <c r="B117" s="510" t="s">
        <v>99</v>
      </c>
      <c r="C117" s="23" t="s">
        <v>1</v>
      </c>
      <c r="D117" s="10" t="s">
        <v>52</v>
      </c>
      <c r="E117" s="10" t="s">
        <v>79</v>
      </c>
      <c r="F117" s="668" t="s">
        <v>100</v>
      </c>
      <c r="G117" s="669" t="s">
        <v>42</v>
      </c>
      <c r="H117" s="669" t="s">
        <v>43</v>
      </c>
      <c r="I117" s="670" t="s">
        <v>44</v>
      </c>
      <c r="J117" s="10"/>
      <c r="K117" s="24">
        <f t="shared" si="14"/>
        <v>6181.8</v>
      </c>
      <c r="L117" s="24">
        <f t="shared" si="14"/>
        <v>0</v>
      </c>
      <c r="M117" s="24">
        <f t="shared" si="14"/>
        <v>6181.8</v>
      </c>
      <c r="N117" s="24">
        <f t="shared" si="14"/>
        <v>6648.8</v>
      </c>
    </row>
    <row r="118" spans="1:14" s="7" customFormat="1" ht="36" x14ac:dyDescent="0.35">
      <c r="A118" s="11"/>
      <c r="B118" s="510" t="s">
        <v>339</v>
      </c>
      <c r="C118" s="23" t="s">
        <v>1</v>
      </c>
      <c r="D118" s="10" t="s">
        <v>52</v>
      </c>
      <c r="E118" s="10" t="s">
        <v>79</v>
      </c>
      <c r="F118" s="668" t="s">
        <v>100</v>
      </c>
      <c r="G118" s="669" t="s">
        <v>45</v>
      </c>
      <c r="H118" s="669" t="s">
        <v>43</v>
      </c>
      <c r="I118" s="670" t="s">
        <v>44</v>
      </c>
      <c r="J118" s="10"/>
      <c r="K118" s="24">
        <f t="shared" si="14"/>
        <v>6181.8</v>
      </c>
      <c r="L118" s="24">
        <f t="shared" si="14"/>
        <v>0</v>
      </c>
      <c r="M118" s="24">
        <f t="shared" si="14"/>
        <v>6181.8</v>
      </c>
      <c r="N118" s="24">
        <f t="shared" si="14"/>
        <v>6648.8</v>
      </c>
    </row>
    <row r="119" spans="1:14" s="7" customFormat="1" ht="90" x14ac:dyDescent="0.35">
      <c r="A119" s="11"/>
      <c r="B119" s="510" t="s">
        <v>101</v>
      </c>
      <c r="C119" s="23" t="s">
        <v>1</v>
      </c>
      <c r="D119" s="10" t="s">
        <v>52</v>
      </c>
      <c r="E119" s="10" t="s">
        <v>79</v>
      </c>
      <c r="F119" s="668" t="s">
        <v>100</v>
      </c>
      <c r="G119" s="669" t="s">
        <v>45</v>
      </c>
      <c r="H119" s="669" t="s">
        <v>37</v>
      </c>
      <c r="I119" s="670" t="s">
        <v>44</v>
      </c>
      <c r="J119" s="10"/>
      <c r="K119" s="24">
        <f t="shared" si="14"/>
        <v>6181.8</v>
      </c>
      <c r="L119" s="24">
        <f t="shared" si="14"/>
        <v>0</v>
      </c>
      <c r="M119" s="24">
        <f t="shared" si="14"/>
        <v>6181.8</v>
      </c>
      <c r="N119" s="24">
        <f t="shared" si="14"/>
        <v>6648.8</v>
      </c>
    </row>
    <row r="120" spans="1:14" s="7" customFormat="1" ht="72" x14ac:dyDescent="0.35">
      <c r="A120" s="11"/>
      <c r="B120" s="560" t="s">
        <v>102</v>
      </c>
      <c r="C120" s="23" t="s">
        <v>1</v>
      </c>
      <c r="D120" s="10" t="s">
        <v>52</v>
      </c>
      <c r="E120" s="10" t="s">
        <v>79</v>
      </c>
      <c r="F120" s="668" t="s">
        <v>100</v>
      </c>
      <c r="G120" s="669" t="s">
        <v>45</v>
      </c>
      <c r="H120" s="669" t="s">
        <v>37</v>
      </c>
      <c r="I120" s="670" t="s">
        <v>103</v>
      </c>
      <c r="J120" s="10"/>
      <c r="K120" s="24">
        <f t="shared" si="14"/>
        <v>6181.8</v>
      </c>
      <c r="L120" s="24">
        <f t="shared" si="14"/>
        <v>0</v>
      </c>
      <c r="M120" s="24">
        <f t="shared" si="14"/>
        <v>6181.8</v>
      </c>
      <c r="N120" s="24">
        <f t="shared" si="14"/>
        <v>6648.8</v>
      </c>
    </row>
    <row r="121" spans="1:14" s="116" customFormat="1" ht="54" x14ac:dyDescent="0.35">
      <c r="A121" s="11"/>
      <c r="B121" s="510" t="s">
        <v>55</v>
      </c>
      <c r="C121" s="23" t="s">
        <v>1</v>
      </c>
      <c r="D121" s="10" t="s">
        <v>52</v>
      </c>
      <c r="E121" s="10" t="s">
        <v>79</v>
      </c>
      <c r="F121" s="668" t="s">
        <v>100</v>
      </c>
      <c r="G121" s="669" t="s">
        <v>45</v>
      </c>
      <c r="H121" s="669" t="s">
        <v>37</v>
      </c>
      <c r="I121" s="670" t="s">
        <v>103</v>
      </c>
      <c r="J121" s="10" t="s">
        <v>56</v>
      </c>
      <c r="K121" s="24">
        <v>6181.8</v>
      </c>
      <c r="L121" s="24">
        <f>M121-K121</f>
        <v>0</v>
      </c>
      <c r="M121" s="24">
        <v>6181.8</v>
      </c>
      <c r="N121" s="24">
        <v>6648.8</v>
      </c>
    </row>
    <row r="122" spans="1:14" s="7" customFormat="1" ht="36" x14ac:dyDescent="0.35">
      <c r="A122" s="11"/>
      <c r="B122" s="559" t="s">
        <v>106</v>
      </c>
      <c r="C122" s="23" t="s">
        <v>1</v>
      </c>
      <c r="D122" s="10" t="s">
        <v>52</v>
      </c>
      <c r="E122" s="10" t="s">
        <v>100</v>
      </c>
      <c r="F122" s="668"/>
      <c r="G122" s="669"/>
      <c r="H122" s="669"/>
      <c r="I122" s="670"/>
      <c r="J122" s="10"/>
      <c r="K122" s="24">
        <f t="shared" ref="K122" si="15">K123+K132+K137</f>
        <v>2316.1</v>
      </c>
      <c r="L122" s="24">
        <f>L123+L132+L137</f>
        <v>0</v>
      </c>
      <c r="M122" s="24">
        <f t="shared" ref="M122:N122" si="16">M123+M132+M137</f>
        <v>2316.1</v>
      </c>
      <c r="N122" s="24">
        <f t="shared" si="16"/>
        <v>1116.0999999999999</v>
      </c>
    </row>
    <row r="123" spans="1:14" s="116" customFormat="1" ht="72" x14ac:dyDescent="0.35">
      <c r="A123" s="11"/>
      <c r="B123" s="510" t="s">
        <v>107</v>
      </c>
      <c r="C123" s="23" t="s">
        <v>1</v>
      </c>
      <c r="D123" s="10" t="s">
        <v>52</v>
      </c>
      <c r="E123" s="10" t="s">
        <v>100</v>
      </c>
      <c r="F123" s="668" t="s">
        <v>71</v>
      </c>
      <c r="G123" s="669" t="s">
        <v>42</v>
      </c>
      <c r="H123" s="669" t="s">
        <v>43</v>
      </c>
      <c r="I123" s="670" t="s">
        <v>44</v>
      </c>
      <c r="J123" s="10"/>
      <c r="K123" s="24">
        <f>K128+K124</f>
        <v>1066.0999999999999</v>
      </c>
      <c r="L123" s="24">
        <f>L128+L124</f>
        <v>0</v>
      </c>
      <c r="M123" s="24">
        <f>M128+M124</f>
        <v>1066.0999999999999</v>
      </c>
      <c r="N123" s="24">
        <f>N128+N124</f>
        <v>1066.0999999999999</v>
      </c>
    </row>
    <row r="124" spans="1:14" s="116" customFormat="1" ht="54" x14ac:dyDescent="0.35">
      <c r="A124" s="11"/>
      <c r="B124" s="559" t="s">
        <v>108</v>
      </c>
      <c r="C124" s="23" t="s">
        <v>1</v>
      </c>
      <c r="D124" s="10" t="s">
        <v>52</v>
      </c>
      <c r="E124" s="10" t="s">
        <v>100</v>
      </c>
      <c r="F124" s="668" t="s">
        <v>71</v>
      </c>
      <c r="G124" s="669" t="s">
        <v>45</v>
      </c>
      <c r="H124" s="669" t="s">
        <v>43</v>
      </c>
      <c r="I124" s="670" t="s">
        <v>44</v>
      </c>
      <c r="J124" s="10"/>
      <c r="K124" s="24">
        <f t="shared" ref="K124:N126" si="17">K125</f>
        <v>340</v>
      </c>
      <c r="L124" s="24">
        <f t="shared" si="17"/>
        <v>0</v>
      </c>
      <c r="M124" s="24">
        <f t="shared" si="17"/>
        <v>340</v>
      </c>
      <c r="N124" s="24">
        <f t="shared" si="17"/>
        <v>340</v>
      </c>
    </row>
    <row r="125" spans="1:14" s="116" customFormat="1" ht="36" x14ac:dyDescent="0.35">
      <c r="A125" s="11"/>
      <c r="B125" s="510" t="s">
        <v>109</v>
      </c>
      <c r="C125" s="23" t="s">
        <v>1</v>
      </c>
      <c r="D125" s="10" t="s">
        <v>52</v>
      </c>
      <c r="E125" s="10" t="s">
        <v>100</v>
      </c>
      <c r="F125" s="668" t="s">
        <v>71</v>
      </c>
      <c r="G125" s="669" t="s">
        <v>45</v>
      </c>
      <c r="H125" s="669" t="s">
        <v>37</v>
      </c>
      <c r="I125" s="670" t="s">
        <v>44</v>
      </c>
      <c r="J125" s="10"/>
      <c r="K125" s="24">
        <f t="shared" si="17"/>
        <v>340</v>
      </c>
      <c r="L125" s="24">
        <f t="shared" si="17"/>
        <v>0</v>
      </c>
      <c r="M125" s="24">
        <f t="shared" si="17"/>
        <v>340</v>
      </c>
      <c r="N125" s="24">
        <f t="shared" si="17"/>
        <v>340</v>
      </c>
    </row>
    <row r="126" spans="1:14" s="116" customFormat="1" ht="36" x14ac:dyDescent="0.35">
      <c r="A126" s="11"/>
      <c r="B126" s="559" t="s">
        <v>110</v>
      </c>
      <c r="C126" s="23" t="s">
        <v>1</v>
      </c>
      <c r="D126" s="10" t="s">
        <v>52</v>
      </c>
      <c r="E126" s="10" t="s">
        <v>100</v>
      </c>
      <c r="F126" s="668" t="s">
        <v>71</v>
      </c>
      <c r="G126" s="669" t="s">
        <v>45</v>
      </c>
      <c r="H126" s="669" t="s">
        <v>37</v>
      </c>
      <c r="I126" s="670" t="s">
        <v>111</v>
      </c>
      <c r="J126" s="10"/>
      <c r="K126" s="24">
        <f t="shared" si="17"/>
        <v>340</v>
      </c>
      <c r="L126" s="24">
        <f t="shared" si="17"/>
        <v>0</v>
      </c>
      <c r="M126" s="24">
        <f t="shared" si="17"/>
        <v>340</v>
      </c>
      <c r="N126" s="24">
        <f t="shared" si="17"/>
        <v>340</v>
      </c>
    </row>
    <row r="127" spans="1:14" s="116" customFormat="1" ht="54" x14ac:dyDescent="0.35">
      <c r="A127" s="11"/>
      <c r="B127" s="510" t="s">
        <v>55</v>
      </c>
      <c r="C127" s="23" t="s">
        <v>1</v>
      </c>
      <c r="D127" s="10" t="s">
        <v>52</v>
      </c>
      <c r="E127" s="10" t="s">
        <v>100</v>
      </c>
      <c r="F127" s="668" t="s">
        <v>71</v>
      </c>
      <c r="G127" s="669" t="s">
        <v>45</v>
      </c>
      <c r="H127" s="669" t="s">
        <v>37</v>
      </c>
      <c r="I127" s="670" t="s">
        <v>111</v>
      </c>
      <c r="J127" s="10" t="s">
        <v>56</v>
      </c>
      <c r="K127" s="24">
        <v>340</v>
      </c>
      <c r="L127" s="24">
        <f>M127-K127</f>
        <v>0</v>
      </c>
      <c r="M127" s="24">
        <v>340</v>
      </c>
      <c r="N127" s="24">
        <v>340</v>
      </c>
    </row>
    <row r="128" spans="1:14" s="116" customFormat="1" ht="36" x14ac:dyDescent="0.35">
      <c r="A128" s="11"/>
      <c r="B128" s="559" t="s">
        <v>112</v>
      </c>
      <c r="C128" s="23" t="s">
        <v>1</v>
      </c>
      <c r="D128" s="10" t="s">
        <v>52</v>
      </c>
      <c r="E128" s="10" t="s">
        <v>100</v>
      </c>
      <c r="F128" s="668" t="s">
        <v>71</v>
      </c>
      <c r="G128" s="669" t="s">
        <v>89</v>
      </c>
      <c r="H128" s="669" t="s">
        <v>43</v>
      </c>
      <c r="I128" s="670" t="s">
        <v>44</v>
      </c>
      <c r="J128" s="10"/>
      <c r="K128" s="24">
        <f t="shared" ref="K128:N130" si="18">K129</f>
        <v>726.1</v>
      </c>
      <c r="L128" s="24">
        <f t="shared" si="18"/>
        <v>0</v>
      </c>
      <c r="M128" s="24">
        <f t="shared" si="18"/>
        <v>726.1</v>
      </c>
      <c r="N128" s="24">
        <f t="shared" si="18"/>
        <v>726.1</v>
      </c>
    </row>
    <row r="129" spans="1:14" s="7" customFormat="1" ht="54" x14ac:dyDescent="0.35">
      <c r="A129" s="11"/>
      <c r="B129" s="559" t="s">
        <v>113</v>
      </c>
      <c r="C129" s="23" t="s">
        <v>1</v>
      </c>
      <c r="D129" s="10" t="s">
        <v>52</v>
      </c>
      <c r="E129" s="10" t="s">
        <v>100</v>
      </c>
      <c r="F129" s="668" t="s">
        <v>71</v>
      </c>
      <c r="G129" s="669" t="s">
        <v>89</v>
      </c>
      <c r="H129" s="669" t="s">
        <v>37</v>
      </c>
      <c r="I129" s="670" t="s">
        <v>44</v>
      </c>
      <c r="J129" s="10"/>
      <c r="K129" s="24">
        <f t="shared" si="18"/>
        <v>726.1</v>
      </c>
      <c r="L129" s="24">
        <f t="shared" si="18"/>
        <v>0</v>
      </c>
      <c r="M129" s="24">
        <f t="shared" si="18"/>
        <v>726.1</v>
      </c>
      <c r="N129" s="24">
        <f t="shared" si="18"/>
        <v>726.1</v>
      </c>
    </row>
    <row r="130" spans="1:14" s="116" customFormat="1" ht="72" x14ac:dyDescent="0.35">
      <c r="A130" s="11"/>
      <c r="B130" s="559" t="s">
        <v>114</v>
      </c>
      <c r="C130" s="23" t="s">
        <v>1</v>
      </c>
      <c r="D130" s="10" t="s">
        <v>52</v>
      </c>
      <c r="E130" s="10" t="s">
        <v>100</v>
      </c>
      <c r="F130" s="668" t="s">
        <v>71</v>
      </c>
      <c r="G130" s="669" t="s">
        <v>89</v>
      </c>
      <c r="H130" s="669" t="s">
        <v>37</v>
      </c>
      <c r="I130" s="670" t="s">
        <v>115</v>
      </c>
      <c r="J130" s="10"/>
      <c r="K130" s="24">
        <f t="shared" si="18"/>
        <v>726.1</v>
      </c>
      <c r="L130" s="24">
        <f t="shared" si="18"/>
        <v>0</v>
      </c>
      <c r="M130" s="24">
        <f t="shared" si="18"/>
        <v>726.1</v>
      </c>
      <c r="N130" s="24">
        <f t="shared" si="18"/>
        <v>726.1</v>
      </c>
    </row>
    <row r="131" spans="1:14" s="7" customFormat="1" ht="54" x14ac:dyDescent="0.35">
      <c r="A131" s="11"/>
      <c r="B131" s="510" t="s">
        <v>55</v>
      </c>
      <c r="C131" s="23" t="s">
        <v>1</v>
      </c>
      <c r="D131" s="10" t="s">
        <v>52</v>
      </c>
      <c r="E131" s="10" t="s">
        <v>100</v>
      </c>
      <c r="F131" s="668" t="s">
        <v>71</v>
      </c>
      <c r="G131" s="669" t="s">
        <v>89</v>
      </c>
      <c r="H131" s="669" t="s">
        <v>37</v>
      </c>
      <c r="I131" s="670" t="s">
        <v>115</v>
      </c>
      <c r="J131" s="10" t="s">
        <v>56</v>
      </c>
      <c r="K131" s="24">
        <v>726.1</v>
      </c>
      <c r="L131" s="24">
        <f>M131-K131</f>
        <v>0</v>
      </c>
      <c r="M131" s="24">
        <v>726.1</v>
      </c>
      <c r="N131" s="24">
        <v>726.1</v>
      </c>
    </row>
    <row r="132" spans="1:14" s="116" customFormat="1" ht="72" x14ac:dyDescent="0.35">
      <c r="A132" s="11"/>
      <c r="B132" s="510" t="s">
        <v>116</v>
      </c>
      <c r="C132" s="23" t="s">
        <v>1</v>
      </c>
      <c r="D132" s="10" t="s">
        <v>52</v>
      </c>
      <c r="E132" s="10" t="s">
        <v>100</v>
      </c>
      <c r="F132" s="668" t="s">
        <v>88</v>
      </c>
      <c r="G132" s="669" t="s">
        <v>42</v>
      </c>
      <c r="H132" s="669" t="s">
        <v>43</v>
      </c>
      <c r="I132" s="670" t="s">
        <v>44</v>
      </c>
      <c r="J132" s="10"/>
      <c r="K132" s="24">
        <f t="shared" ref="K132:N133" si="19">K133</f>
        <v>50</v>
      </c>
      <c r="L132" s="24">
        <f t="shared" si="19"/>
        <v>0</v>
      </c>
      <c r="M132" s="24">
        <f t="shared" si="19"/>
        <v>50</v>
      </c>
      <c r="N132" s="24">
        <f t="shared" si="19"/>
        <v>50</v>
      </c>
    </row>
    <row r="133" spans="1:14" s="116" customFormat="1" ht="36" x14ac:dyDescent="0.35">
      <c r="A133" s="11"/>
      <c r="B133" s="510" t="s">
        <v>339</v>
      </c>
      <c r="C133" s="23" t="s">
        <v>1</v>
      </c>
      <c r="D133" s="10" t="s">
        <v>52</v>
      </c>
      <c r="E133" s="10" t="s">
        <v>100</v>
      </c>
      <c r="F133" s="668" t="s">
        <v>88</v>
      </c>
      <c r="G133" s="669" t="s">
        <v>45</v>
      </c>
      <c r="H133" s="669" t="s">
        <v>43</v>
      </c>
      <c r="I133" s="670" t="s">
        <v>44</v>
      </c>
      <c r="J133" s="10"/>
      <c r="K133" s="24">
        <f t="shared" si="19"/>
        <v>50</v>
      </c>
      <c r="L133" s="24">
        <f t="shared" si="19"/>
        <v>0</v>
      </c>
      <c r="M133" s="24">
        <f t="shared" si="19"/>
        <v>50</v>
      </c>
      <c r="N133" s="24">
        <f t="shared" si="19"/>
        <v>50</v>
      </c>
    </row>
    <row r="134" spans="1:14" s="7" customFormat="1" ht="72" x14ac:dyDescent="0.35">
      <c r="A134" s="11"/>
      <c r="B134" s="559" t="s">
        <v>307</v>
      </c>
      <c r="C134" s="23" t="s">
        <v>1</v>
      </c>
      <c r="D134" s="10" t="s">
        <v>52</v>
      </c>
      <c r="E134" s="10" t="s">
        <v>100</v>
      </c>
      <c r="F134" s="668" t="s">
        <v>88</v>
      </c>
      <c r="G134" s="669" t="s">
        <v>45</v>
      </c>
      <c r="H134" s="669" t="s">
        <v>37</v>
      </c>
      <c r="I134" s="670" t="s">
        <v>44</v>
      </c>
      <c r="J134" s="10"/>
      <c r="K134" s="24">
        <f t="shared" ref="K134:N135" si="20">K135</f>
        <v>50</v>
      </c>
      <c r="L134" s="24">
        <f t="shared" si="20"/>
        <v>0</v>
      </c>
      <c r="M134" s="24">
        <f t="shared" si="20"/>
        <v>50</v>
      </c>
      <c r="N134" s="24">
        <f t="shared" si="20"/>
        <v>50</v>
      </c>
    </row>
    <row r="135" spans="1:14" s="7" customFormat="1" ht="54" x14ac:dyDescent="0.35">
      <c r="A135" s="11"/>
      <c r="B135" s="559" t="s">
        <v>117</v>
      </c>
      <c r="C135" s="23" t="s">
        <v>1</v>
      </c>
      <c r="D135" s="10" t="s">
        <v>52</v>
      </c>
      <c r="E135" s="10" t="s">
        <v>100</v>
      </c>
      <c r="F135" s="668" t="s">
        <v>88</v>
      </c>
      <c r="G135" s="669" t="s">
        <v>45</v>
      </c>
      <c r="H135" s="669" t="s">
        <v>37</v>
      </c>
      <c r="I135" s="670" t="s">
        <v>118</v>
      </c>
      <c r="J135" s="10"/>
      <c r="K135" s="24">
        <f t="shared" si="20"/>
        <v>50</v>
      </c>
      <c r="L135" s="24">
        <f t="shared" si="20"/>
        <v>0</v>
      </c>
      <c r="M135" s="24">
        <f t="shared" si="20"/>
        <v>50</v>
      </c>
      <c r="N135" s="24">
        <f t="shared" si="20"/>
        <v>50</v>
      </c>
    </row>
    <row r="136" spans="1:14" s="7" customFormat="1" ht="54" x14ac:dyDescent="0.35">
      <c r="A136" s="11"/>
      <c r="B136" s="510" t="s">
        <v>55</v>
      </c>
      <c r="C136" s="23" t="s">
        <v>1</v>
      </c>
      <c r="D136" s="10" t="s">
        <v>52</v>
      </c>
      <c r="E136" s="10" t="s">
        <v>100</v>
      </c>
      <c r="F136" s="668" t="s">
        <v>88</v>
      </c>
      <c r="G136" s="669" t="s">
        <v>45</v>
      </c>
      <c r="H136" s="669" t="s">
        <v>37</v>
      </c>
      <c r="I136" s="670" t="s">
        <v>118</v>
      </c>
      <c r="J136" s="10" t="s">
        <v>56</v>
      </c>
      <c r="K136" s="24">
        <v>50</v>
      </c>
      <c r="L136" s="24">
        <f>M136-K136</f>
        <v>0</v>
      </c>
      <c r="M136" s="24">
        <v>50</v>
      </c>
      <c r="N136" s="24">
        <v>50</v>
      </c>
    </row>
    <row r="137" spans="1:14" s="7" customFormat="1" ht="54" x14ac:dyDescent="0.35">
      <c r="A137" s="11"/>
      <c r="B137" s="510" t="s">
        <v>40</v>
      </c>
      <c r="C137" s="23" t="s">
        <v>1</v>
      </c>
      <c r="D137" s="10" t="s">
        <v>52</v>
      </c>
      <c r="E137" s="10" t="s">
        <v>100</v>
      </c>
      <c r="F137" s="668" t="s">
        <v>41</v>
      </c>
      <c r="G137" s="669" t="s">
        <v>42</v>
      </c>
      <c r="H137" s="669" t="s">
        <v>43</v>
      </c>
      <c r="I137" s="670" t="s">
        <v>44</v>
      </c>
      <c r="J137" s="10"/>
      <c r="K137" s="24">
        <f t="shared" ref="K137:N140" si="21">K138</f>
        <v>1200</v>
      </c>
      <c r="L137" s="24">
        <f t="shared" si="21"/>
        <v>0</v>
      </c>
      <c r="M137" s="24">
        <f t="shared" si="21"/>
        <v>1200</v>
      </c>
      <c r="N137" s="24">
        <f t="shared" si="21"/>
        <v>0</v>
      </c>
    </row>
    <row r="138" spans="1:14" s="7" customFormat="1" ht="36" x14ac:dyDescent="0.35">
      <c r="A138" s="11"/>
      <c r="B138" s="510" t="s">
        <v>339</v>
      </c>
      <c r="C138" s="23" t="s">
        <v>1</v>
      </c>
      <c r="D138" s="10" t="s">
        <v>52</v>
      </c>
      <c r="E138" s="10" t="s">
        <v>100</v>
      </c>
      <c r="F138" s="668" t="s">
        <v>41</v>
      </c>
      <c r="G138" s="669" t="s">
        <v>45</v>
      </c>
      <c r="H138" s="669" t="s">
        <v>43</v>
      </c>
      <c r="I138" s="670" t="s">
        <v>44</v>
      </c>
      <c r="J138" s="10"/>
      <c r="K138" s="24">
        <f t="shared" si="21"/>
        <v>1200</v>
      </c>
      <c r="L138" s="24">
        <f t="shared" si="21"/>
        <v>0</v>
      </c>
      <c r="M138" s="24">
        <f t="shared" si="21"/>
        <v>1200</v>
      </c>
      <c r="N138" s="24">
        <f t="shared" si="21"/>
        <v>0</v>
      </c>
    </row>
    <row r="139" spans="1:14" s="7" customFormat="1" ht="54" x14ac:dyDescent="0.35">
      <c r="A139" s="11"/>
      <c r="B139" s="510" t="s">
        <v>331</v>
      </c>
      <c r="C139" s="23" t="s">
        <v>1</v>
      </c>
      <c r="D139" s="10" t="s">
        <v>52</v>
      </c>
      <c r="E139" s="10" t="s">
        <v>100</v>
      </c>
      <c r="F139" s="668" t="s">
        <v>41</v>
      </c>
      <c r="G139" s="669" t="s">
        <v>45</v>
      </c>
      <c r="H139" s="669" t="s">
        <v>88</v>
      </c>
      <c r="I139" s="670" t="s">
        <v>44</v>
      </c>
      <c r="J139" s="10"/>
      <c r="K139" s="24">
        <f t="shared" si="21"/>
        <v>1200</v>
      </c>
      <c r="L139" s="24">
        <f t="shared" si="21"/>
        <v>0</v>
      </c>
      <c r="M139" s="24">
        <f t="shared" si="21"/>
        <v>1200</v>
      </c>
      <c r="N139" s="24">
        <f t="shared" si="21"/>
        <v>0</v>
      </c>
    </row>
    <row r="140" spans="1:14" s="7" customFormat="1" ht="54" x14ac:dyDescent="0.35">
      <c r="A140" s="11"/>
      <c r="B140" s="510" t="s">
        <v>725</v>
      </c>
      <c r="C140" s="23" t="s">
        <v>1</v>
      </c>
      <c r="D140" s="10" t="s">
        <v>52</v>
      </c>
      <c r="E140" s="10" t="s">
        <v>100</v>
      </c>
      <c r="F140" s="668" t="s">
        <v>41</v>
      </c>
      <c r="G140" s="669" t="s">
        <v>45</v>
      </c>
      <c r="H140" s="669" t="s">
        <v>88</v>
      </c>
      <c r="I140" s="670" t="s">
        <v>724</v>
      </c>
      <c r="J140" s="10"/>
      <c r="K140" s="24">
        <f t="shared" si="21"/>
        <v>1200</v>
      </c>
      <c r="L140" s="24">
        <f t="shared" si="21"/>
        <v>0</v>
      </c>
      <c r="M140" s="24">
        <f t="shared" si="21"/>
        <v>1200</v>
      </c>
      <c r="N140" s="24">
        <f t="shared" si="21"/>
        <v>0</v>
      </c>
    </row>
    <row r="141" spans="1:14" s="7" customFormat="1" ht="54" x14ac:dyDescent="0.35">
      <c r="A141" s="11"/>
      <c r="B141" s="510" t="s">
        <v>55</v>
      </c>
      <c r="C141" s="23" t="s">
        <v>1</v>
      </c>
      <c r="D141" s="10" t="s">
        <v>52</v>
      </c>
      <c r="E141" s="10" t="s">
        <v>100</v>
      </c>
      <c r="F141" s="668" t="s">
        <v>41</v>
      </c>
      <c r="G141" s="669" t="s">
        <v>45</v>
      </c>
      <c r="H141" s="669" t="s">
        <v>88</v>
      </c>
      <c r="I141" s="670" t="s">
        <v>724</v>
      </c>
      <c r="J141" s="10" t="s">
        <v>56</v>
      </c>
      <c r="K141" s="24">
        <f>1164+36</f>
        <v>1200</v>
      </c>
      <c r="L141" s="24">
        <f>M141-K141</f>
        <v>0</v>
      </c>
      <c r="M141" s="24">
        <f>1164+36</f>
        <v>1200</v>
      </c>
      <c r="N141" s="24">
        <v>0</v>
      </c>
    </row>
    <row r="142" spans="1:14" s="7" customFormat="1" ht="18" x14ac:dyDescent="0.35">
      <c r="A142" s="11"/>
      <c r="B142" s="593" t="s">
        <v>177</v>
      </c>
      <c r="C142" s="23" t="s">
        <v>1</v>
      </c>
      <c r="D142" s="10" t="s">
        <v>65</v>
      </c>
      <c r="E142" s="10"/>
      <c r="F142" s="668"/>
      <c r="G142" s="669"/>
      <c r="H142" s="669"/>
      <c r="I142" s="670"/>
      <c r="J142" s="10"/>
      <c r="K142" s="24">
        <f t="shared" ref="K142:N143" si="22">K143</f>
        <v>5758.6</v>
      </c>
      <c r="L142" s="24">
        <f t="shared" si="22"/>
        <v>0</v>
      </c>
      <c r="M142" s="24">
        <f t="shared" si="22"/>
        <v>5758.6</v>
      </c>
      <c r="N142" s="24">
        <f t="shared" si="22"/>
        <v>5773.4</v>
      </c>
    </row>
    <row r="143" spans="1:14" s="7" customFormat="1" ht="18" x14ac:dyDescent="0.35">
      <c r="A143" s="11"/>
      <c r="B143" s="597" t="s">
        <v>635</v>
      </c>
      <c r="C143" s="23" t="s">
        <v>1</v>
      </c>
      <c r="D143" s="10" t="s">
        <v>65</v>
      </c>
      <c r="E143" s="10" t="s">
        <v>63</v>
      </c>
      <c r="F143" s="668"/>
      <c r="G143" s="669"/>
      <c r="H143" s="669"/>
      <c r="I143" s="670"/>
      <c r="J143" s="10"/>
      <c r="K143" s="24">
        <f t="shared" si="22"/>
        <v>5758.6</v>
      </c>
      <c r="L143" s="24">
        <f t="shared" si="22"/>
        <v>0</v>
      </c>
      <c r="M143" s="24">
        <f t="shared" si="22"/>
        <v>5758.6</v>
      </c>
      <c r="N143" s="24">
        <f t="shared" si="22"/>
        <v>5773.4</v>
      </c>
    </row>
    <row r="144" spans="1:14" s="7" customFormat="1" ht="72" x14ac:dyDescent="0.35">
      <c r="A144" s="11"/>
      <c r="B144" s="597" t="s">
        <v>636</v>
      </c>
      <c r="C144" s="23" t="s">
        <v>1</v>
      </c>
      <c r="D144" s="10" t="s">
        <v>65</v>
      </c>
      <c r="E144" s="10" t="s">
        <v>63</v>
      </c>
      <c r="F144" s="668" t="s">
        <v>104</v>
      </c>
      <c r="G144" s="669" t="s">
        <v>42</v>
      </c>
      <c r="H144" s="669" t="s">
        <v>43</v>
      </c>
      <c r="I144" s="670" t="s">
        <v>44</v>
      </c>
      <c r="J144" s="10"/>
      <c r="K144" s="24">
        <f t="shared" ref="K144:N147" si="23">K145</f>
        <v>5758.6</v>
      </c>
      <c r="L144" s="24">
        <f t="shared" si="23"/>
        <v>0</v>
      </c>
      <c r="M144" s="24">
        <f t="shared" si="23"/>
        <v>5758.6</v>
      </c>
      <c r="N144" s="24">
        <f t="shared" si="23"/>
        <v>5773.4</v>
      </c>
    </row>
    <row r="145" spans="1:14" s="7" customFormat="1" ht="54" x14ac:dyDescent="0.35">
      <c r="A145" s="11"/>
      <c r="B145" s="593" t="s">
        <v>631</v>
      </c>
      <c r="C145" s="23" t="s">
        <v>1</v>
      </c>
      <c r="D145" s="10" t="s">
        <v>65</v>
      </c>
      <c r="E145" s="10" t="s">
        <v>63</v>
      </c>
      <c r="F145" s="668" t="s">
        <v>104</v>
      </c>
      <c r="G145" s="669" t="s">
        <v>34</v>
      </c>
      <c r="H145" s="669" t="s">
        <v>43</v>
      </c>
      <c r="I145" s="670" t="s">
        <v>44</v>
      </c>
      <c r="J145" s="10"/>
      <c r="K145" s="24">
        <f t="shared" si="23"/>
        <v>5758.6</v>
      </c>
      <c r="L145" s="24">
        <f t="shared" si="23"/>
        <v>0</v>
      </c>
      <c r="M145" s="24">
        <f t="shared" si="23"/>
        <v>5758.6</v>
      </c>
      <c r="N145" s="24">
        <f t="shared" si="23"/>
        <v>5773.4</v>
      </c>
    </row>
    <row r="146" spans="1:14" s="7" customFormat="1" ht="54" x14ac:dyDescent="0.35">
      <c r="A146" s="11"/>
      <c r="B146" s="593" t="s">
        <v>632</v>
      </c>
      <c r="C146" s="23" t="s">
        <v>1</v>
      </c>
      <c r="D146" s="10" t="s">
        <v>65</v>
      </c>
      <c r="E146" s="10" t="s">
        <v>63</v>
      </c>
      <c r="F146" s="668" t="s">
        <v>104</v>
      </c>
      <c r="G146" s="669" t="s">
        <v>34</v>
      </c>
      <c r="H146" s="669" t="s">
        <v>37</v>
      </c>
      <c r="I146" s="670" t="s">
        <v>44</v>
      </c>
      <c r="J146" s="10"/>
      <c r="K146" s="24">
        <f t="shared" si="23"/>
        <v>5758.6</v>
      </c>
      <c r="L146" s="24">
        <f t="shared" si="23"/>
        <v>0</v>
      </c>
      <c r="M146" s="24">
        <f t="shared" si="23"/>
        <v>5758.6</v>
      </c>
      <c r="N146" s="24">
        <f t="shared" si="23"/>
        <v>5773.4</v>
      </c>
    </row>
    <row r="147" spans="1:14" s="7" customFormat="1" ht="36" x14ac:dyDescent="0.35">
      <c r="A147" s="11"/>
      <c r="B147" s="593" t="s">
        <v>633</v>
      </c>
      <c r="C147" s="23" t="s">
        <v>1</v>
      </c>
      <c r="D147" s="10" t="s">
        <v>65</v>
      </c>
      <c r="E147" s="10" t="s">
        <v>63</v>
      </c>
      <c r="F147" s="668" t="s">
        <v>104</v>
      </c>
      <c r="G147" s="669" t="s">
        <v>34</v>
      </c>
      <c r="H147" s="669" t="s">
        <v>37</v>
      </c>
      <c r="I147" s="670" t="s">
        <v>634</v>
      </c>
      <c r="J147" s="10"/>
      <c r="K147" s="24">
        <f t="shared" si="23"/>
        <v>5758.6</v>
      </c>
      <c r="L147" s="24">
        <f t="shared" si="23"/>
        <v>0</v>
      </c>
      <c r="M147" s="24">
        <f t="shared" si="23"/>
        <v>5758.6</v>
      </c>
      <c r="N147" s="24">
        <f t="shared" si="23"/>
        <v>5773.4</v>
      </c>
    </row>
    <row r="148" spans="1:14" s="7" customFormat="1" ht="54" x14ac:dyDescent="0.35">
      <c r="A148" s="11"/>
      <c r="B148" s="593" t="s">
        <v>55</v>
      </c>
      <c r="C148" s="23" t="s">
        <v>1</v>
      </c>
      <c r="D148" s="10" t="s">
        <v>65</v>
      </c>
      <c r="E148" s="10" t="s">
        <v>63</v>
      </c>
      <c r="F148" s="668" t="s">
        <v>104</v>
      </c>
      <c r="G148" s="669" t="s">
        <v>34</v>
      </c>
      <c r="H148" s="669" t="s">
        <v>37</v>
      </c>
      <c r="I148" s="670" t="s">
        <v>634</v>
      </c>
      <c r="J148" s="10" t="s">
        <v>56</v>
      </c>
      <c r="K148" s="24">
        <v>5758.6</v>
      </c>
      <c r="L148" s="24">
        <f>M148-K148</f>
        <v>0</v>
      </c>
      <c r="M148" s="24">
        <v>5758.6</v>
      </c>
      <c r="N148" s="24">
        <v>5773.4</v>
      </c>
    </row>
    <row r="149" spans="1:14" s="7" customFormat="1" ht="18" x14ac:dyDescent="0.35">
      <c r="A149" s="11"/>
      <c r="B149" s="510" t="s">
        <v>179</v>
      </c>
      <c r="C149" s="23" t="s">
        <v>1</v>
      </c>
      <c r="D149" s="10" t="s">
        <v>224</v>
      </c>
      <c r="E149" s="10"/>
      <c r="F149" s="668"/>
      <c r="G149" s="669"/>
      <c r="H149" s="669"/>
      <c r="I149" s="670"/>
      <c r="J149" s="10"/>
      <c r="K149" s="24">
        <f>K150</f>
        <v>91.9</v>
      </c>
      <c r="L149" s="24">
        <f>L150</f>
        <v>0</v>
      </c>
      <c r="M149" s="24">
        <f>M150</f>
        <v>91.9</v>
      </c>
      <c r="N149" s="24">
        <f>N150</f>
        <v>91.9</v>
      </c>
    </row>
    <row r="150" spans="1:14" s="7" customFormat="1" ht="36" x14ac:dyDescent="0.35">
      <c r="A150" s="11"/>
      <c r="B150" s="510" t="s">
        <v>530</v>
      </c>
      <c r="C150" s="23" t="s">
        <v>1</v>
      </c>
      <c r="D150" s="10" t="s">
        <v>224</v>
      </c>
      <c r="E150" s="10" t="s">
        <v>65</v>
      </c>
      <c r="F150" s="668"/>
      <c r="G150" s="669"/>
      <c r="H150" s="669"/>
      <c r="I150" s="670"/>
      <c r="J150" s="10"/>
      <c r="K150" s="24">
        <f t="shared" ref="K150:N154" si="24">K151</f>
        <v>91.9</v>
      </c>
      <c r="L150" s="24">
        <f t="shared" si="24"/>
        <v>0</v>
      </c>
      <c r="M150" s="24">
        <f t="shared" si="24"/>
        <v>91.9</v>
      </c>
      <c r="N150" s="24">
        <f t="shared" si="24"/>
        <v>91.9</v>
      </c>
    </row>
    <row r="151" spans="1:14" s="7" customFormat="1" ht="54" x14ac:dyDescent="0.35">
      <c r="A151" s="11"/>
      <c r="B151" s="510" t="s">
        <v>40</v>
      </c>
      <c r="C151" s="23" t="s">
        <v>1</v>
      </c>
      <c r="D151" s="10" t="s">
        <v>224</v>
      </c>
      <c r="E151" s="10" t="s">
        <v>65</v>
      </c>
      <c r="F151" s="668" t="s">
        <v>41</v>
      </c>
      <c r="G151" s="669" t="s">
        <v>42</v>
      </c>
      <c r="H151" s="669" t="s">
        <v>43</v>
      </c>
      <c r="I151" s="670" t="s">
        <v>44</v>
      </c>
      <c r="J151" s="10"/>
      <c r="K151" s="24">
        <f t="shared" si="24"/>
        <v>91.9</v>
      </c>
      <c r="L151" s="24">
        <f t="shared" si="24"/>
        <v>0</v>
      </c>
      <c r="M151" s="24">
        <f t="shared" si="24"/>
        <v>91.9</v>
      </c>
      <c r="N151" s="24">
        <f t="shared" si="24"/>
        <v>91.9</v>
      </c>
    </row>
    <row r="152" spans="1:14" s="7" customFormat="1" ht="36" x14ac:dyDescent="0.35">
      <c r="A152" s="11"/>
      <c r="B152" s="510" t="s">
        <v>339</v>
      </c>
      <c r="C152" s="23" t="s">
        <v>1</v>
      </c>
      <c r="D152" s="10" t="s">
        <v>224</v>
      </c>
      <c r="E152" s="10" t="s">
        <v>65</v>
      </c>
      <c r="F152" s="668" t="s">
        <v>41</v>
      </c>
      <c r="G152" s="669" t="s">
        <v>45</v>
      </c>
      <c r="H152" s="669" t="s">
        <v>43</v>
      </c>
      <c r="I152" s="670" t="s">
        <v>44</v>
      </c>
      <c r="J152" s="10"/>
      <c r="K152" s="24">
        <f t="shared" si="24"/>
        <v>91.9</v>
      </c>
      <c r="L152" s="24">
        <f t="shared" si="24"/>
        <v>0</v>
      </c>
      <c r="M152" s="24">
        <f t="shared" si="24"/>
        <v>91.9</v>
      </c>
      <c r="N152" s="24">
        <f t="shared" si="24"/>
        <v>91.9</v>
      </c>
    </row>
    <row r="153" spans="1:14" s="7" customFormat="1" ht="18" x14ac:dyDescent="0.35">
      <c r="A153" s="11"/>
      <c r="B153" s="510" t="s">
        <v>62</v>
      </c>
      <c r="C153" s="23" t="s">
        <v>1</v>
      </c>
      <c r="D153" s="10" t="s">
        <v>224</v>
      </c>
      <c r="E153" s="10" t="s">
        <v>65</v>
      </c>
      <c r="F153" s="668" t="s">
        <v>41</v>
      </c>
      <c r="G153" s="669" t="s">
        <v>45</v>
      </c>
      <c r="H153" s="669" t="s">
        <v>63</v>
      </c>
      <c r="I153" s="670" t="s">
        <v>44</v>
      </c>
      <c r="J153" s="10"/>
      <c r="K153" s="24">
        <f t="shared" si="24"/>
        <v>91.9</v>
      </c>
      <c r="L153" s="24">
        <f t="shared" si="24"/>
        <v>0</v>
      </c>
      <c r="M153" s="24">
        <f t="shared" si="24"/>
        <v>91.9</v>
      </c>
      <c r="N153" s="24">
        <f t="shared" si="24"/>
        <v>91.9</v>
      </c>
    </row>
    <row r="154" spans="1:14" s="7" customFormat="1" ht="36" x14ac:dyDescent="0.35">
      <c r="A154" s="11"/>
      <c r="B154" s="510" t="s">
        <v>532</v>
      </c>
      <c r="C154" s="23" t="s">
        <v>1</v>
      </c>
      <c r="D154" s="10" t="s">
        <v>224</v>
      </c>
      <c r="E154" s="10" t="s">
        <v>65</v>
      </c>
      <c r="F154" s="668" t="s">
        <v>41</v>
      </c>
      <c r="G154" s="669" t="s">
        <v>45</v>
      </c>
      <c r="H154" s="669" t="s">
        <v>63</v>
      </c>
      <c r="I154" s="670" t="s">
        <v>531</v>
      </c>
      <c r="J154" s="10"/>
      <c r="K154" s="24">
        <f t="shared" si="24"/>
        <v>91.9</v>
      </c>
      <c r="L154" s="24">
        <f t="shared" si="24"/>
        <v>0</v>
      </c>
      <c r="M154" s="24">
        <f t="shared" si="24"/>
        <v>91.9</v>
      </c>
      <c r="N154" s="24">
        <f t="shared" si="24"/>
        <v>91.9</v>
      </c>
    </row>
    <row r="155" spans="1:14" s="7" customFormat="1" ht="54" x14ac:dyDescent="0.35">
      <c r="A155" s="11"/>
      <c r="B155" s="510" t="s">
        <v>55</v>
      </c>
      <c r="C155" s="23" t="s">
        <v>1</v>
      </c>
      <c r="D155" s="10" t="s">
        <v>224</v>
      </c>
      <c r="E155" s="10" t="s">
        <v>65</v>
      </c>
      <c r="F155" s="668" t="s">
        <v>41</v>
      </c>
      <c r="G155" s="669" t="s">
        <v>45</v>
      </c>
      <c r="H155" s="669" t="s">
        <v>63</v>
      </c>
      <c r="I155" s="670" t="s">
        <v>531</v>
      </c>
      <c r="J155" s="10" t="s">
        <v>56</v>
      </c>
      <c r="K155" s="24">
        <v>91.9</v>
      </c>
      <c r="L155" s="24">
        <f>M155-K155</f>
        <v>0</v>
      </c>
      <c r="M155" s="24">
        <v>91.9</v>
      </c>
      <c r="N155" s="24">
        <v>91.9</v>
      </c>
    </row>
    <row r="156" spans="1:14" s="116" customFormat="1" ht="18" x14ac:dyDescent="0.35">
      <c r="A156" s="11"/>
      <c r="B156" s="510" t="s">
        <v>119</v>
      </c>
      <c r="C156" s="23" t="s">
        <v>1</v>
      </c>
      <c r="D156" s="10" t="s">
        <v>104</v>
      </c>
      <c r="E156" s="10"/>
      <c r="F156" s="668"/>
      <c r="G156" s="669"/>
      <c r="H156" s="669"/>
      <c r="I156" s="670"/>
      <c r="J156" s="10"/>
      <c r="K156" s="24">
        <f>K157+K163</f>
        <v>2431.1999999999998</v>
      </c>
      <c r="L156" s="24">
        <f>L157+L163</f>
        <v>0</v>
      </c>
      <c r="M156" s="24">
        <f>M157+M163</f>
        <v>2431.1999999999998</v>
      </c>
      <c r="N156" s="24">
        <f>N157+N163</f>
        <v>2431.1999999999998</v>
      </c>
    </row>
    <row r="157" spans="1:14" s="116" customFormat="1" ht="18" x14ac:dyDescent="0.35">
      <c r="A157" s="11"/>
      <c r="B157" s="510" t="s">
        <v>355</v>
      </c>
      <c r="C157" s="23" t="s">
        <v>1</v>
      </c>
      <c r="D157" s="10" t="s">
        <v>104</v>
      </c>
      <c r="E157" s="10" t="s">
        <v>37</v>
      </c>
      <c r="F157" s="668"/>
      <c r="G157" s="669"/>
      <c r="H157" s="669"/>
      <c r="I157" s="670"/>
      <c r="J157" s="10"/>
      <c r="K157" s="24">
        <f t="shared" ref="K157:N161" si="25">K158</f>
        <v>1320</v>
      </c>
      <c r="L157" s="24">
        <f t="shared" si="25"/>
        <v>0</v>
      </c>
      <c r="M157" s="24">
        <f t="shared" si="25"/>
        <v>1320</v>
      </c>
      <c r="N157" s="24">
        <f t="shared" si="25"/>
        <v>1320</v>
      </c>
    </row>
    <row r="158" spans="1:14" s="116" customFormat="1" ht="54" x14ac:dyDescent="0.35">
      <c r="A158" s="11"/>
      <c r="B158" s="562" t="s">
        <v>295</v>
      </c>
      <c r="C158" s="23" t="s">
        <v>1</v>
      </c>
      <c r="D158" s="10" t="s">
        <v>104</v>
      </c>
      <c r="E158" s="10" t="s">
        <v>37</v>
      </c>
      <c r="F158" s="668" t="s">
        <v>79</v>
      </c>
      <c r="G158" s="669" t="s">
        <v>42</v>
      </c>
      <c r="H158" s="669" t="s">
        <v>43</v>
      </c>
      <c r="I158" s="670" t="s">
        <v>44</v>
      </c>
      <c r="J158" s="10"/>
      <c r="K158" s="24">
        <f t="shared" si="25"/>
        <v>1320</v>
      </c>
      <c r="L158" s="24">
        <f t="shared" si="25"/>
        <v>0</v>
      </c>
      <c r="M158" s="24">
        <f t="shared" si="25"/>
        <v>1320</v>
      </c>
      <c r="N158" s="24">
        <f t="shared" si="25"/>
        <v>1320</v>
      </c>
    </row>
    <row r="159" spans="1:14" s="116" customFormat="1" ht="36" x14ac:dyDescent="0.35">
      <c r="A159" s="11"/>
      <c r="B159" s="510" t="s">
        <v>339</v>
      </c>
      <c r="C159" s="23" t="s">
        <v>1</v>
      </c>
      <c r="D159" s="10" t="s">
        <v>104</v>
      </c>
      <c r="E159" s="10" t="s">
        <v>37</v>
      </c>
      <c r="F159" s="668" t="s">
        <v>79</v>
      </c>
      <c r="G159" s="669" t="s">
        <v>45</v>
      </c>
      <c r="H159" s="669" t="s">
        <v>43</v>
      </c>
      <c r="I159" s="670" t="s">
        <v>44</v>
      </c>
      <c r="J159" s="10"/>
      <c r="K159" s="24">
        <f t="shared" si="25"/>
        <v>1320</v>
      </c>
      <c r="L159" s="24">
        <f t="shared" si="25"/>
        <v>0</v>
      </c>
      <c r="M159" s="24">
        <f t="shared" si="25"/>
        <v>1320</v>
      </c>
      <c r="N159" s="24">
        <f t="shared" si="25"/>
        <v>1320</v>
      </c>
    </row>
    <row r="160" spans="1:14" s="116" customFormat="1" ht="90" x14ac:dyDescent="0.35">
      <c r="A160" s="11"/>
      <c r="B160" s="543" t="s">
        <v>448</v>
      </c>
      <c r="C160" s="23" t="s">
        <v>1</v>
      </c>
      <c r="D160" s="10" t="s">
        <v>104</v>
      </c>
      <c r="E160" s="10" t="s">
        <v>37</v>
      </c>
      <c r="F160" s="668" t="s">
        <v>79</v>
      </c>
      <c r="G160" s="669" t="s">
        <v>45</v>
      </c>
      <c r="H160" s="669" t="s">
        <v>52</v>
      </c>
      <c r="I160" s="670" t="s">
        <v>44</v>
      </c>
      <c r="J160" s="10"/>
      <c r="K160" s="24">
        <f t="shared" si="25"/>
        <v>1320</v>
      </c>
      <c r="L160" s="24">
        <f t="shared" si="25"/>
        <v>0</v>
      </c>
      <c r="M160" s="24">
        <f t="shared" si="25"/>
        <v>1320</v>
      </c>
      <c r="N160" s="24">
        <f t="shared" si="25"/>
        <v>1320</v>
      </c>
    </row>
    <row r="161" spans="1:14" s="116" customFormat="1" ht="72" x14ac:dyDescent="0.35">
      <c r="A161" s="11"/>
      <c r="B161" s="543" t="s">
        <v>442</v>
      </c>
      <c r="C161" s="23" t="s">
        <v>1</v>
      </c>
      <c r="D161" s="10" t="s">
        <v>104</v>
      </c>
      <c r="E161" s="10" t="s">
        <v>37</v>
      </c>
      <c r="F161" s="668" t="s">
        <v>79</v>
      </c>
      <c r="G161" s="669" t="s">
        <v>45</v>
      </c>
      <c r="H161" s="669" t="s">
        <v>52</v>
      </c>
      <c r="I161" s="670" t="s">
        <v>356</v>
      </c>
      <c r="J161" s="10"/>
      <c r="K161" s="24">
        <f t="shared" si="25"/>
        <v>1320</v>
      </c>
      <c r="L161" s="24">
        <f t="shared" si="25"/>
        <v>0</v>
      </c>
      <c r="M161" s="24">
        <f t="shared" si="25"/>
        <v>1320</v>
      </c>
      <c r="N161" s="24">
        <f t="shared" si="25"/>
        <v>1320</v>
      </c>
    </row>
    <row r="162" spans="1:14" s="116" customFormat="1" ht="36" x14ac:dyDescent="0.35">
      <c r="A162" s="11"/>
      <c r="B162" s="517" t="s">
        <v>120</v>
      </c>
      <c r="C162" s="23" t="s">
        <v>1</v>
      </c>
      <c r="D162" s="10" t="s">
        <v>104</v>
      </c>
      <c r="E162" s="10" t="s">
        <v>37</v>
      </c>
      <c r="F162" s="668" t="s">
        <v>79</v>
      </c>
      <c r="G162" s="669" t="s">
        <v>45</v>
      </c>
      <c r="H162" s="669" t="s">
        <v>52</v>
      </c>
      <c r="I162" s="670" t="s">
        <v>356</v>
      </c>
      <c r="J162" s="10" t="s">
        <v>121</v>
      </c>
      <c r="K162" s="24">
        <v>1320</v>
      </c>
      <c r="L162" s="24">
        <f>M162-K162</f>
        <v>0</v>
      </c>
      <c r="M162" s="24">
        <v>1320</v>
      </c>
      <c r="N162" s="24">
        <v>1320</v>
      </c>
    </row>
    <row r="163" spans="1:14" s="116" customFormat="1" ht="36" x14ac:dyDescent="0.35">
      <c r="A163" s="11"/>
      <c r="B163" s="510" t="s">
        <v>122</v>
      </c>
      <c r="C163" s="23" t="s">
        <v>1</v>
      </c>
      <c r="D163" s="10" t="s">
        <v>104</v>
      </c>
      <c r="E163" s="10" t="s">
        <v>81</v>
      </c>
      <c r="F163" s="668"/>
      <c r="G163" s="669"/>
      <c r="H163" s="669"/>
      <c r="I163" s="670"/>
      <c r="J163" s="10"/>
      <c r="K163" s="24">
        <f t="shared" ref="K163:M166" si="26">K164</f>
        <v>1111.2</v>
      </c>
      <c r="L163" s="24">
        <f t="shared" si="26"/>
        <v>0</v>
      </c>
      <c r="M163" s="24">
        <f t="shared" si="26"/>
        <v>1111.2</v>
      </c>
      <c r="N163" s="24">
        <f>N164</f>
        <v>1111.2</v>
      </c>
    </row>
    <row r="164" spans="1:14" s="116" customFormat="1" ht="72" x14ac:dyDescent="0.35">
      <c r="A164" s="11"/>
      <c r="B164" s="510" t="s">
        <v>72</v>
      </c>
      <c r="C164" s="23" t="s">
        <v>1</v>
      </c>
      <c r="D164" s="10" t="s">
        <v>104</v>
      </c>
      <c r="E164" s="10" t="s">
        <v>81</v>
      </c>
      <c r="F164" s="668" t="s">
        <v>73</v>
      </c>
      <c r="G164" s="669" t="s">
        <v>42</v>
      </c>
      <c r="H164" s="669" t="s">
        <v>43</v>
      </c>
      <c r="I164" s="670" t="s">
        <v>44</v>
      </c>
      <c r="J164" s="10"/>
      <c r="K164" s="24">
        <f t="shared" si="26"/>
        <v>1111.2</v>
      </c>
      <c r="L164" s="24">
        <f t="shared" si="26"/>
        <v>0</v>
      </c>
      <c r="M164" s="24">
        <f t="shared" si="26"/>
        <v>1111.2</v>
      </c>
      <c r="N164" s="24">
        <f>N165</f>
        <v>1111.2</v>
      </c>
    </row>
    <row r="165" spans="1:14" s="116" customFormat="1" ht="36" x14ac:dyDescent="0.35">
      <c r="A165" s="11"/>
      <c r="B165" s="510" t="s">
        <v>339</v>
      </c>
      <c r="C165" s="23" t="s">
        <v>1</v>
      </c>
      <c r="D165" s="10" t="s">
        <v>104</v>
      </c>
      <c r="E165" s="10" t="s">
        <v>81</v>
      </c>
      <c r="F165" s="668" t="s">
        <v>73</v>
      </c>
      <c r="G165" s="669" t="s">
        <v>45</v>
      </c>
      <c r="H165" s="669" t="s">
        <v>43</v>
      </c>
      <c r="I165" s="670" t="s">
        <v>44</v>
      </c>
      <c r="J165" s="10"/>
      <c r="K165" s="24">
        <f t="shared" si="26"/>
        <v>1111.2</v>
      </c>
      <c r="L165" s="24">
        <f t="shared" si="26"/>
        <v>0</v>
      </c>
      <c r="M165" s="24">
        <f t="shared" si="26"/>
        <v>1111.2</v>
      </c>
      <c r="N165" s="24">
        <f>N166</f>
        <v>1111.2</v>
      </c>
    </row>
    <row r="166" spans="1:14" s="116" customFormat="1" ht="54" x14ac:dyDescent="0.35">
      <c r="A166" s="11"/>
      <c r="B166" s="543" t="s">
        <v>266</v>
      </c>
      <c r="C166" s="23" t="s">
        <v>1</v>
      </c>
      <c r="D166" s="10" t="s">
        <v>104</v>
      </c>
      <c r="E166" s="10" t="s">
        <v>81</v>
      </c>
      <c r="F166" s="668" t="s">
        <v>73</v>
      </c>
      <c r="G166" s="669" t="s">
        <v>45</v>
      </c>
      <c r="H166" s="669" t="s">
        <v>37</v>
      </c>
      <c r="I166" s="670" t="s">
        <v>44</v>
      </c>
      <c r="J166" s="10"/>
      <c r="K166" s="24">
        <f t="shared" si="26"/>
        <v>1111.2</v>
      </c>
      <c r="L166" s="24">
        <f t="shared" si="26"/>
        <v>0</v>
      </c>
      <c r="M166" s="24">
        <f t="shared" si="26"/>
        <v>1111.2</v>
      </c>
      <c r="N166" s="24">
        <f>N167</f>
        <v>1111.2</v>
      </c>
    </row>
    <row r="167" spans="1:14" s="116" customFormat="1" ht="54" x14ac:dyDescent="0.35">
      <c r="A167" s="11"/>
      <c r="B167" s="543" t="s">
        <v>74</v>
      </c>
      <c r="C167" s="23" t="s">
        <v>1</v>
      </c>
      <c r="D167" s="10" t="s">
        <v>104</v>
      </c>
      <c r="E167" s="10" t="s">
        <v>81</v>
      </c>
      <c r="F167" s="668" t="s">
        <v>73</v>
      </c>
      <c r="G167" s="669" t="s">
        <v>45</v>
      </c>
      <c r="H167" s="669" t="s">
        <v>37</v>
      </c>
      <c r="I167" s="670" t="s">
        <v>75</v>
      </c>
      <c r="J167" s="10"/>
      <c r="K167" s="24">
        <f>K168</f>
        <v>1111.2</v>
      </c>
      <c r="L167" s="24">
        <f>L168</f>
        <v>0</v>
      </c>
      <c r="M167" s="24">
        <f>M168</f>
        <v>1111.2</v>
      </c>
      <c r="N167" s="24">
        <f>N168</f>
        <v>1111.2</v>
      </c>
    </row>
    <row r="168" spans="1:14" s="116" customFormat="1" ht="54" x14ac:dyDescent="0.35">
      <c r="A168" s="11"/>
      <c r="B168" s="517" t="s">
        <v>76</v>
      </c>
      <c r="C168" s="23" t="s">
        <v>1</v>
      </c>
      <c r="D168" s="10" t="s">
        <v>104</v>
      </c>
      <c r="E168" s="10" t="s">
        <v>81</v>
      </c>
      <c r="F168" s="668" t="s">
        <v>73</v>
      </c>
      <c r="G168" s="669" t="s">
        <v>45</v>
      </c>
      <c r="H168" s="669" t="s">
        <v>37</v>
      </c>
      <c r="I168" s="670" t="s">
        <v>75</v>
      </c>
      <c r="J168" s="10" t="s">
        <v>77</v>
      </c>
      <c r="K168" s="24">
        <v>1111.2</v>
      </c>
      <c r="L168" s="24">
        <f>M168-K168</f>
        <v>0</v>
      </c>
      <c r="M168" s="24">
        <v>1111.2</v>
      </c>
      <c r="N168" s="24">
        <v>1111.2</v>
      </c>
    </row>
    <row r="169" spans="1:14" s="116" customFormat="1" ht="18" x14ac:dyDescent="0.35">
      <c r="A169" s="11"/>
      <c r="B169" s="517"/>
      <c r="C169" s="23"/>
      <c r="D169" s="10"/>
      <c r="E169" s="10"/>
      <c r="F169" s="668"/>
      <c r="G169" s="669"/>
      <c r="H169" s="669"/>
      <c r="I169" s="670"/>
      <c r="J169" s="10"/>
      <c r="K169" s="24"/>
      <c r="L169" s="24"/>
      <c r="M169" s="24"/>
      <c r="N169" s="24"/>
    </row>
    <row r="170" spans="1:14" ht="52.2" x14ac:dyDescent="0.3">
      <c r="A170" s="115">
        <v>2</v>
      </c>
      <c r="B170" s="557" t="s">
        <v>2</v>
      </c>
      <c r="C170" s="18" t="s">
        <v>302</v>
      </c>
      <c r="D170" s="19"/>
      <c r="E170" s="19"/>
      <c r="F170" s="20"/>
      <c r="G170" s="21"/>
      <c r="H170" s="21"/>
      <c r="I170" s="22"/>
      <c r="J170" s="19"/>
      <c r="K170" s="32">
        <f>K171+K196+K189</f>
        <v>41658.699999999997</v>
      </c>
      <c r="L170" s="32">
        <f>L171+L196+L189</f>
        <v>0</v>
      </c>
      <c r="M170" s="32">
        <f>M171+M196+M189</f>
        <v>41658.699999999997</v>
      </c>
      <c r="N170" s="32">
        <f>N171+N196+N189</f>
        <v>41669.199999999997</v>
      </c>
    </row>
    <row r="171" spans="1:14" s="120" customFormat="1" ht="18" x14ac:dyDescent="0.35">
      <c r="A171" s="11"/>
      <c r="B171" s="510" t="s">
        <v>36</v>
      </c>
      <c r="C171" s="23" t="s">
        <v>302</v>
      </c>
      <c r="D171" s="10" t="s">
        <v>37</v>
      </c>
      <c r="E171" s="10"/>
      <c r="F171" s="668"/>
      <c r="G171" s="669"/>
      <c r="H171" s="669"/>
      <c r="I171" s="670"/>
      <c r="J171" s="10"/>
      <c r="K171" s="24">
        <f>K172+K180</f>
        <v>34059.899999999994</v>
      </c>
      <c r="L171" s="24">
        <f>L172+L180</f>
        <v>0</v>
      </c>
      <c r="M171" s="24">
        <f>M172+M180</f>
        <v>34059.899999999994</v>
      </c>
      <c r="N171" s="24">
        <f>N172+N180</f>
        <v>34070.399999999994</v>
      </c>
    </row>
    <row r="172" spans="1:14" s="121" customFormat="1" ht="54" x14ac:dyDescent="0.35">
      <c r="A172" s="11"/>
      <c r="B172" s="510" t="s">
        <v>129</v>
      </c>
      <c r="C172" s="23" t="s">
        <v>302</v>
      </c>
      <c r="D172" s="10" t="s">
        <v>37</v>
      </c>
      <c r="E172" s="10" t="s">
        <v>81</v>
      </c>
      <c r="F172" s="668"/>
      <c r="G172" s="669"/>
      <c r="H172" s="669"/>
      <c r="I172" s="670"/>
      <c r="J172" s="10"/>
      <c r="K172" s="24">
        <f t="shared" ref="K172:N175" si="27">K173</f>
        <v>31235.499999999996</v>
      </c>
      <c r="L172" s="24">
        <f t="shared" si="27"/>
        <v>0</v>
      </c>
      <c r="M172" s="24">
        <f t="shared" si="27"/>
        <v>31235.499999999996</v>
      </c>
      <c r="N172" s="24">
        <f t="shared" si="27"/>
        <v>31236.199999999997</v>
      </c>
    </row>
    <row r="173" spans="1:14" s="116" customFormat="1" ht="54" x14ac:dyDescent="0.35">
      <c r="A173" s="11"/>
      <c r="B173" s="510" t="s">
        <v>223</v>
      </c>
      <c r="C173" s="23" t="s">
        <v>302</v>
      </c>
      <c r="D173" s="10" t="s">
        <v>37</v>
      </c>
      <c r="E173" s="10" t="s">
        <v>81</v>
      </c>
      <c r="F173" s="668" t="s">
        <v>224</v>
      </c>
      <c r="G173" s="669" t="s">
        <v>42</v>
      </c>
      <c r="H173" s="669" t="s">
        <v>43</v>
      </c>
      <c r="I173" s="670" t="s">
        <v>44</v>
      </c>
      <c r="J173" s="10"/>
      <c r="K173" s="24">
        <f t="shared" si="27"/>
        <v>31235.499999999996</v>
      </c>
      <c r="L173" s="24">
        <f t="shared" si="27"/>
        <v>0</v>
      </c>
      <c r="M173" s="24">
        <f t="shared" si="27"/>
        <v>31235.499999999996</v>
      </c>
      <c r="N173" s="24">
        <f t="shared" si="27"/>
        <v>31236.199999999997</v>
      </c>
    </row>
    <row r="174" spans="1:14" s="116" customFormat="1" ht="36" x14ac:dyDescent="0.35">
      <c r="A174" s="11"/>
      <c r="B174" s="510" t="s">
        <v>339</v>
      </c>
      <c r="C174" s="23" t="s">
        <v>302</v>
      </c>
      <c r="D174" s="10" t="s">
        <v>37</v>
      </c>
      <c r="E174" s="10" t="s">
        <v>81</v>
      </c>
      <c r="F174" s="25" t="s">
        <v>224</v>
      </c>
      <c r="G174" s="26" t="s">
        <v>45</v>
      </c>
      <c r="H174" s="669" t="s">
        <v>43</v>
      </c>
      <c r="I174" s="670" t="s">
        <v>44</v>
      </c>
      <c r="J174" s="10"/>
      <c r="K174" s="24">
        <f>K175</f>
        <v>31235.499999999996</v>
      </c>
      <c r="L174" s="24">
        <f>L175</f>
        <v>0</v>
      </c>
      <c r="M174" s="24">
        <f>M175</f>
        <v>31235.499999999996</v>
      </c>
      <c r="N174" s="24">
        <f>N175</f>
        <v>31236.199999999997</v>
      </c>
    </row>
    <row r="175" spans="1:14" s="116" customFormat="1" ht="54" x14ac:dyDescent="0.35">
      <c r="A175" s="11"/>
      <c r="B175" s="510" t="s">
        <v>303</v>
      </c>
      <c r="C175" s="23" t="s">
        <v>302</v>
      </c>
      <c r="D175" s="10" t="s">
        <v>37</v>
      </c>
      <c r="E175" s="10" t="s">
        <v>81</v>
      </c>
      <c r="F175" s="25" t="s">
        <v>224</v>
      </c>
      <c r="G175" s="26" t="s">
        <v>45</v>
      </c>
      <c r="H175" s="669" t="s">
        <v>37</v>
      </c>
      <c r="I175" s="670" t="s">
        <v>44</v>
      </c>
      <c r="J175" s="10"/>
      <c r="K175" s="24">
        <f t="shared" si="27"/>
        <v>31235.499999999996</v>
      </c>
      <c r="L175" s="24">
        <f t="shared" si="27"/>
        <v>0</v>
      </c>
      <c r="M175" s="24">
        <f t="shared" si="27"/>
        <v>31235.499999999996</v>
      </c>
      <c r="N175" s="24">
        <f t="shared" si="27"/>
        <v>31236.199999999997</v>
      </c>
    </row>
    <row r="176" spans="1:14" s="116" customFormat="1" ht="36" x14ac:dyDescent="0.35">
      <c r="A176" s="11"/>
      <c r="B176" s="510" t="s">
        <v>47</v>
      </c>
      <c r="C176" s="23" t="s">
        <v>302</v>
      </c>
      <c r="D176" s="10" t="s">
        <v>37</v>
      </c>
      <c r="E176" s="10" t="s">
        <v>81</v>
      </c>
      <c r="F176" s="25" t="s">
        <v>224</v>
      </c>
      <c r="G176" s="26" t="s">
        <v>45</v>
      </c>
      <c r="H176" s="669" t="s">
        <v>37</v>
      </c>
      <c r="I176" s="670" t="s">
        <v>48</v>
      </c>
      <c r="J176" s="10"/>
      <c r="K176" s="24">
        <f>SUM(K177:K179)</f>
        <v>31235.499999999996</v>
      </c>
      <c r="L176" s="24">
        <f>SUM(L177:L179)</f>
        <v>0</v>
      </c>
      <c r="M176" s="24">
        <f>SUM(M177:M179)</f>
        <v>31235.499999999996</v>
      </c>
      <c r="N176" s="24">
        <f>SUM(N177:N179)</f>
        <v>31236.199999999997</v>
      </c>
    </row>
    <row r="177" spans="1:14" s="116" customFormat="1" ht="108" x14ac:dyDescent="0.35">
      <c r="A177" s="11"/>
      <c r="B177" s="510" t="s">
        <v>49</v>
      </c>
      <c r="C177" s="23" t="s">
        <v>302</v>
      </c>
      <c r="D177" s="10" t="s">
        <v>37</v>
      </c>
      <c r="E177" s="10" t="s">
        <v>81</v>
      </c>
      <c r="F177" s="25" t="s">
        <v>224</v>
      </c>
      <c r="G177" s="26" t="s">
        <v>45</v>
      </c>
      <c r="H177" s="669" t="s">
        <v>37</v>
      </c>
      <c r="I177" s="670" t="s">
        <v>48</v>
      </c>
      <c r="J177" s="10" t="s">
        <v>50</v>
      </c>
      <c r="K177" s="24">
        <v>30515.599999999999</v>
      </c>
      <c r="L177" s="24">
        <f>M177-K177</f>
        <v>0</v>
      </c>
      <c r="M177" s="24">
        <v>30515.599999999999</v>
      </c>
      <c r="N177" s="24">
        <v>30515.599999999999</v>
      </c>
    </row>
    <row r="178" spans="1:14" s="116" customFormat="1" ht="54" x14ac:dyDescent="0.35">
      <c r="A178" s="11"/>
      <c r="B178" s="510" t="s">
        <v>55</v>
      </c>
      <c r="C178" s="23" t="s">
        <v>302</v>
      </c>
      <c r="D178" s="10" t="s">
        <v>37</v>
      </c>
      <c r="E178" s="10" t="s">
        <v>81</v>
      </c>
      <c r="F178" s="25" t="s">
        <v>224</v>
      </c>
      <c r="G178" s="26" t="s">
        <v>45</v>
      </c>
      <c r="H178" s="669" t="s">
        <v>37</v>
      </c>
      <c r="I178" s="670" t="s">
        <v>48</v>
      </c>
      <c r="J178" s="10" t="s">
        <v>56</v>
      </c>
      <c r="K178" s="24">
        <v>715.3</v>
      </c>
      <c r="L178" s="24">
        <f>M178-K178</f>
        <v>0</v>
      </c>
      <c r="M178" s="24">
        <v>715.3</v>
      </c>
      <c r="N178" s="24">
        <v>716.1</v>
      </c>
    </row>
    <row r="179" spans="1:14" s="121" customFormat="1" ht="18" x14ac:dyDescent="0.35">
      <c r="A179" s="11"/>
      <c r="B179" s="510" t="s">
        <v>57</v>
      </c>
      <c r="C179" s="23" t="s">
        <v>302</v>
      </c>
      <c r="D179" s="10" t="s">
        <v>37</v>
      </c>
      <c r="E179" s="10" t="s">
        <v>81</v>
      </c>
      <c r="F179" s="25" t="s">
        <v>224</v>
      </c>
      <c r="G179" s="26" t="s">
        <v>45</v>
      </c>
      <c r="H179" s="669" t="s">
        <v>37</v>
      </c>
      <c r="I179" s="670" t="s">
        <v>48</v>
      </c>
      <c r="J179" s="10" t="s">
        <v>58</v>
      </c>
      <c r="K179" s="24">
        <v>4.5999999999999996</v>
      </c>
      <c r="L179" s="24">
        <f>M179-K179</f>
        <v>0</v>
      </c>
      <c r="M179" s="24">
        <v>4.5999999999999996</v>
      </c>
      <c r="N179" s="24">
        <v>4.5</v>
      </c>
    </row>
    <row r="180" spans="1:14" s="121" customFormat="1" ht="18" x14ac:dyDescent="0.35">
      <c r="A180" s="11"/>
      <c r="B180" s="510" t="s">
        <v>70</v>
      </c>
      <c r="C180" s="23" t="s">
        <v>302</v>
      </c>
      <c r="D180" s="10" t="s">
        <v>37</v>
      </c>
      <c r="E180" s="10" t="s">
        <v>71</v>
      </c>
      <c r="F180" s="25"/>
      <c r="G180" s="26"/>
      <c r="H180" s="669"/>
      <c r="I180" s="670"/>
      <c r="J180" s="10"/>
      <c r="K180" s="24">
        <f t="shared" ref="K180:N181" si="28">K181</f>
        <v>2824.3999999999996</v>
      </c>
      <c r="L180" s="24">
        <f t="shared" si="28"/>
        <v>0</v>
      </c>
      <c r="M180" s="24">
        <f t="shared" si="28"/>
        <v>2824.3999999999996</v>
      </c>
      <c r="N180" s="24">
        <f t="shared" si="28"/>
        <v>2834.2</v>
      </c>
    </row>
    <row r="181" spans="1:14" s="121" customFormat="1" ht="54" x14ac:dyDescent="0.35">
      <c r="A181" s="11"/>
      <c r="B181" s="510" t="s">
        <v>223</v>
      </c>
      <c r="C181" s="23" t="s">
        <v>302</v>
      </c>
      <c r="D181" s="10" t="s">
        <v>37</v>
      </c>
      <c r="E181" s="10" t="s">
        <v>71</v>
      </c>
      <c r="F181" s="25" t="s">
        <v>224</v>
      </c>
      <c r="G181" s="26" t="s">
        <v>42</v>
      </c>
      <c r="H181" s="669" t="s">
        <v>43</v>
      </c>
      <c r="I181" s="670" t="s">
        <v>44</v>
      </c>
      <c r="J181" s="10"/>
      <c r="K181" s="24">
        <f t="shared" si="28"/>
        <v>2824.3999999999996</v>
      </c>
      <c r="L181" s="24">
        <f t="shared" si="28"/>
        <v>0</v>
      </c>
      <c r="M181" s="24">
        <f t="shared" si="28"/>
        <v>2824.3999999999996</v>
      </c>
      <c r="N181" s="24">
        <f t="shared" si="28"/>
        <v>2834.2</v>
      </c>
    </row>
    <row r="182" spans="1:14" s="121" customFormat="1" ht="36" x14ac:dyDescent="0.35">
      <c r="A182" s="11"/>
      <c r="B182" s="510" t="s">
        <v>339</v>
      </c>
      <c r="C182" s="23" t="s">
        <v>302</v>
      </c>
      <c r="D182" s="10" t="s">
        <v>37</v>
      </c>
      <c r="E182" s="10" t="s">
        <v>71</v>
      </c>
      <c r="F182" s="25" t="s">
        <v>224</v>
      </c>
      <c r="G182" s="26" t="s">
        <v>45</v>
      </c>
      <c r="H182" s="669" t="s">
        <v>43</v>
      </c>
      <c r="I182" s="670" t="s">
        <v>44</v>
      </c>
      <c r="J182" s="10"/>
      <c r="K182" s="24">
        <f>K183+K186</f>
        <v>2824.3999999999996</v>
      </c>
      <c r="L182" s="24">
        <f>L183+L186</f>
        <v>0</v>
      </c>
      <c r="M182" s="24">
        <f>M183+M186</f>
        <v>2824.3999999999996</v>
      </c>
      <c r="N182" s="24">
        <f>N183+N186</f>
        <v>2834.2</v>
      </c>
    </row>
    <row r="183" spans="1:14" s="121" customFormat="1" ht="36" x14ac:dyDescent="0.35">
      <c r="A183" s="11"/>
      <c r="B183" s="510" t="s">
        <v>351</v>
      </c>
      <c r="C183" s="23" t="s">
        <v>302</v>
      </c>
      <c r="D183" s="10" t="s">
        <v>37</v>
      </c>
      <c r="E183" s="10" t="s">
        <v>71</v>
      </c>
      <c r="F183" s="25" t="s">
        <v>224</v>
      </c>
      <c r="G183" s="26" t="s">
        <v>45</v>
      </c>
      <c r="H183" s="669" t="s">
        <v>63</v>
      </c>
      <c r="I183" s="670" t="s">
        <v>44</v>
      </c>
      <c r="J183" s="10"/>
      <c r="K183" s="24">
        <f t="shared" ref="K183:N184" si="29">K184</f>
        <v>2807.2</v>
      </c>
      <c r="L183" s="24">
        <f t="shared" si="29"/>
        <v>0</v>
      </c>
      <c r="M183" s="24">
        <f t="shared" si="29"/>
        <v>2807.2</v>
      </c>
      <c r="N183" s="24">
        <f t="shared" si="29"/>
        <v>2817</v>
      </c>
    </row>
    <row r="184" spans="1:14" s="121" customFormat="1" ht="54" x14ac:dyDescent="0.35">
      <c r="A184" s="11"/>
      <c r="B184" s="510" t="s">
        <v>352</v>
      </c>
      <c r="C184" s="23" t="s">
        <v>302</v>
      </c>
      <c r="D184" s="10" t="s">
        <v>37</v>
      </c>
      <c r="E184" s="10" t="s">
        <v>71</v>
      </c>
      <c r="F184" s="25" t="s">
        <v>224</v>
      </c>
      <c r="G184" s="26" t="s">
        <v>45</v>
      </c>
      <c r="H184" s="669" t="s">
        <v>63</v>
      </c>
      <c r="I184" s="670" t="s">
        <v>105</v>
      </c>
      <c r="J184" s="10"/>
      <c r="K184" s="24">
        <f t="shared" si="29"/>
        <v>2807.2</v>
      </c>
      <c r="L184" s="24">
        <f t="shared" si="29"/>
        <v>0</v>
      </c>
      <c r="M184" s="24">
        <f t="shared" si="29"/>
        <v>2807.2</v>
      </c>
      <c r="N184" s="24">
        <f t="shared" si="29"/>
        <v>2817</v>
      </c>
    </row>
    <row r="185" spans="1:14" s="121" customFormat="1" ht="54" x14ac:dyDescent="0.35">
      <c r="A185" s="11"/>
      <c r="B185" s="510" t="s">
        <v>55</v>
      </c>
      <c r="C185" s="23" t="s">
        <v>302</v>
      </c>
      <c r="D185" s="10" t="s">
        <v>37</v>
      </c>
      <c r="E185" s="10" t="s">
        <v>71</v>
      </c>
      <c r="F185" s="25" t="s">
        <v>224</v>
      </c>
      <c r="G185" s="26" t="s">
        <v>45</v>
      </c>
      <c r="H185" s="669" t="s">
        <v>63</v>
      </c>
      <c r="I185" s="670" t="s">
        <v>105</v>
      </c>
      <c r="J185" s="10" t="s">
        <v>56</v>
      </c>
      <c r="K185" s="24">
        <v>2807.2</v>
      </c>
      <c r="L185" s="24">
        <f>M185-K185</f>
        <v>0</v>
      </c>
      <c r="M185" s="24">
        <v>2807.2</v>
      </c>
      <c r="N185" s="24">
        <v>2817</v>
      </c>
    </row>
    <row r="186" spans="1:14" s="121" customFormat="1" ht="36" x14ac:dyDescent="0.35">
      <c r="A186" s="11"/>
      <c r="B186" s="510" t="s">
        <v>468</v>
      </c>
      <c r="C186" s="23" t="s">
        <v>302</v>
      </c>
      <c r="D186" s="10" t="s">
        <v>37</v>
      </c>
      <c r="E186" s="10" t="s">
        <v>71</v>
      </c>
      <c r="F186" s="25" t="s">
        <v>224</v>
      </c>
      <c r="G186" s="26" t="s">
        <v>45</v>
      </c>
      <c r="H186" s="669" t="s">
        <v>65</v>
      </c>
      <c r="I186" s="670" t="s">
        <v>44</v>
      </c>
      <c r="J186" s="10"/>
      <c r="K186" s="24">
        <f t="shared" ref="K186:N187" si="30">K187</f>
        <v>17.2</v>
      </c>
      <c r="L186" s="24">
        <f t="shared" si="30"/>
        <v>0</v>
      </c>
      <c r="M186" s="24">
        <f t="shared" si="30"/>
        <v>17.2</v>
      </c>
      <c r="N186" s="24">
        <f t="shared" si="30"/>
        <v>17.2</v>
      </c>
    </row>
    <row r="187" spans="1:14" s="121" customFormat="1" ht="18" x14ac:dyDescent="0.35">
      <c r="A187" s="11"/>
      <c r="B187" s="510" t="s">
        <v>466</v>
      </c>
      <c r="C187" s="23" t="s">
        <v>302</v>
      </c>
      <c r="D187" s="10" t="s">
        <v>37</v>
      </c>
      <c r="E187" s="10" t="s">
        <v>71</v>
      </c>
      <c r="F187" s="25" t="s">
        <v>224</v>
      </c>
      <c r="G187" s="26" t="s">
        <v>45</v>
      </c>
      <c r="H187" s="669" t="s">
        <v>65</v>
      </c>
      <c r="I187" s="670" t="s">
        <v>467</v>
      </c>
      <c r="J187" s="10"/>
      <c r="K187" s="24">
        <f t="shared" si="30"/>
        <v>17.2</v>
      </c>
      <c r="L187" s="24">
        <f t="shared" si="30"/>
        <v>0</v>
      </c>
      <c r="M187" s="24">
        <f t="shared" si="30"/>
        <v>17.2</v>
      </c>
      <c r="N187" s="24">
        <f t="shared" si="30"/>
        <v>17.2</v>
      </c>
    </row>
    <row r="188" spans="1:14" s="121" customFormat="1" ht="54" x14ac:dyDescent="0.35">
      <c r="A188" s="11"/>
      <c r="B188" s="510" t="s">
        <v>55</v>
      </c>
      <c r="C188" s="23" t="s">
        <v>302</v>
      </c>
      <c r="D188" s="10" t="s">
        <v>37</v>
      </c>
      <c r="E188" s="10" t="s">
        <v>71</v>
      </c>
      <c r="F188" s="25" t="s">
        <v>224</v>
      </c>
      <c r="G188" s="26" t="s">
        <v>45</v>
      </c>
      <c r="H188" s="669" t="s">
        <v>65</v>
      </c>
      <c r="I188" s="670" t="s">
        <v>467</v>
      </c>
      <c r="J188" s="10" t="s">
        <v>56</v>
      </c>
      <c r="K188" s="24">
        <v>17.2</v>
      </c>
      <c r="L188" s="24">
        <f>M188-K188</f>
        <v>0</v>
      </c>
      <c r="M188" s="24">
        <v>17.2</v>
      </c>
      <c r="N188" s="24">
        <v>17.2</v>
      </c>
    </row>
    <row r="189" spans="1:14" s="121" customFormat="1" ht="18" x14ac:dyDescent="0.35">
      <c r="A189" s="11"/>
      <c r="B189" s="510" t="s">
        <v>179</v>
      </c>
      <c r="C189" s="23" t="s">
        <v>302</v>
      </c>
      <c r="D189" s="10" t="s">
        <v>224</v>
      </c>
      <c r="E189" s="10"/>
      <c r="F189" s="25"/>
      <c r="G189" s="26"/>
      <c r="H189" s="669"/>
      <c r="I189" s="670"/>
      <c r="J189" s="10"/>
      <c r="K189" s="24">
        <f t="shared" ref="K189:N194" si="31">K190</f>
        <v>98.8</v>
      </c>
      <c r="L189" s="24">
        <f t="shared" si="31"/>
        <v>0</v>
      </c>
      <c r="M189" s="24">
        <f t="shared" si="31"/>
        <v>98.8</v>
      </c>
      <c r="N189" s="24">
        <f t="shared" si="31"/>
        <v>98.8</v>
      </c>
    </row>
    <row r="190" spans="1:14" s="121" customFormat="1" ht="36" x14ac:dyDescent="0.35">
      <c r="A190" s="11"/>
      <c r="B190" s="510" t="s">
        <v>530</v>
      </c>
      <c r="C190" s="23" t="s">
        <v>302</v>
      </c>
      <c r="D190" s="10" t="s">
        <v>224</v>
      </c>
      <c r="E190" s="10" t="s">
        <v>65</v>
      </c>
      <c r="F190" s="25"/>
      <c r="G190" s="26"/>
      <c r="H190" s="669"/>
      <c r="I190" s="670"/>
      <c r="J190" s="10"/>
      <c r="K190" s="24">
        <f t="shared" si="31"/>
        <v>98.8</v>
      </c>
      <c r="L190" s="24">
        <f t="shared" si="31"/>
        <v>0</v>
      </c>
      <c r="M190" s="24">
        <f t="shared" si="31"/>
        <v>98.8</v>
      </c>
      <c r="N190" s="24">
        <f t="shared" si="31"/>
        <v>98.8</v>
      </c>
    </row>
    <row r="191" spans="1:14" s="121" customFormat="1" ht="54" x14ac:dyDescent="0.35">
      <c r="A191" s="11"/>
      <c r="B191" s="510" t="s">
        <v>223</v>
      </c>
      <c r="C191" s="23" t="s">
        <v>302</v>
      </c>
      <c r="D191" s="10" t="s">
        <v>224</v>
      </c>
      <c r="E191" s="10" t="s">
        <v>65</v>
      </c>
      <c r="F191" s="25" t="s">
        <v>224</v>
      </c>
      <c r="G191" s="26" t="s">
        <v>42</v>
      </c>
      <c r="H191" s="669" t="s">
        <v>43</v>
      </c>
      <c r="I191" s="670" t="s">
        <v>44</v>
      </c>
      <c r="J191" s="10"/>
      <c r="K191" s="24">
        <f t="shared" si="31"/>
        <v>98.8</v>
      </c>
      <c r="L191" s="24">
        <f t="shared" si="31"/>
        <v>0</v>
      </c>
      <c r="M191" s="24">
        <f t="shared" si="31"/>
        <v>98.8</v>
      </c>
      <c r="N191" s="24">
        <f t="shared" si="31"/>
        <v>98.8</v>
      </c>
    </row>
    <row r="192" spans="1:14" s="121" customFormat="1" ht="36" x14ac:dyDescent="0.35">
      <c r="A192" s="11"/>
      <c r="B192" s="510" t="s">
        <v>339</v>
      </c>
      <c r="C192" s="23" t="s">
        <v>302</v>
      </c>
      <c r="D192" s="10" t="s">
        <v>224</v>
      </c>
      <c r="E192" s="10" t="s">
        <v>65</v>
      </c>
      <c r="F192" s="25" t="s">
        <v>224</v>
      </c>
      <c r="G192" s="26" t="s">
        <v>45</v>
      </c>
      <c r="H192" s="669" t="s">
        <v>43</v>
      </c>
      <c r="I192" s="670" t="s">
        <v>44</v>
      </c>
      <c r="J192" s="10"/>
      <c r="K192" s="24">
        <f t="shared" si="31"/>
        <v>98.8</v>
      </c>
      <c r="L192" s="24">
        <f t="shared" si="31"/>
        <v>0</v>
      </c>
      <c r="M192" s="24">
        <f t="shared" si="31"/>
        <v>98.8</v>
      </c>
      <c r="N192" s="24">
        <f t="shared" si="31"/>
        <v>98.8</v>
      </c>
    </row>
    <row r="193" spans="1:14" s="121" customFormat="1" ht="54" x14ac:dyDescent="0.35">
      <c r="A193" s="11"/>
      <c r="B193" s="510" t="s">
        <v>303</v>
      </c>
      <c r="C193" s="23" t="s">
        <v>302</v>
      </c>
      <c r="D193" s="10" t="s">
        <v>224</v>
      </c>
      <c r="E193" s="10" t="s">
        <v>65</v>
      </c>
      <c r="F193" s="25" t="s">
        <v>224</v>
      </c>
      <c r="G193" s="26" t="s">
        <v>45</v>
      </c>
      <c r="H193" s="669" t="s">
        <v>37</v>
      </c>
      <c r="I193" s="670" t="s">
        <v>44</v>
      </c>
      <c r="J193" s="10"/>
      <c r="K193" s="24">
        <f t="shared" si="31"/>
        <v>98.8</v>
      </c>
      <c r="L193" s="24">
        <f t="shared" si="31"/>
        <v>0</v>
      </c>
      <c r="M193" s="24">
        <f t="shared" si="31"/>
        <v>98.8</v>
      </c>
      <c r="N193" s="24">
        <f t="shared" si="31"/>
        <v>98.8</v>
      </c>
    </row>
    <row r="194" spans="1:14" s="121" customFormat="1" ht="36" x14ac:dyDescent="0.35">
      <c r="A194" s="11"/>
      <c r="B194" s="510" t="s">
        <v>532</v>
      </c>
      <c r="C194" s="23" t="s">
        <v>302</v>
      </c>
      <c r="D194" s="10" t="s">
        <v>224</v>
      </c>
      <c r="E194" s="10" t="s">
        <v>65</v>
      </c>
      <c r="F194" s="25" t="s">
        <v>224</v>
      </c>
      <c r="G194" s="26" t="s">
        <v>45</v>
      </c>
      <c r="H194" s="669" t="s">
        <v>37</v>
      </c>
      <c r="I194" s="670" t="s">
        <v>531</v>
      </c>
      <c r="J194" s="10"/>
      <c r="K194" s="24">
        <f t="shared" si="31"/>
        <v>98.8</v>
      </c>
      <c r="L194" s="24">
        <f t="shared" si="31"/>
        <v>0</v>
      </c>
      <c r="M194" s="24">
        <f t="shared" si="31"/>
        <v>98.8</v>
      </c>
      <c r="N194" s="24">
        <f t="shared" si="31"/>
        <v>98.8</v>
      </c>
    </row>
    <row r="195" spans="1:14" s="121" customFormat="1" ht="54" x14ac:dyDescent="0.35">
      <c r="A195" s="11"/>
      <c r="B195" s="510" t="s">
        <v>55</v>
      </c>
      <c r="C195" s="23" t="s">
        <v>302</v>
      </c>
      <c r="D195" s="10" t="s">
        <v>224</v>
      </c>
      <c r="E195" s="10" t="s">
        <v>65</v>
      </c>
      <c r="F195" s="25" t="s">
        <v>224</v>
      </c>
      <c r="G195" s="26" t="s">
        <v>45</v>
      </c>
      <c r="H195" s="669" t="s">
        <v>37</v>
      </c>
      <c r="I195" s="670" t="s">
        <v>531</v>
      </c>
      <c r="J195" s="10" t="s">
        <v>56</v>
      </c>
      <c r="K195" s="24">
        <v>98.8</v>
      </c>
      <c r="L195" s="24">
        <f>M195-K195</f>
        <v>0</v>
      </c>
      <c r="M195" s="24">
        <v>98.8</v>
      </c>
      <c r="N195" s="24">
        <v>98.8</v>
      </c>
    </row>
    <row r="196" spans="1:14" s="121" customFormat="1" ht="54" x14ac:dyDescent="0.35">
      <c r="A196" s="11"/>
      <c r="B196" s="510" t="s">
        <v>200</v>
      </c>
      <c r="C196" s="23" t="s">
        <v>302</v>
      </c>
      <c r="D196" s="10" t="s">
        <v>88</v>
      </c>
      <c r="E196" s="10"/>
      <c r="F196" s="25"/>
      <c r="G196" s="26"/>
      <c r="H196" s="669"/>
      <c r="I196" s="670"/>
      <c r="J196" s="10"/>
      <c r="K196" s="24">
        <f t="shared" ref="K196:N199" si="32">K197</f>
        <v>7500</v>
      </c>
      <c r="L196" s="24">
        <f t="shared" si="32"/>
        <v>0</v>
      </c>
      <c r="M196" s="24">
        <f t="shared" si="32"/>
        <v>7500</v>
      </c>
      <c r="N196" s="24">
        <f t="shared" si="32"/>
        <v>7500</v>
      </c>
    </row>
    <row r="197" spans="1:14" s="121" customFormat="1" ht="54" x14ac:dyDescent="0.35">
      <c r="A197" s="11"/>
      <c r="B197" s="560" t="s">
        <v>201</v>
      </c>
      <c r="C197" s="23" t="s">
        <v>302</v>
      </c>
      <c r="D197" s="10" t="s">
        <v>88</v>
      </c>
      <c r="E197" s="10" t="s">
        <v>37</v>
      </c>
      <c r="F197" s="25"/>
      <c r="G197" s="26"/>
      <c r="H197" s="669"/>
      <c r="I197" s="670"/>
      <c r="J197" s="10"/>
      <c r="K197" s="24">
        <f t="shared" si="32"/>
        <v>7500</v>
      </c>
      <c r="L197" s="24">
        <f t="shared" si="32"/>
        <v>0</v>
      </c>
      <c r="M197" s="24">
        <f t="shared" si="32"/>
        <v>7500</v>
      </c>
      <c r="N197" s="24">
        <f t="shared" si="32"/>
        <v>7500</v>
      </c>
    </row>
    <row r="198" spans="1:14" s="121" customFormat="1" ht="54" x14ac:dyDescent="0.35">
      <c r="A198" s="11"/>
      <c r="B198" s="510" t="s">
        <v>223</v>
      </c>
      <c r="C198" s="23" t="s">
        <v>302</v>
      </c>
      <c r="D198" s="10" t="s">
        <v>88</v>
      </c>
      <c r="E198" s="10" t="s">
        <v>37</v>
      </c>
      <c r="F198" s="25" t="s">
        <v>224</v>
      </c>
      <c r="G198" s="26" t="s">
        <v>42</v>
      </c>
      <c r="H198" s="669" t="s">
        <v>43</v>
      </c>
      <c r="I198" s="670" t="s">
        <v>44</v>
      </c>
      <c r="J198" s="10"/>
      <c r="K198" s="24">
        <f t="shared" si="32"/>
        <v>7500</v>
      </c>
      <c r="L198" s="24">
        <f t="shared" si="32"/>
        <v>0</v>
      </c>
      <c r="M198" s="24">
        <f t="shared" si="32"/>
        <v>7500</v>
      </c>
      <c r="N198" s="24">
        <f t="shared" si="32"/>
        <v>7500</v>
      </c>
    </row>
    <row r="199" spans="1:14" s="121" customFormat="1" ht="36" x14ac:dyDescent="0.35">
      <c r="A199" s="11"/>
      <c r="B199" s="510" t="s">
        <v>339</v>
      </c>
      <c r="C199" s="23" t="s">
        <v>302</v>
      </c>
      <c r="D199" s="10" t="s">
        <v>88</v>
      </c>
      <c r="E199" s="10" t="s">
        <v>37</v>
      </c>
      <c r="F199" s="25" t="s">
        <v>224</v>
      </c>
      <c r="G199" s="26" t="s">
        <v>45</v>
      </c>
      <c r="H199" s="669" t="s">
        <v>43</v>
      </c>
      <c r="I199" s="670" t="s">
        <v>44</v>
      </c>
      <c r="J199" s="10"/>
      <c r="K199" s="24">
        <f t="shared" si="32"/>
        <v>7500</v>
      </c>
      <c r="L199" s="24">
        <f t="shared" si="32"/>
        <v>0</v>
      </c>
      <c r="M199" s="24">
        <f t="shared" si="32"/>
        <v>7500</v>
      </c>
      <c r="N199" s="24">
        <f t="shared" si="32"/>
        <v>7500</v>
      </c>
    </row>
    <row r="200" spans="1:14" s="121" customFormat="1" ht="36" x14ac:dyDescent="0.35">
      <c r="A200" s="11"/>
      <c r="B200" s="510" t="s">
        <v>304</v>
      </c>
      <c r="C200" s="23" t="s">
        <v>302</v>
      </c>
      <c r="D200" s="10" t="s">
        <v>88</v>
      </c>
      <c r="E200" s="10" t="s">
        <v>37</v>
      </c>
      <c r="F200" s="25" t="s">
        <v>224</v>
      </c>
      <c r="G200" s="26" t="s">
        <v>45</v>
      </c>
      <c r="H200" s="669" t="s">
        <v>39</v>
      </c>
      <c r="I200" s="670" t="s">
        <v>44</v>
      </c>
      <c r="J200" s="10"/>
      <c r="K200" s="24">
        <f t="shared" ref="K200:N201" si="33">K201</f>
        <v>7500</v>
      </c>
      <c r="L200" s="24">
        <f t="shared" si="33"/>
        <v>0</v>
      </c>
      <c r="M200" s="24">
        <f t="shared" si="33"/>
        <v>7500</v>
      </c>
      <c r="N200" s="24">
        <f t="shared" si="33"/>
        <v>7500</v>
      </c>
    </row>
    <row r="201" spans="1:14" s="121" customFormat="1" ht="36" x14ac:dyDescent="0.35">
      <c r="A201" s="11"/>
      <c r="B201" s="510" t="s">
        <v>258</v>
      </c>
      <c r="C201" s="23" t="s">
        <v>302</v>
      </c>
      <c r="D201" s="10" t="s">
        <v>88</v>
      </c>
      <c r="E201" s="10" t="s">
        <v>37</v>
      </c>
      <c r="F201" s="25" t="s">
        <v>224</v>
      </c>
      <c r="G201" s="26" t="s">
        <v>45</v>
      </c>
      <c r="H201" s="669" t="s">
        <v>39</v>
      </c>
      <c r="I201" s="670" t="s">
        <v>404</v>
      </c>
      <c r="J201" s="10"/>
      <c r="K201" s="24">
        <f t="shared" si="33"/>
        <v>7500</v>
      </c>
      <c r="L201" s="24">
        <f t="shared" si="33"/>
        <v>0</v>
      </c>
      <c r="M201" s="24">
        <f t="shared" si="33"/>
        <v>7500</v>
      </c>
      <c r="N201" s="24">
        <f t="shared" si="33"/>
        <v>7500</v>
      </c>
    </row>
    <row r="202" spans="1:14" s="121" customFormat="1" ht="18" x14ac:dyDescent="0.35">
      <c r="A202" s="11"/>
      <c r="B202" s="510" t="s">
        <v>123</v>
      </c>
      <c r="C202" s="23" t="s">
        <v>302</v>
      </c>
      <c r="D202" s="10" t="s">
        <v>88</v>
      </c>
      <c r="E202" s="10" t="s">
        <v>37</v>
      </c>
      <c r="F202" s="25" t="s">
        <v>224</v>
      </c>
      <c r="G202" s="26" t="s">
        <v>45</v>
      </c>
      <c r="H202" s="669" t="s">
        <v>39</v>
      </c>
      <c r="I202" s="670" t="s">
        <v>404</v>
      </c>
      <c r="J202" s="10" t="s">
        <v>124</v>
      </c>
      <c r="K202" s="24">
        <v>7500</v>
      </c>
      <c r="L202" s="24">
        <f>M202-K202</f>
        <v>0</v>
      </c>
      <c r="M202" s="24">
        <v>7500</v>
      </c>
      <c r="N202" s="24">
        <v>7500</v>
      </c>
    </row>
    <row r="203" spans="1:14" s="121" customFormat="1" ht="18" x14ac:dyDescent="0.35">
      <c r="A203" s="11"/>
      <c r="B203" s="510"/>
      <c r="C203" s="23"/>
      <c r="D203" s="10"/>
      <c r="E203" s="10"/>
      <c r="F203" s="25"/>
      <c r="G203" s="26"/>
      <c r="H203" s="669"/>
      <c r="I203" s="670"/>
      <c r="J203" s="10"/>
      <c r="K203" s="24"/>
      <c r="L203" s="24"/>
      <c r="M203" s="24"/>
      <c r="N203" s="24"/>
    </row>
    <row r="204" spans="1:14" s="122" customFormat="1" ht="52.2" x14ac:dyDescent="0.3">
      <c r="A204" s="115">
        <v>3</v>
      </c>
      <c r="B204" s="557" t="s">
        <v>35</v>
      </c>
      <c r="C204" s="18" t="s">
        <v>128</v>
      </c>
      <c r="D204" s="19"/>
      <c r="E204" s="19"/>
      <c r="F204" s="20"/>
      <c r="G204" s="21"/>
      <c r="H204" s="21"/>
      <c r="I204" s="22"/>
      <c r="J204" s="19"/>
      <c r="K204" s="32">
        <f t="shared" ref="K204:N207" si="34">K205</f>
        <v>6414.2</v>
      </c>
      <c r="L204" s="32">
        <f t="shared" si="34"/>
        <v>0</v>
      </c>
      <c r="M204" s="32">
        <f t="shared" si="34"/>
        <v>6414.2</v>
      </c>
      <c r="N204" s="32">
        <f t="shared" si="34"/>
        <v>6414.3</v>
      </c>
    </row>
    <row r="205" spans="1:14" s="122" customFormat="1" ht="18" x14ac:dyDescent="0.35">
      <c r="A205" s="11"/>
      <c r="B205" s="510" t="s">
        <v>36</v>
      </c>
      <c r="C205" s="23" t="s">
        <v>128</v>
      </c>
      <c r="D205" s="10" t="s">
        <v>37</v>
      </c>
      <c r="E205" s="10"/>
      <c r="F205" s="668"/>
      <c r="G205" s="669"/>
      <c r="H205" s="669"/>
      <c r="I205" s="670"/>
      <c r="J205" s="10"/>
      <c r="K205" s="24">
        <f t="shared" si="34"/>
        <v>6414.2</v>
      </c>
      <c r="L205" s="24">
        <f t="shared" si="34"/>
        <v>0</v>
      </c>
      <c r="M205" s="24">
        <f t="shared" si="34"/>
        <v>6414.2</v>
      </c>
      <c r="N205" s="24">
        <f t="shared" si="34"/>
        <v>6414.3</v>
      </c>
    </row>
    <row r="206" spans="1:14" s="122" customFormat="1" ht="72" x14ac:dyDescent="0.35">
      <c r="A206" s="11"/>
      <c r="B206" s="510" t="s">
        <v>129</v>
      </c>
      <c r="C206" s="23" t="s">
        <v>128</v>
      </c>
      <c r="D206" s="10" t="s">
        <v>37</v>
      </c>
      <c r="E206" s="10" t="s">
        <v>81</v>
      </c>
      <c r="F206" s="668"/>
      <c r="G206" s="669"/>
      <c r="H206" s="669"/>
      <c r="I206" s="670"/>
      <c r="J206" s="10"/>
      <c r="K206" s="24">
        <f t="shared" si="34"/>
        <v>6414.2</v>
      </c>
      <c r="L206" s="24">
        <f t="shared" si="34"/>
        <v>0</v>
      </c>
      <c r="M206" s="24">
        <f t="shared" si="34"/>
        <v>6414.2</v>
      </c>
      <c r="N206" s="24">
        <f t="shared" si="34"/>
        <v>6414.3</v>
      </c>
    </row>
    <row r="207" spans="1:14" s="122" customFormat="1" ht="36" x14ac:dyDescent="0.35">
      <c r="A207" s="11"/>
      <c r="B207" s="543" t="s">
        <v>130</v>
      </c>
      <c r="C207" s="23" t="s">
        <v>128</v>
      </c>
      <c r="D207" s="10" t="s">
        <v>37</v>
      </c>
      <c r="E207" s="10" t="s">
        <v>81</v>
      </c>
      <c r="F207" s="668" t="s">
        <v>131</v>
      </c>
      <c r="G207" s="669" t="s">
        <v>42</v>
      </c>
      <c r="H207" s="669" t="s">
        <v>43</v>
      </c>
      <c r="I207" s="670" t="s">
        <v>44</v>
      </c>
      <c r="J207" s="10"/>
      <c r="K207" s="24">
        <f t="shared" si="34"/>
        <v>6414.2</v>
      </c>
      <c r="L207" s="24">
        <f t="shared" si="34"/>
        <v>0</v>
      </c>
      <c r="M207" s="24">
        <f t="shared" si="34"/>
        <v>6414.2</v>
      </c>
      <c r="N207" s="24">
        <f t="shared" si="34"/>
        <v>6414.3</v>
      </c>
    </row>
    <row r="208" spans="1:14" s="122" customFormat="1" ht="36" x14ac:dyDescent="0.35">
      <c r="A208" s="11"/>
      <c r="B208" s="543" t="s">
        <v>132</v>
      </c>
      <c r="C208" s="23" t="s">
        <v>128</v>
      </c>
      <c r="D208" s="10" t="s">
        <v>37</v>
      </c>
      <c r="E208" s="10" t="s">
        <v>81</v>
      </c>
      <c r="F208" s="668" t="s">
        <v>131</v>
      </c>
      <c r="G208" s="669" t="s">
        <v>45</v>
      </c>
      <c r="H208" s="669" t="s">
        <v>43</v>
      </c>
      <c r="I208" s="670" t="s">
        <v>44</v>
      </c>
      <c r="J208" s="10"/>
      <c r="K208" s="24">
        <f>K209</f>
        <v>6414.2</v>
      </c>
      <c r="L208" s="24">
        <f>L209</f>
        <v>0</v>
      </c>
      <c r="M208" s="24">
        <f>M209</f>
        <v>6414.2</v>
      </c>
      <c r="N208" s="24">
        <f>N209</f>
        <v>6414.3</v>
      </c>
    </row>
    <row r="209" spans="1:14" s="122" customFormat="1" ht="36" x14ac:dyDescent="0.35">
      <c r="A209" s="11"/>
      <c r="B209" s="510" t="s">
        <v>47</v>
      </c>
      <c r="C209" s="23" t="s">
        <v>128</v>
      </c>
      <c r="D209" s="10" t="s">
        <v>37</v>
      </c>
      <c r="E209" s="10" t="s">
        <v>81</v>
      </c>
      <c r="F209" s="668" t="s">
        <v>131</v>
      </c>
      <c r="G209" s="669" t="s">
        <v>45</v>
      </c>
      <c r="H209" s="669" t="s">
        <v>43</v>
      </c>
      <c r="I209" s="670" t="s">
        <v>48</v>
      </c>
      <c r="J209" s="10"/>
      <c r="K209" s="24">
        <f>K210+K211+K212</f>
        <v>6414.2</v>
      </c>
      <c r="L209" s="24">
        <f>L210+L211+L212</f>
        <v>0</v>
      </c>
      <c r="M209" s="24">
        <f>M210+M211+M212</f>
        <v>6414.2</v>
      </c>
      <c r="N209" s="24">
        <f>N210+N211+N212</f>
        <v>6414.3</v>
      </c>
    </row>
    <row r="210" spans="1:14" s="122" customFormat="1" ht="108" x14ac:dyDescent="0.35">
      <c r="A210" s="11"/>
      <c r="B210" s="510" t="s">
        <v>49</v>
      </c>
      <c r="C210" s="23" t="s">
        <v>128</v>
      </c>
      <c r="D210" s="10" t="s">
        <v>37</v>
      </c>
      <c r="E210" s="10" t="s">
        <v>81</v>
      </c>
      <c r="F210" s="668" t="s">
        <v>131</v>
      </c>
      <c r="G210" s="669" t="s">
        <v>45</v>
      </c>
      <c r="H210" s="669" t="s">
        <v>43</v>
      </c>
      <c r="I210" s="670" t="s">
        <v>48</v>
      </c>
      <c r="J210" s="10" t="s">
        <v>50</v>
      </c>
      <c r="K210" s="24">
        <v>6119.5</v>
      </c>
      <c r="L210" s="24">
        <f>M210-K210</f>
        <v>0</v>
      </c>
      <c r="M210" s="24">
        <v>6119.5</v>
      </c>
      <c r="N210" s="24">
        <v>6119.5</v>
      </c>
    </row>
    <row r="211" spans="1:14" s="122" customFormat="1" ht="54" x14ac:dyDescent="0.35">
      <c r="A211" s="11"/>
      <c r="B211" s="510" t="s">
        <v>55</v>
      </c>
      <c r="C211" s="23" t="s">
        <v>128</v>
      </c>
      <c r="D211" s="10" t="s">
        <v>37</v>
      </c>
      <c r="E211" s="10" t="s">
        <v>81</v>
      </c>
      <c r="F211" s="668" t="s">
        <v>131</v>
      </c>
      <c r="G211" s="669" t="s">
        <v>45</v>
      </c>
      <c r="H211" s="669" t="s">
        <v>43</v>
      </c>
      <c r="I211" s="670" t="s">
        <v>48</v>
      </c>
      <c r="J211" s="10" t="s">
        <v>56</v>
      </c>
      <c r="K211" s="24">
        <v>284.7</v>
      </c>
      <c r="L211" s="24">
        <f>M211-K211</f>
        <v>0</v>
      </c>
      <c r="M211" s="24">
        <v>284.7</v>
      </c>
      <c r="N211" s="24">
        <v>284.8</v>
      </c>
    </row>
    <row r="212" spans="1:14" s="122" customFormat="1" ht="18" x14ac:dyDescent="0.35">
      <c r="A212" s="11"/>
      <c r="B212" s="510" t="s">
        <v>57</v>
      </c>
      <c r="C212" s="23" t="s">
        <v>128</v>
      </c>
      <c r="D212" s="10" t="s">
        <v>37</v>
      </c>
      <c r="E212" s="10" t="s">
        <v>81</v>
      </c>
      <c r="F212" s="668" t="s">
        <v>131</v>
      </c>
      <c r="G212" s="669" t="s">
        <v>45</v>
      </c>
      <c r="H212" s="669" t="s">
        <v>43</v>
      </c>
      <c r="I212" s="670" t="s">
        <v>48</v>
      </c>
      <c r="J212" s="10" t="s">
        <v>58</v>
      </c>
      <c r="K212" s="24">
        <v>10</v>
      </c>
      <c r="L212" s="24">
        <f>M212-K212</f>
        <v>0</v>
      </c>
      <c r="M212" s="24">
        <v>10</v>
      </c>
      <c r="N212" s="24">
        <v>10</v>
      </c>
    </row>
    <row r="213" spans="1:14" s="122" customFormat="1" ht="18" x14ac:dyDescent="0.35">
      <c r="A213" s="11"/>
      <c r="B213" s="510"/>
      <c r="C213" s="23"/>
      <c r="D213" s="10"/>
      <c r="E213" s="10"/>
      <c r="F213" s="668"/>
      <c r="G213" s="669"/>
      <c r="H213" s="669"/>
      <c r="I213" s="670"/>
      <c r="J213" s="10"/>
      <c r="K213" s="24"/>
      <c r="L213" s="24"/>
      <c r="M213" s="24"/>
      <c r="N213" s="24"/>
    </row>
    <row r="214" spans="1:14" s="130" customFormat="1" ht="52.2" x14ac:dyDescent="0.3">
      <c r="A214" s="123">
        <v>4</v>
      </c>
      <c r="B214" s="589" t="s">
        <v>6</v>
      </c>
      <c r="C214" s="124" t="s">
        <v>412</v>
      </c>
      <c r="D214" s="125"/>
      <c r="E214" s="125"/>
      <c r="F214" s="126"/>
      <c r="G214" s="127"/>
      <c r="H214" s="127"/>
      <c r="I214" s="128"/>
      <c r="J214" s="125"/>
      <c r="K214" s="129">
        <f t="shared" ref="K214" si="35">K215+K272+K257+K250</f>
        <v>166193.40000000002</v>
      </c>
      <c r="L214" s="129">
        <f>L215+L272+L257+L250+L281</f>
        <v>7192.1000000000013</v>
      </c>
      <c r="M214" s="129">
        <f t="shared" ref="M214:N214" si="36">M215+M272+M257+M250+M281</f>
        <v>173385.50000000003</v>
      </c>
      <c r="N214" s="129">
        <f t="shared" si="36"/>
        <v>83135.899999999994</v>
      </c>
    </row>
    <row r="215" spans="1:14" s="136" customFormat="1" ht="18" x14ac:dyDescent="0.35">
      <c r="A215" s="131"/>
      <c r="B215" s="554" t="s">
        <v>36</v>
      </c>
      <c r="C215" s="132" t="s">
        <v>412</v>
      </c>
      <c r="D215" s="133" t="s">
        <v>37</v>
      </c>
      <c r="E215" s="89"/>
      <c r="F215" s="134"/>
      <c r="G215" s="87"/>
      <c r="H215" s="87"/>
      <c r="I215" s="88"/>
      <c r="J215" s="89"/>
      <c r="K215" s="135">
        <f>K216</f>
        <v>31927.685200000004</v>
      </c>
      <c r="L215" s="135">
        <f>L216</f>
        <v>-4.553600000000003</v>
      </c>
      <c r="M215" s="135">
        <f>M216</f>
        <v>31923.131600000004</v>
      </c>
      <c r="N215" s="135">
        <f>N216</f>
        <v>35109.031600000002</v>
      </c>
    </row>
    <row r="216" spans="1:14" s="130" customFormat="1" ht="18" x14ac:dyDescent="0.35">
      <c r="A216" s="131"/>
      <c r="B216" s="554" t="s">
        <v>70</v>
      </c>
      <c r="C216" s="132" t="s">
        <v>412</v>
      </c>
      <c r="D216" s="133" t="s">
        <v>37</v>
      </c>
      <c r="E216" s="133" t="s">
        <v>71</v>
      </c>
      <c r="F216" s="134"/>
      <c r="G216" s="87"/>
      <c r="H216" s="87"/>
      <c r="I216" s="88"/>
      <c r="J216" s="89"/>
      <c r="K216" s="135">
        <f>K217+K244+K240</f>
        <v>31927.685200000004</v>
      </c>
      <c r="L216" s="135">
        <f>L217+L244+L240</f>
        <v>-4.553600000000003</v>
      </c>
      <c r="M216" s="135">
        <f>M217+M244+M240</f>
        <v>31923.131600000004</v>
      </c>
      <c r="N216" s="135">
        <f>N217+N244+N240</f>
        <v>35109.031600000002</v>
      </c>
    </row>
    <row r="217" spans="1:14" s="136" customFormat="1" ht="54" x14ac:dyDescent="0.35">
      <c r="A217" s="131"/>
      <c r="B217" s="554" t="s">
        <v>225</v>
      </c>
      <c r="C217" s="132" t="s">
        <v>412</v>
      </c>
      <c r="D217" s="133" t="s">
        <v>37</v>
      </c>
      <c r="E217" s="133" t="s">
        <v>71</v>
      </c>
      <c r="F217" s="97" t="s">
        <v>226</v>
      </c>
      <c r="G217" s="87" t="s">
        <v>42</v>
      </c>
      <c r="H217" s="87" t="s">
        <v>43</v>
      </c>
      <c r="I217" s="88" t="s">
        <v>44</v>
      </c>
      <c r="J217" s="89"/>
      <c r="K217" s="135">
        <f>K218+K222</f>
        <v>25516.300000000003</v>
      </c>
      <c r="L217" s="135">
        <f>L218+L222</f>
        <v>0</v>
      </c>
      <c r="M217" s="135">
        <f>M218+M222</f>
        <v>25516.300000000003</v>
      </c>
      <c r="N217" s="135">
        <f>N218+N222</f>
        <v>28698.300000000003</v>
      </c>
    </row>
    <row r="218" spans="1:14" s="136" customFormat="1" ht="36" x14ac:dyDescent="0.35">
      <c r="A218" s="131"/>
      <c r="B218" s="554" t="s">
        <v>227</v>
      </c>
      <c r="C218" s="132" t="s">
        <v>412</v>
      </c>
      <c r="D218" s="133" t="s">
        <v>37</v>
      </c>
      <c r="E218" s="133" t="s">
        <v>71</v>
      </c>
      <c r="F218" s="137" t="s">
        <v>226</v>
      </c>
      <c r="G218" s="138" t="s">
        <v>45</v>
      </c>
      <c r="H218" s="138" t="s">
        <v>43</v>
      </c>
      <c r="I218" s="139" t="s">
        <v>44</v>
      </c>
      <c r="J218" s="89"/>
      <c r="K218" s="135">
        <f t="shared" ref="K218:N220" si="37">K219</f>
        <v>0</v>
      </c>
      <c r="L218" s="135">
        <f t="shared" si="37"/>
        <v>0</v>
      </c>
      <c r="M218" s="135">
        <f t="shared" si="37"/>
        <v>0</v>
      </c>
      <c r="N218" s="135">
        <f t="shared" si="37"/>
        <v>825.3</v>
      </c>
    </row>
    <row r="219" spans="1:14" s="130" customFormat="1" ht="36" x14ac:dyDescent="0.35">
      <c r="A219" s="131"/>
      <c r="B219" s="565" t="s">
        <v>338</v>
      </c>
      <c r="C219" s="132" t="s">
        <v>412</v>
      </c>
      <c r="D219" s="133" t="s">
        <v>37</v>
      </c>
      <c r="E219" s="133" t="s">
        <v>71</v>
      </c>
      <c r="F219" s="86" t="s">
        <v>226</v>
      </c>
      <c r="G219" s="87" t="s">
        <v>45</v>
      </c>
      <c r="H219" s="87" t="s">
        <v>39</v>
      </c>
      <c r="I219" s="88" t="s">
        <v>44</v>
      </c>
      <c r="J219" s="89"/>
      <c r="K219" s="135">
        <f>K220</f>
        <v>0</v>
      </c>
      <c r="L219" s="135">
        <f>L220</f>
        <v>0</v>
      </c>
      <c r="M219" s="135">
        <f>M220</f>
        <v>0</v>
      </c>
      <c r="N219" s="135">
        <f>N220</f>
        <v>825.3</v>
      </c>
    </row>
    <row r="220" spans="1:14" s="130" customFormat="1" ht="36" x14ac:dyDescent="0.35">
      <c r="A220" s="131"/>
      <c r="B220" s="565" t="s">
        <v>337</v>
      </c>
      <c r="C220" s="132" t="s">
        <v>412</v>
      </c>
      <c r="D220" s="133" t="s">
        <v>37</v>
      </c>
      <c r="E220" s="133" t="s">
        <v>71</v>
      </c>
      <c r="F220" s="86" t="s">
        <v>226</v>
      </c>
      <c r="G220" s="87" t="s">
        <v>45</v>
      </c>
      <c r="H220" s="87" t="s">
        <v>39</v>
      </c>
      <c r="I220" s="88" t="s">
        <v>336</v>
      </c>
      <c r="J220" s="89"/>
      <c r="K220" s="135">
        <f t="shared" si="37"/>
        <v>0</v>
      </c>
      <c r="L220" s="135">
        <f t="shared" si="37"/>
        <v>0</v>
      </c>
      <c r="M220" s="135">
        <f t="shared" si="37"/>
        <v>0</v>
      </c>
      <c r="N220" s="135">
        <f t="shared" si="37"/>
        <v>825.3</v>
      </c>
    </row>
    <row r="221" spans="1:14" s="130" customFormat="1" ht="54" x14ac:dyDescent="0.35">
      <c r="A221" s="131"/>
      <c r="B221" s="565" t="s">
        <v>55</v>
      </c>
      <c r="C221" s="132" t="s">
        <v>412</v>
      </c>
      <c r="D221" s="133" t="s">
        <v>37</v>
      </c>
      <c r="E221" s="133" t="s">
        <v>71</v>
      </c>
      <c r="F221" s="86" t="s">
        <v>226</v>
      </c>
      <c r="G221" s="87" t="s">
        <v>45</v>
      </c>
      <c r="H221" s="87" t="s">
        <v>39</v>
      </c>
      <c r="I221" s="88" t="s">
        <v>336</v>
      </c>
      <c r="J221" s="89" t="s">
        <v>56</v>
      </c>
      <c r="K221" s="135">
        <f>820.1-820.1</f>
        <v>0</v>
      </c>
      <c r="L221" s="24">
        <f>M221-K221</f>
        <v>0</v>
      </c>
      <c r="M221" s="135">
        <f>820.1-820.1</f>
        <v>0</v>
      </c>
      <c r="N221" s="135">
        <v>825.3</v>
      </c>
    </row>
    <row r="222" spans="1:14" s="130" customFormat="1" ht="36" x14ac:dyDescent="0.35">
      <c r="A222" s="131"/>
      <c r="B222" s="554" t="s">
        <v>229</v>
      </c>
      <c r="C222" s="132" t="s">
        <v>412</v>
      </c>
      <c r="D222" s="133" t="s">
        <v>37</v>
      </c>
      <c r="E222" s="133" t="s">
        <v>71</v>
      </c>
      <c r="F222" s="97" t="s">
        <v>226</v>
      </c>
      <c r="G222" s="87" t="s">
        <v>89</v>
      </c>
      <c r="H222" s="87" t="s">
        <v>43</v>
      </c>
      <c r="I222" s="88" t="s">
        <v>44</v>
      </c>
      <c r="J222" s="89"/>
      <c r="K222" s="135">
        <f>K223+K234+K237</f>
        <v>25516.300000000003</v>
      </c>
      <c r="L222" s="135">
        <f>L223+L234+L237</f>
        <v>0</v>
      </c>
      <c r="M222" s="135">
        <f>M223+M234+M237</f>
        <v>25516.300000000003</v>
      </c>
      <c r="N222" s="135">
        <f>N223+N234+N237</f>
        <v>27873.000000000004</v>
      </c>
    </row>
    <row r="223" spans="1:14" s="136" customFormat="1" ht="72" x14ac:dyDescent="0.35">
      <c r="A223" s="131"/>
      <c r="B223" s="554" t="s">
        <v>301</v>
      </c>
      <c r="C223" s="132" t="s">
        <v>412</v>
      </c>
      <c r="D223" s="133" t="s">
        <v>37</v>
      </c>
      <c r="E223" s="133" t="s">
        <v>71</v>
      </c>
      <c r="F223" s="97" t="s">
        <v>226</v>
      </c>
      <c r="G223" s="87" t="s">
        <v>89</v>
      </c>
      <c r="H223" s="87" t="s">
        <v>37</v>
      </c>
      <c r="I223" s="88" t="s">
        <v>44</v>
      </c>
      <c r="J223" s="89"/>
      <c r="K223" s="135">
        <f>K224+K228+K232</f>
        <v>25503.800000000003</v>
      </c>
      <c r="L223" s="135">
        <f>L224+L228+L232</f>
        <v>0</v>
      </c>
      <c r="M223" s="135">
        <f>M224+M228+M232</f>
        <v>25503.800000000003</v>
      </c>
      <c r="N223" s="135">
        <f>N224+N228+N232</f>
        <v>27095.600000000002</v>
      </c>
    </row>
    <row r="224" spans="1:14" s="130" customFormat="1" ht="36" x14ac:dyDescent="0.35">
      <c r="A224" s="131"/>
      <c r="B224" s="554" t="s">
        <v>47</v>
      </c>
      <c r="C224" s="132" t="s">
        <v>412</v>
      </c>
      <c r="D224" s="133" t="s">
        <v>37</v>
      </c>
      <c r="E224" s="133" t="s">
        <v>71</v>
      </c>
      <c r="F224" s="140" t="s">
        <v>226</v>
      </c>
      <c r="G224" s="138" t="s">
        <v>89</v>
      </c>
      <c r="H224" s="138" t="s">
        <v>37</v>
      </c>
      <c r="I224" s="139" t="s">
        <v>48</v>
      </c>
      <c r="J224" s="89"/>
      <c r="K224" s="135">
        <f>K225+K226+K227</f>
        <v>15766.800000000001</v>
      </c>
      <c r="L224" s="135">
        <f>L225+L226+L227</f>
        <v>0</v>
      </c>
      <c r="M224" s="135">
        <f>M225+M226+M227</f>
        <v>15766.800000000001</v>
      </c>
      <c r="N224" s="135">
        <f>N225+N226+N227</f>
        <v>16119.400000000001</v>
      </c>
    </row>
    <row r="225" spans="1:14" s="136" customFormat="1" ht="108" x14ac:dyDescent="0.35">
      <c r="A225" s="131"/>
      <c r="B225" s="510" t="s">
        <v>49</v>
      </c>
      <c r="C225" s="132" t="s">
        <v>412</v>
      </c>
      <c r="D225" s="133" t="s">
        <v>37</v>
      </c>
      <c r="E225" s="133" t="s">
        <v>71</v>
      </c>
      <c r="F225" s="97" t="s">
        <v>226</v>
      </c>
      <c r="G225" s="87" t="s">
        <v>89</v>
      </c>
      <c r="H225" s="87" t="s">
        <v>37</v>
      </c>
      <c r="I225" s="88" t="s">
        <v>48</v>
      </c>
      <c r="J225" s="89" t="s">
        <v>50</v>
      </c>
      <c r="K225" s="135">
        <v>15765.6</v>
      </c>
      <c r="L225" s="24">
        <f>M225-K225</f>
        <v>0</v>
      </c>
      <c r="M225" s="135">
        <v>15765.6</v>
      </c>
      <c r="N225" s="135">
        <v>15765.6</v>
      </c>
    </row>
    <row r="226" spans="1:14" s="136" customFormat="1" ht="54" x14ac:dyDescent="0.35">
      <c r="A226" s="131"/>
      <c r="B226" s="565" t="s">
        <v>55</v>
      </c>
      <c r="C226" s="132" t="s">
        <v>412</v>
      </c>
      <c r="D226" s="133" t="s">
        <v>37</v>
      </c>
      <c r="E226" s="133" t="s">
        <v>71</v>
      </c>
      <c r="F226" s="97" t="s">
        <v>226</v>
      </c>
      <c r="G226" s="87" t="s">
        <v>89</v>
      </c>
      <c r="H226" s="87" t="s">
        <v>37</v>
      </c>
      <c r="I226" s="88" t="s">
        <v>48</v>
      </c>
      <c r="J226" s="89" t="s">
        <v>56</v>
      </c>
      <c r="K226" s="135">
        <f>352.3-352.3</f>
        <v>0</v>
      </c>
      <c r="L226" s="24">
        <f>M226-K226</f>
        <v>0</v>
      </c>
      <c r="M226" s="135">
        <f>352.3-352.3</f>
        <v>0</v>
      </c>
      <c r="N226" s="135">
        <v>352.6</v>
      </c>
    </row>
    <row r="227" spans="1:14" s="136" customFormat="1" ht="18" x14ac:dyDescent="0.35">
      <c r="A227" s="131"/>
      <c r="B227" s="554" t="s">
        <v>57</v>
      </c>
      <c r="C227" s="132" t="s">
        <v>412</v>
      </c>
      <c r="D227" s="133" t="s">
        <v>37</v>
      </c>
      <c r="E227" s="133" t="s">
        <v>71</v>
      </c>
      <c r="F227" s="97" t="s">
        <v>226</v>
      </c>
      <c r="G227" s="87" t="s">
        <v>89</v>
      </c>
      <c r="H227" s="87" t="s">
        <v>37</v>
      </c>
      <c r="I227" s="88" t="s">
        <v>48</v>
      </c>
      <c r="J227" s="89" t="s">
        <v>58</v>
      </c>
      <c r="K227" s="135">
        <v>1.2</v>
      </c>
      <c r="L227" s="24">
        <f>M227-K227</f>
        <v>0</v>
      </c>
      <c r="M227" s="135">
        <v>1.2</v>
      </c>
      <c r="N227" s="135">
        <v>1.2</v>
      </c>
    </row>
    <row r="228" spans="1:14" s="136" customFormat="1" ht="36" x14ac:dyDescent="0.35">
      <c r="A228" s="131"/>
      <c r="B228" s="588" t="s">
        <v>464</v>
      </c>
      <c r="C228" s="132" t="s">
        <v>412</v>
      </c>
      <c r="D228" s="133" t="s">
        <v>37</v>
      </c>
      <c r="E228" s="133" t="s">
        <v>71</v>
      </c>
      <c r="F228" s="97" t="s">
        <v>226</v>
      </c>
      <c r="G228" s="87" t="s">
        <v>89</v>
      </c>
      <c r="H228" s="87" t="s">
        <v>37</v>
      </c>
      <c r="I228" s="88" t="s">
        <v>91</v>
      </c>
      <c r="J228" s="89"/>
      <c r="K228" s="135">
        <f>K229+K230+K231</f>
        <v>9737</v>
      </c>
      <c r="L228" s="135">
        <f>L229+L230+L231</f>
        <v>0</v>
      </c>
      <c r="M228" s="135">
        <f>M229+M230+M231</f>
        <v>9737</v>
      </c>
      <c r="N228" s="135">
        <f>N229+N230+N231</f>
        <v>10281.799999999999</v>
      </c>
    </row>
    <row r="229" spans="1:14" s="136" customFormat="1" ht="108" x14ac:dyDescent="0.35">
      <c r="A229" s="131"/>
      <c r="B229" s="510" t="s">
        <v>49</v>
      </c>
      <c r="C229" s="132" t="s">
        <v>412</v>
      </c>
      <c r="D229" s="133" t="s">
        <v>37</v>
      </c>
      <c r="E229" s="133" t="s">
        <v>71</v>
      </c>
      <c r="F229" s="97" t="s">
        <v>226</v>
      </c>
      <c r="G229" s="87" t="s">
        <v>89</v>
      </c>
      <c r="H229" s="87" t="s">
        <v>37</v>
      </c>
      <c r="I229" s="88" t="s">
        <v>91</v>
      </c>
      <c r="J229" s="89" t="s">
        <v>50</v>
      </c>
      <c r="K229" s="135">
        <v>9628.6</v>
      </c>
      <c r="L229" s="24">
        <f>M229-K229</f>
        <v>0</v>
      </c>
      <c r="M229" s="135">
        <v>9628.6</v>
      </c>
      <c r="N229" s="135">
        <v>9628.6</v>
      </c>
    </row>
    <row r="230" spans="1:14" s="136" customFormat="1" ht="54" x14ac:dyDescent="0.35">
      <c r="A230" s="131"/>
      <c r="B230" s="565" t="s">
        <v>55</v>
      </c>
      <c r="C230" s="132" t="s">
        <v>412</v>
      </c>
      <c r="D230" s="133" t="s">
        <v>37</v>
      </c>
      <c r="E230" s="133" t="s">
        <v>71</v>
      </c>
      <c r="F230" s="140" t="s">
        <v>226</v>
      </c>
      <c r="G230" s="138" t="s">
        <v>89</v>
      </c>
      <c r="H230" s="138" t="s">
        <v>37</v>
      </c>
      <c r="I230" s="139" t="s">
        <v>91</v>
      </c>
      <c r="J230" s="89" t="s">
        <v>56</v>
      </c>
      <c r="K230" s="135">
        <f>629.6-542.7</f>
        <v>86.899999999999977</v>
      </c>
      <c r="L230" s="24">
        <f>M230-K230</f>
        <v>0</v>
      </c>
      <c r="M230" s="135">
        <f>629.6-542.7</f>
        <v>86.899999999999977</v>
      </c>
      <c r="N230" s="135">
        <v>632.9</v>
      </c>
    </row>
    <row r="231" spans="1:14" s="136" customFormat="1" ht="18" x14ac:dyDescent="0.35">
      <c r="A231" s="131"/>
      <c r="B231" s="554" t="s">
        <v>57</v>
      </c>
      <c r="C231" s="132" t="s">
        <v>412</v>
      </c>
      <c r="D231" s="133" t="s">
        <v>37</v>
      </c>
      <c r="E231" s="133" t="s">
        <v>71</v>
      </c>
      <c r="F231" s="97" t="s">
        <v>226</v>
      </c>
      <c r="G231" s="87" t="s">
        <v>89</v>
      </c>
      <c r="H231" s="87" t="s">
        <v>37</v>
      </c>
      <c r="I231" s="88" t="s">
        <v>91</v>
      </c>
      <c r="J231" s="89" t="s">
        <v>58</v>
      </c>
      <c r="K231" s="135">
        <v>21.5</v>
      </c>
      <c r="L231" s="24">
        <f>M231-K231</f>
        <v>0</v>
      </c>
      <c r="M231" s="135">
        <v>21.5</v>
      </c>
      <c r="N231" s="135">
        <v>20.3</v>
      </c>
    </row>
    <row r="232" spans="1:14" s="136" customFormat="1" ht="54" x14ac:dyDescent="0.35">
      <c r="A232" s="131"/>
      <c r="B232" s="565" t="s">
        <v>354</v>
      </c>
      <c r="C232" s="132" t="s">
        <v>412</v>
      </c>
      <c r="D232" s="133" t="s">
        <v>37</v>
      </c>
      <c r="E232" s="133" t="s">
        <v>71</v>
      </c>
      <c r="F232" s="97" t="s">
        <v>226</v>
      </c>
      <c r="G232" s="87" t="s">
        <v>89</v>
      </c>
      <c r="H232" s="87" t="s">
        <v>37</v>
      </c>
      <c r="I232" s="88" t="s">
        <v>353</v>
      </c>
      <c r="J232" s="89"/>
      <c r="K232" s="135">
        <f>K233</f>
        <v>0</v>
      </c>
      <c r="L232" s="135">
        <f>L233</f>
        <v>0</v>
      </c>
      <c r="M232" s="135">
        <f>M233</f>
        <v>0</v>
      </c>
      <c r="N232" s="135">
        <f>N233</f>
        <v>694.4</v>
      </c>
    </row>
    <row r="233" spans="1:14" s="136" customFormat="1" ht="54" x14ac:dyDescent="0.35">
      <c r="A233" s="131"/>
      <c r="B233" s="565" t="s">
        <v>55</v>
      </c>
      <c r="C233" s="132" t="s">
        <v>412</v>
      </c>
      <c r="D233" s="133" t="s">
        <v>37</v>
      </c>
      <c r="E233" s="133" t="s">
        <v>71</v>
      </c>
      <c r="F233" s="97" t="s">
        <v>226</v>
      </c>
      <c r="G233" s="87" t="s">
        <v>89</v>
      </c>
      <c r="H233" s="87" t="s">
        <v>37</v>
      </c>
      <c r="I233" s="165" t="s">
        <v>353</v>
      </c>
      <c r="J233" s="89" t="s">
        <v>56</v>
      </c>
      <c r="K233" s="135">
        <f>694.4-694.4</f>
        <v>0</v>
      </c>
      <c r="L233" s="24">
        <f>M233-K233</f>
        <v>0</v>
      </c>
      <c r="M233" s="135">
        <f>694.4-694.4</f>
        <v>0</v>
      </c>
      <c r="N233" s="135">
        <v>694.4</v>
      </c>
    </row>
    <row r="234" spans="1:14" s="136" customFormat="1" ht="36" x14ac:dyDescent="0.35">
      <c r="A234" s="131"/>
      <c r="B234" s="567" t="s">
        <v>351</v>
      </c>
      <c r="C234" s="167" t="s">
        <v>412</v>
      </c>
      <c r="D234" s="168" t="s">
        <v>37</v>
      </c>
      <c r="E234" s="168" t="s">
        <v>71</v>
      </c>
      <c r="F234" s="97" t="s">
        <v>226</v>
      </c>
      <c r="G234" s="98" t="s">
        <v>89</v>
      </c>
      <c r="H234" s="98" t="s">
        <v>39</v>
      </c>
      <c r="I234" s="99" t="s">
        <v>44</v>
      </c>
      <c r="J234" s="100"/>
      <c r="K234" s="135">
        <f t="shared" ref="K234:N235" si="38">K235</f>
        <v>0</v>
      </c>
      <c r="L234" s="135">
        <f t="shared" si="38"/>
        <v>0</v>
      </c>
      <c r="M234" s="135">
        <f t="shared" si="38"/>
        <v>0</v>
      </c>
      <c r="N234" s="135">
        <f t="shared" si="38"/>
        <v>764.9</v>
      </c>
    </row>
    <row r="235" spans="1:14" s="136" customFormat="1" ht="54" x14ac:dyDescent="0.35">
      <c r="A235" s="131"/>
      <c r="B235" s="568" t="s">
        <v>352</v>
      </c>
      <c r="C235" s="132" t="s">
        <v>412</v>
      </c>
      <c r="D235" s="133" t="s">
        <v>37</v>
      </c>
      <c r="E235" s="133" t="s">
        <v>71</v>
      </c>
      <c r="F235" s="141" t="s">
        <v>226</v>
      </c>
      <c r="G235" s="98" t="s">
        <v>89</v>
      </c>
      <c r="H235" s="98" t="s">
        <v>39</v>
      </c>
      <c r="I235" s="99" t="s">
        <v>105</v>
      </c>
      <c r="J235" s="101"/>
      <c r="K235" s="135">
        <f t="shared" si="38"/>
        <v>0</v>
      </c>
      <c r="L235" s="135">
        <f t="shared" si="38"/>
        <v>0</v>
      </c>
      <c r="M235" s="135">
        <f t="shared" si="38"/>
        <v>0</v>
      </c>
      <c r="N235" s="135">
        <f t="shared" si="38"/>
        <v>764.9</v>
      </c>
    </row>
    <row r="236" spans="1:14" s="136" customFormat="1" ht="54" x14ac:dyDescent="0.35">
      <c r="A236" s="131"/>
      <c r="B236" s="569" t="s">
        <v>55</v>
      </c>
      <c r="C236" s="132" t="s">
        <v>412</v>
      </c>
      <c r="D236" s="133" t="s">
        <v>37</v>
      </c>
      <c r="E236" s="133" t="s">
        <v>71</v>
      </c>
      <c r="F236" s="141" t="s">
        <v>226</v>
      </c>
      <c r="G236" s="103" t="s">
        <v>89</v>
      </c>
      <c r="H236" s="103" t="s">
        <v>39</v>
      </c>
      <c r="I236" s="174" t="s">
        <v>105</v>
      </c>
      <c r="J236" s="175" t="s">
        <v>56</v>
      </c>
      <c r="K236" s="135">
        <f>764.9-764.9</f>
        <v>0</v>
      </c>
      <c r="L236" s="24">
        <f>M236-K236</f>
        <v>0</v>
      </c>
      <c r="M236" s="135">
        <f>764.9-764.9</f>
        <v>0</v>
      </c>
      <c r="N236" s="135">
        <v>764.9</v>
      </c>
    </row>
    <row r="237" spans="1:14" s="136" customFormat="1" ht="36" x14ac:dyDescent="0.35">
      <c r="A237" s="131"/>
      <c r="B237" s="570" t="s">
        <v>374</v>
      </c>
      <c r="C237" s="132" t="s">
        <v>412</v>
      </c>
      <c r="D237" s="133" t="s">
        <v>37</v>
      </c>
      <c r="E237" s="133" t="s">
        <v>71</v>
      </c>
      <c r="F237" s="141" t="s">
        <v>226</v>
      </c>
      <c r="G237" s="98" t="s">
        <v>89</v>
      </c>
      <c r="H237" s="98" t="s">
        <v>63</v>
      </c>
      <c r="I237" s="99" t="s">
        <v>44</v>
      </c>
      <c r="J237" s="101"/>
      <c r="K237" s="135">
        <f t="shared" ref="K237:N238" si="39">K238</f>
        <v>12.5</v>
      </c>
      <c r="L237" s="135">
        <f t="shared" si="39"/>
        <v>0</v>
      </c>
      <c r="M237" s="135">
        <f t="shared" si="39"/>
        <v>12.5</v>
      </c>
      <c r="N237" s="135">
        <f t="shared" si="39"/>
        <v>12.5</v>
      </c>
    </row>
    <row r="238" spans="1:14" s="136" customFormat="1" ht="36" x14ac:dyDescent="0.35">
      <c r="A238" s="131"/>
      <c r="B238" s="570" t="s">
        <v>337</v>
      </c>
      <c r="C238" s="132" t="s">
        <v>412</v>
      </c>
      <c r="D238" s="133" t="s">
        <v>37</v>
      </c>
      <c r="E238" s="133" t="s">
        <v>71</v>
      </c>
      <c r="F238" s="102" t="s">
        <v>226</v>
      </c>
      <c r="G238" s="103" t="s">
        <v>89</v>
      </c>
      <c r="H238" s="103" t="s">
        <v>63</v>
      </c>
      <c r="I238" s="174" t="s">
        <v>336</v>
      </c>
      <c r="J238" s="101"/>
      <c r="K238" s="135">
        <f t="shared" si="39"/>
        <v>12.5</v>
      </c>
      <c r="L238" s="135">
        <f t="shared" si="39"/>
        <v>0</v>
      </c>
      <c r="M238" s="135">
        <f t="shared" si="39"/>
        <v>12.5</v>
      </c>
      <c r="N238" s="135">
        <f t="shared" si="39"/>
        <v>12.5</v>
      </c>
    </row>
    <row r="239" spans="1:14" s="136" customFormat="1" ht="18" x14ac:dyDescent="0.35">
      <c r="A239" s="131"/>
      <c r="B239" s="554" t="s">
        <v>57</v>
      </c>
      <c r="C239" s="177" t="s">
        <v>412</v>
      </c>
      <c r="D239" s="133" t="s">
        <v>37</v>
      </c>
      <c r="E239" s="133" t="s">
        <v>71</v>
      </c>
      <c r="F239" s="97" t="s">
        <v>226</v>
      </c>
      <c r="G239" s="98" t="s">
        <v>89</v>
      </c>
      <c r="H239" s="98" t="s">
        <v>63</v>
      </c>
      <c r="I239" s="99" t="s">
        <v>336</v>
      </c>
      <c r="J239" s="101" t="s">
        <v>58</v>
      </c>
      <c r="K239" s="135">
        <v>12.5</v>
      </c>
      <c r="L239" s="24">
        <f>M239-K239</f>
        <v>0</v>
      </c>
      <c r="M239" s="135">
        <v>12.5</v>
      </c>
      <c r="N239" s="135">
        <v>12.5</v>
      </c>
    </row>
    <row r="240" spans="1:14" s="136" customFormat="1" ht="36" x14ac:dyDescent="0.35">
      <c r="A240" s="131"/>
      <c r="B240" s="539" t="s">
        <v>339</v>
      </c>
      <c r="C240" s="497" t="s">
        <v>412</v>
      </c>
      <c r="D240" s="488" t="s">
        <v>37</v>
      </c>
      <c r="E240" s="488" t="s">
        <v>71</v>
      </c>
      <c r="F240" s="391" t="s">
        <v>79</v>
      </c>
      <c r="G240" s="392" t="s">
        <v>45</v>
      </c>
      <c r="H240" s="392" t="s">
        <v>43</v>
      </c>
      <c r="I240" s="393" t="s">
        <v>44</v>
      </c>
      <c r="J240" s="394"/>
      <c r="K240" s="135">
        <f t="shared" ref="K240:N242" si="40">K241</f>
        <v>50.185200000000002</v>
      </c>
      <c r="L240" s="135">
        <f t="shared" si="40"/>
        <v>-4.553600000000003</v>
      </c>
      <c r="M240" s="135">
        <f t="shared" si="40"/>
        <v>45.631599999999999</v>
      </c>
      <c r="N240" s="135">
        <f t="shared" si="40"/>
        <v>45.631599999999999</v>
      </c>
    </row>
    <row r="241" spans="1:14" s="136" customFormat="1" ht="90" x14ac:dyDescent="0.35">
      <c r="A241" s="131"/>
      <c r="B241" s="539" t="s">
        <v>300</v>
      </c>
      <c r="C241" s="497" t="s">
        <v>412</v>
      </c>
      <c r="D241" s="488" t="s">
        <v>37</v>
      </c>
      <c r="E241" s="488" t="s">
        <v>71</v>
      </c>
      <c r="F241" s="391" t="s">
        <v>79</v>
      </c>
      <c r="G241" s="392" t="s">
        <v>45</v>
      </c>
      <c r="H241" s="392" t="s">
        <v>39</v>
      </c>
      <c r="I241" s="393" t="s">
        <v>44</v>
      </c>
      <c r="J241" s="394"/>
      <c r="K241" s="135">
        <f t="shared" si="40"/>
        <v>50.185200000000002</v>
      </c>
      <c r="L241" s="135">
        <f t="shared" si="40"/>
        <v>-4.553600000000003</v>
      </c>
      <c r="M241" s="135">
        <f t="shared" si="40"/>
        <v>45.631599999999999</v>
      </c>
      <c r="N241" s="135">
        <f t="shared" si="40"/>
        <v>45.631599999999999</v>
      </c>
    </row>
    <row r="242" spans="1:14" s="136" customFormat="1" ht="108" x14ac:dyDescent="0.35">
      <c r="A242" s="131"/>
      <c r="B242" s="536" t="s">
        <v>414</v>
      </c>
      <c r="C242" s="487" t="s">
        <v>412</v>
      </c>
      <c r="D242" s="488" t="s">
        <v>37</v>
      </c>
      <c r="E242" s="488" t="s">
        <v>71</v>
      </c>
      <c r="F242" s="348" t="s">
        <v>79</v>
      </c>
      <c r="G242" s="349" t="s">
        <v>45</v>
      </c>
      <c r="H242" s="349" t="s">
        <v>39</v>
      </c>
      <c r="I242" s="350" t="s">
        <v>415</v>
      </c>
      <c r="J242" s="351"/>
      <c r="K242" s="135">
        <f t="shared" si="40"/>
        <v>50.185200000000002</v>
      </c>
      <c r="L242" s="135">
        <f t="shared" si="40"/>
        <v>-4.553600000000003</v>
      </c>
      <c r="M242" s="135">
        <f t="shared" si="40"/>
        <v>45.631599999999999</v>
      </c>
      <c r="N242" s="135">
        <f t="shared" si="40"/>
        <v>45.631599999999999</v>
      </c>
    </row>
    <row r="243" spans="1:14" s="136" customFormat="1" ht="54" x14ac:dyDescent="0.35">
      <c r="A243" s="131"/>
      <c r="B243" s="539" t="s">
        <v>55</v>
      </c>
      <c r="C243" s="487" t="s">
        <v>412</v>
      </c>
      <c r="D243" s="488" t="s">
        <v>37</v>
      </c>
      <c r="E243" s="488" t="s">
        <v>71</v>
      </c>
      <c r="F243" s="348" t="s">
        <v>79</v>
      </c>
      <c r="G243" s="349" t="s">
        <v>45</v>
      </c>
      <c r="H243" s="349" t="s">
        <v>39</v>
      </c>
      <c r="I243" s="350" t="s">
        <v>415</v>
      </c>
      <c r="J243" s="498" t="s">
        <v>56</v>
      </c>
      <c r="K243" s="135">
        <f>50.2-0.0148</f>
        <v>50.185200000000002</v>
      </c>
      <c r="L243" s="24">
        <f>M243-K243</f>
        <v>-4.553600000000003</v>
      </c>
      <c r="M243" s="135">
        <f>50.2-0.0148-4.5536</f>
        <v>45.631599999999999</v>
      </c>
      <c r="N243" s="135">
        <f>50.2-0.0148-4.5536</f>
        <v>45.631599999999999</v>
      </c>
    </row>
    <row r="244" spans="1:14" s="136" customFormat="1" ht="54" x14ac:dyDescent="0.35">
      <c r="A244" s="131"/>
      <c r="B244" s="571" t="s">
        <v>40</v>
      </c>
      <c r="C244" s="132" t="s">
        <v>412</v>
      </c>
      <c r="D244" s="133" t="s">
        <v>37</v>
      </c>
      <c r="E244" s="133" t="s">
        <v>71</v>
      </c>
      <c r="F244" s="141" t="s">
        <v>41</v>
      </c>
      <c r="G244" s="87" t="s">
        <v>42</v>
      </c>
      <c r="H244" s="87" t="s">
        <v>43</v>
      </c>
      <c r="I244" s="88" t="s">
        <v>44</v>
      </c>
      <c r="J244" s="89"/>
      <c r="K244" s="135">
        <f t="shared" ref="K244:N246" si="41">K245</f>
        <v>6361.2</v>
      </c>
      <c r="L244" s="135">
        <f t="shared" si="41"/>
        <v>0</v>
      </c>
      <c r="M244" s="135">
        <f t="shared" si="41"/>
        <v>6361.2</v>
      </c>
      <c r="N244" s="135">
        <f t="shared" si="41"/>
        <v>6365.0999999999995</v>
      </c>
    </row>
    <row r="245" spans="1:14" s="136" customFormat="1" ht="36" x14ac:dyDescent="0.35">
      <c r="A245" s="131"/>
      <c r="B245" s="565" t="s">
        <v>339</v>
      </c>
      <c r="C245" s="132" t="s">
        <v>412</v>
      </c>
      <c r="D245" s="133" t="s">
        <v>37</v>
      </c>
      <c r="E245" s="133" t="s">
        <v>71</v>
      </c>
      <c r="F245" s="97" t="s">
        <v>41</v>
      </c>
      <c r="G245" s="87" t="s">
        <v>45</v>
      </c>
      <c r="H245" s="87" t="s">
        <v>43</v>
      </c>
      <c r="I245" s="88" t="s">
        <v>44</v>
      </c>
      <c r="J245" s="89"/>
      <c r="K245" s="135">
        <f t="shared" si="41"/>
        <v>6361.2</v>
      </c>
      <c r="L245" s="135">
        <f t="shared" si="41"/>
        <v>0</v>
      </c>
      <c r="M245" s="135">
        <f t="shared" si="41"/>
        <v>6361.2</v>
      </c>
      <c r="N245" s="135">
        <f t="shared" si="41"/>
        <v>6365.0999999999995</v>
      </c>
    </row>
    <row r="246" spans="1:14" s="136" customFormat="1" ht="72" x14ac:dyDescent="0.35">
      <c r="A246" s="131"/>
      <c r="B246" s="554" t="s">
        <v>299</v>
      </c>
      <c r="C246" s="132" t="s">
        <v>412</v>
      </c>
      <c r="D246" s="133" t="s">
        <v>37</v>
      </c>
      <c r="E246" s="133" t="s">
        <v>71</v>
      </c>
      <c r="F246" s="97" t="s">
        <v>41</v>
      </c>
      <c r="G246" s="87" t="s">
        <v>45</v>
      </c>
      <c r="H246" s="87" t="s">
        <v>81</v>
      </c>
      <c r="I246" s="88" t="s">
        <v>44</v>
      </c>
      <c r="J246" s="89"/>
      <c r="K246" s="135">
        <f t="shared" si="41"/>
        <v>6361.2</v>
      </c>
      <c r="L246" s="135">
        <f t="shared" si="41"/>
        <v>0</v>
      </c>
      <c r="M246" s="135">
        <f t="shared" si="41"/>
        <v>6361.2</v>
      </c>
      <c r="N246" s="135">
        <f t="shared" si="41"/>
        <v>6365.0999999999995</v>
      </c>
    </row>
    <row r="247" spans="1:14" s="136" customFormat="1" ht="36" x14ac:dyDescent="0.35">
      <c r="A247" s="131"/>
      <c r="B247" s="588" t="s">
        <v>464</v>
      </c>
      <c r="C247" s="132" t="s">
        <v>412</v>
      </c>
      <c r="D247" s="133" t="s">
        <v>37</v>
      </c>
      <c r="E247" s="133" t="s">
        <v>71</v>
      </c>
      <c r="F247" s="97" t="s">
        <v>41</v>
      </c>
      <c r="G247" s="87" t="s">
        <v>45</v>
      </c>
      <c r="H247" s="87" t="s">
        <v>81</v>
      </c>
      <c r="I247" s="88" t="s">
        <v>91</v>
      </c>
      <c r="J247" s="89"/>
      <c r="K247" s="135">
        <f>K248+K249</f>
        <v>6361.2</v>
      </c>
      <c r="L247" s="135">
        <f>L248+L249</f>
        <v>0</v>
      </c>
      <c r="M247" s="135">
        <f>M248+M249</f>
        <v>6361.2</v>
      </c>
      <c r="N247" s="135">
        <f>N248+N249</f>
        <v>6365.0999999999995</v>
      </c>
    </row>
    <row r="248" spans="1:14" s="136" customFormat="1" ht="108" x14ac:dyDescent="0.35">
      <c r="A248" s="131"/>
      <c r="B248" s="510" t="s">
        <v>49</v>
      </c>
      <c r="C248" s="132" t="s">
        <v>412</v>
      </c>
      <c r="D248" s="133" t="s">
        <v>37</v>
      </c>
      <c r="E248" s="133" t="s">
        <v>71</v>
      </c>
      <c r="F248" s="97" t="s">
        <v>41</v>
      </c>
      <c r="G248" s="87" t="s">
        <v>45</v>
      </c>
      <c r="H248" s="87" t="s">
        <v>81</v>
      </c>
      <c r="I248" s="88" t="s">
        <v>91</v>
      </c>
      <c r="J248" s="89" t="s">
        <v>50</v>
      </c>
      <c r="K248" s="135">
        <v>5898.7</v>
      </c>
      <c r="L248" s="24">
        <f>M248-K248</f>
        <v>0</v>
      </c>
      <c r="M248" s="135">
        <v>5898.7</v>
      </c>
      <c r="N248" s="135">
        <v>5898.7</v>
      </c>
    </row>
    <row r="249" spans="1:14" s="136" customFormat="1" ht="54" x14ac:dyDescent="0.35">
      <c r="A249" s="131"/>
      <c r="B249" s="565" t="s">
        <v>55</v>
      </c>
      <c r="C249" s="132" t="s">
        <v>412</v>
      </c>
      <c r="D249" s="133" t="s">
        <v>37</v>
      </c>
      <c r="E249" s="133" t="s">
        <v>71</v>
      </c>
      <c r="F249" s="97" t="s">
        <v>41</v>
      </c>
      <c r="G249" s="87" t="s">
        <v>45</v>
      </c>
      <c r="H249" s="87" t="s">
        <v>81</v>
      </c>
      <c r="I249" s="88" t="s">
        <v>91</v>
      </c>
      <c r="J249" s="89" t="s">
        <v>56</v>
      </c>
      <c r="K249" s="201">
        <v>462.5</v>
      </c>
      <c r="L249" s="24">
        <f>M249-K249</f>
        <v>0</v>
      </c>
      <c r="M249" s="201">
        <v>462.5</v>
      </c>
      <c r="N249" s="201">
        <v>466.4</v>
      </c>
    </row>
    <row r="250" spans="1:14" s="136" customFormat="1" ht="18" x14ac:dyDescent="0.35">
      <c r="A250" s="131"/>
      <c r="B250" s="554" t="s">
        <v>177</v>
      </c>
      <c r="C250" s="132" t="s">
        <v>412</v>
      </c>
      <c r="D250" s="133" t="s">
        <v>65</v>
      </c>
      <c r="E250" s="133"/>
      <c r="F250" s="86"/>
      <c r="G250" s="87"/>
      <c r="H250" s="87"/>
      <c r="I250" s="108"/>
      <c r="J250" s="89"/>
      <c r="K250" s="263">
        <f t="shared" ref="K250:N255" si="42">K251</f>
        <v>63486.700000000004</v>
      </c>
      <c r="L250" s="24">
        <f t="shared" si="42"/>
        <v>0</v>
      </c>
      <c r="M250" s="263">
        <f t="shared" si="42"/>
        <v>63486.700000000004</v>
      </c>
      <c r="N250" s="263">
        <f t="shared" si="42"/>
        <v>0</v>
      </c>
    </row>
    <row r="251" spans="1:14" s="136" customFormat="1" ht="18" x14ac:dyDescent="0.35">
      <c r="A251" s="131"/>
      <c r="B251" s="554" t="s">
        <v>333</v>
      </c>
      <c r="C251" s="132" t="s">
        <v>412</v>
      </c>
      <c r="D251" s="133" t="s">
        <v>65</v>
      </c>
      <c r="E251" s="133" t="s">
        <v>39</v>
      </c>
      <c r="F251" s="86"/>
      <c r="G251" s="87"/>
      <c r="H251" s="87"/>
      <c r="I251" s="108"/>
      <c r="J251" s="89"/>
      <c r="K251" s="263">
        <f t="shared" si="42"/>
        <v>63486.700000000004</v>
      </c>
      <c r="L251" s="24">
        <f t="shared" si="42"/>
        <v>0</v>
      </c>
      <c r="M251" s="263">
        <f t="shared" si="42"/>
        <v>63486.700000000004</v>
      </c>
      <c r="N251" s="263">
        <f t="shared" si="42"/>
        <v>0</v>
      </c>
    </row>
    <row r="252" spans="1:14" s="136" customFormat="1" ht="72" x14ac:dyDescent="0.35">
      <c r="A252" s="131"/>
      <c r="B252" s="575" t="s">
        <v>332</v>
      </c>
      <c r="C252" s="132" t="s">
        <v>412</v>
      </c>
      <c r="D252" s="133" t="s">
        <v>65</v>
      </c>
      <c r="E252" s="133" t="s">
        <v>39</v>
      </c>
      <c r="F252" s="86" t="s">
        <v>104</v>
      </c>
      <c r="G252" s="87" t="s">
        <v>42</v>
      </c>
      <c r="H252" s="87" t="s">
        <v>43</v>
      </c>
      <c r="I252" s="108" t="s">
        <v>44</v>
      </c>
      <c r="J252" s="89"/>
      <c r="K252" s="263">
        <f t="shared" si="42"/>
        <v>63486.700000000004</v>
      </c>
      <c r="L252" s="24">
        <f t="shared" si="42"/>
        <v>0</v>
      </c>
      <c r="M252" s="263">
        <f t="shared" si="42"/>
        <v>63486.700000000004</v>
      </c>
      <c r="N252" s="263">
        <f t="shared" si="42"/>
        <v>0</v>
      </c>
    </row>
    <row r="253" spans="1:14" s="136" customFormat="1" ht="54" x14ac:dyDescent="0.35">
      <c r="A253" s="131"/>
      <c r="B253" s="565" t="s">
        <v>334</v>
      </c>
      <c r="C253" s="132" t="s">
        <v>412</v>
      </c>
      <c r="D253" s="133" t="s">
        <v>65</v>
      </c>
      <c r="E253" s="133" t="s">
        <v>39</v>
      </c>
      <c r="F253" s="86" t="s">
        <v>104</v>
      </c>
      <c r="G253" s="87" t="s">
        <v>45</v>
      </c>
      <c r="H253" s="87" t="s">
        <v>43</v>
      </c>
      <c r="I253" s="108" t="s">
        <v>44</v>
      </c>
      <c r="J253" s="89"/>
      <c r="K253" s="263">
        <f t="shared" si="42"/>
        <v>63486.700000000004</v>
      </c>
      <c r="L253" s="24">
        <f t="shared" si="42"/>
        <v>0</v>
      </c>
      <c r="M253" s="263">
        <f t="shared" si="42"/>
        <v>63486.700000000004</v>
      </c>
      <c r="N253" s="263">
        <f t="shared" si="42"/>
        <v>0</v>
      </c>
    </row>
    <row r="254" spans="1:14" s="136" customFormat="1" ht="54" x14ac:dyDescent="0.35">
      <c r="A254" s="131"/>
      <c r="B254" s="565" t="s">
        <v>373</v>
      </c>
      <c r="C254" s="132" t="s">
        <v>412</v>
      </c>
      <c r="D254" s="133" t="s">
        <v>65</v>
      </c>
      <c r="E254" s="133" t="s">
        <v>39</v>
      </c>
      <c r="F254" s="86" t="s">
        <v>104</v>
      </c>
      <c r="G254" s="87" t="s">
        <v>45</v>
      </c>
      <c r="H254" s="87" t="s">
        <v>37</v>
      </c>
      <c r="I254" s="108" t="s">
        <v>44</v>
      </c>
      <c r="J254" s="89"/>
      <c r="K254" s="263">
        <f t="shared" si="42"/>
        <v>63486.700000000004</v>
      </c>
      <c r="L254" s="24">
        <f t="shared" si="42"/>
        <v>0</v>
      </c>
      <c r="M254" s="263">
        <f t="shared" si="42"/>
        <v>63486.700000000004</v>
      </c>
      <c r="N254" s="263">
        <f t="shared" si="42"/>
        <v>0</v>
      </c>
    </row>
    <row r="255" spans="1:14" s="136" customFormat="1" ht="72" x14ac:dyDescent="0.35">
      <c r="A255" s="131"/>
      <c r="B255" s="565" t="s">
        <v>500</v>
      </c>
      <c r="C255" s="132" t="s">
        <v>412</v>
      </c>
      <c r="D255" s="133" t="s">
        <v>65</v>
      </c>
      <c r="E255" s="133" t="s">
        <v>39</v>
      </c>
      <c r="F255" s="86" t="s">
        <v>104</v>
      </c>
      <c r="G255" s="87" t="s">
        <v>45</v>
      </c>
      <c r="H255" s="87" t="s">
        <v>37</v>
      </c>
      <c r="I255" s="108" t="s">
        <v>413</v>
      </c>
      <c r="J255" s="89"/>
      <c r="K255" s="263">
        <f t="shared" si="42"/>
        <v>63486.700000000004</v>
      </c>
      <c r="L255" s="24">
        <f t="shared" si="42"/>
        <v>0</v>
      </c>
      <c r="M255" s="263">
        <f t="shared" si="42"/>
        <v>63486.700000000004</v>
      </c>
      <c r="N255" s="263">
        <f t="shared" si="42"/>
        <v>0</v>
      </c>
    </row>
    <row r="256" spans="1:14" s="136" customFormat="1" ht="54" x14ac:dyDescent="0.35">
      <c r="A256" s="131"/>
      <c r="B256" s="565" t="s">
        <v>203</v>
      </c>
      <c r="C256" s="132" t="s">
        <v>412</v>
      </c>
      <c r="D256" s="133" t="s">
        <v>65</v>
      </c>
      <c r="E256" s="133" t="s">
        <v>39</v>
      </c>
      <c r="F256" s="86" t="s">
        <v>104</v>
      </c>
      <c r="G256" s="87" t="s">
        <v>45</v>
      </c>
      <c r="H256" s="87" t="s">
        <v>37</v>
      </c>
      <c r="I256" s="108" t="s">
        <v>413</v>
      </c>
      <c r="J256" s="89" t="s">
        <v>204</v>
      </c>
      <c r="K256" s="263">
        <f>3174.4+60312.3</f>
        <v>63486.700000000004</v>
      </c>
      <c r="L256" s="24">
        <f>M256-K256</f>
        <v>0</v>
      </c>
      <c r="M256" s="263">
        <f>3174.4+60312.3</f>
        <v>63486.700000000004</v>
      </c>
      <c r="N256" s="263">
        <v>0</v>
      </c>
    </row>
    <row r="257" spans="1:14" s="136" customFormat="1" ht="18" x14ac:dyDescent="0.35">
      <c r="A257" s="131"/>
      <c r="B257" s="576" t="s">
        <v>179</v>
      </c>
      <c r="C257" s="132" t="s">
        <v>412</v>
      </c>
      <c r="D257" s="133" t="s">
        <v>224</v>
      </c>
      <c r="E257" s="133"/>
      <c r="F257" s="86"/>
      <c r="G257" s="87"/>
      <c r="H257" s="87"/>
      <c r="I257" s="108"/>
      <c r="J257" s="89"/>
      <c r="K257" s="24">
        <f>K258+K264</f>
        <v>18881.100000000002</v>
      </c>
      <c r="L257" s="24">
        <f>L258+L264</f>
        <v>0</v>
      </c>
      <c r="M257" s="24">
        <f>M258+M264</f>
        <v>18881.100000000002</v>
      </c>
      <c r="N257" s="24">
        <f>N258+N264</f>
        <v>838</v>
      </c>
    </row>
    <row r="258" spans="1:14" s="136" customFormat="1" ht="18" x14ac:dyDescent="0.35">
      <c r="A258" s="131"/>
      <c r="B258" s="576" t="s">
        <v>181</v>
      </c>
      <c r="C258" s="132" t="s">
        <v>412</v>
      </c>
      <c r="D258" s="133" t="s">
        <v>224</v>
      </c>
      <c r="E258" s="133" t="s">
        <v>37</v>
      </c>
      <c r="F258" s="86"/>
      <c r="G258" s="87"/>
      <c r="H258" s="87"/>
      <c r="I258" s="88"/>
      <c r="J258" s="89"/>
      <c r="K258" s="275">
        <f t="shared" ref="K258:N260" si="43">K259</f>
        <v>50.5</v>
      </c>
      <c r="L258" s="275">
        <f t="shared" si="43"/>
        <v>0</v>
      </c>
      <c r="M258" s="275">
        <f t="shared" si="43"/>
        <v>50.5</v>
      </c>
      <c r="N258" s="135">
        <f t="shared" si="43"/>
        <v>0</v>
      </c>
    </row>
    <row r="259" spans="1:14" s="136" customFormat="1" ht="54" x14ac:dyDescent="0.35">
      <c r="A259" s="131"/>
      <c r="B259" s="576" t="s">
        <v>436</v>
      </c>
      <c r="C259" s="132" t="s">
        <v>412</v>
      </c>
      <c r="D259" s="133" t="s">
        <v>224</v>
      </c>
      <c r="E259" s="133" t="s">
        <v>37</v>
      </c>
      <c r="F259" s="86" t="s">
        <v>39</v>
      </c>
      <c r="G259" s="87" t="s">
        <v>42</v>
      </c>
      <c r="H259" s="87" t="s">
        <v>43</v>
      </c>
      <c r="I259" s="88" t="s">
        <v>44</v>
      </c>
      <c r="J259" s="89"/>
      <c r="K259" s="275">
        <f t="shared" si="43"/>
        <v>50.5</v>
      </c>
      <c r="L259" s="275">
        <f t="shared" si="43"/>
        <v>0</v>
      </c>
      <c r="M259" s="275">
        <f t="shared" si="43"/>
        <v>50.5</v>
      </c>
      <c r="N259" s="135">
        <f t="shared" si="43"/>
        <v>0</v>
      </c>
    </row>
    <row r="260" spans="1:14" s="136" customFormat="1" ht="36" x14ac:dyDescent="0.35">
      <c r="A260" s="131"/>
      <c r="B260" s="576" t="s">
        <v>206</v>
      </c>
      <c r="C260" s="132" t="s">
        <v>412</v>
      </c>
      <c r="D260" s="133" t="s">
        <v>224</v>
      </c>
      <c r="E260" s="133" t="s">
        <v>37</v>
      </c>
      <c r="F260" s="86" t="s">
        <v>39</v>
      </c>
      <c r="G260" s="87" t="s">
        <v>45</v>
      </c>
      <c r="H260" s="87" t="s">
        <v>43</v>
      </c>
      <c r="I260" s="88" t="s">
        <v>44</v>
      </c>
      <c r="J260" s="89"/>
      <c r="K260" s="275">
        <f t="shared" si="43"/>
        <v>50.5</v>
      </c>
      <c r="L260" s="275">
        <f t="shared" si="43"/>
        <v>0</v>
      </c>
      <c r="M260" s="275">
        <f t="shared" si="43"/>
        <v>50.5</v>
      </c>
      <c r="N260" s="135">
        <f t="shared" si="43"/>
        <v>0</v>
      </c>
    </row>
    <row r="261" spans="1:14" s="136" customFormat="1" ht="36" x14ac:dyDescent="0.35">
      <c r="A261" s="131"/>
      <c r="B261" s="576" t="s">
        <v>267</v>
      </c>
      <c r="C261" s="132" t="s">
        <v>412</v>
      </c>
      <c r="D261" s="133" t="s">
        <v>224</v>
      </c>
      <c r="E261" s="133" t="s">
        <v>37</v>
      </c>
      <c r="F261" s="86" t="s">
        <v>39</v>
      </c>
      <c r="G261" s="87" t="s">
        <v>45</v>
      </c>
      <c r="H261" s="87" t="s">
        <v>37</v>
      </c>
      <c r="I261" s="108" t="s">
        <v>44</v>
      </c>
      <c r="J261" s="89"/>
      <c r="K261" s="275">
        <f t="shared" ref="K261:N262" si="44">K262</f>
        <v>50.5</v>
      </c>
      <c r="L261" s="275">
        <f t="shared" si="44"/>
        <v>0</v>
      </c>
      <c r="M261" s="275">
        <f t="shared" si="44"/>
        <v>50.5</v>
      </c>
      <c r="N261" s="275">
        <f t="shared" si="44"/>
        <v>0</v>
      </c>
    </row>
    <row r="262" spans="1:14" s="136" customFormat="1" ht="36" x14ac:dyDescent="0.35">
      <c r="A262" s="131"/>
      <c r="B262" s="510" t="s">
        <v>208</v>
      </c>
      <c r="C262" s="132" t="s">
        <v>412</v>
      </c>
      <c r="D262" s="133" t="s">
        <v>224</v>
      </c>
      <c r="E262" s="133" t="s">
        <v>37</v>
      </c>
      <c r="F262" s="86" t="s">
        <v>39</v>
      </c>
      <c r="G262" s="87" t="s">
        <v>45</v>
      </c>
      <c r="H262" s="87" t="s">
        <v>37</v>
      </c>
      <c r="I262" s="108" t="s">
        <v>274</v>
      </c>
      <c r="J262" s="89"/>
      <c r="K262" s="445">
        <f t="shared" si="44"/>
        <v>50.5</v>
      </c>
      <c r="L262" s="445">
        <f t="shared" si="44"/>
        <v>0</v>
      </c>
      <c r="M262" s="445">
        <f t="shared" si="44"/>
        <v>50.5</v>
      </c>
      <c r="N262" s="275">
        <f t="shared" si="44"/>
        <v>0</v>
      </c>
    </row>
    <row r="263" spans="1:14" s="136" customFormat="1" ht="54" x14ac:dyDescent="0.35">
      <c r="A263" s="131"/>
      <c r="B263" s="576" t="s">
        <v>203</v>
      </c>
      <c r="C263" s="132" t="s">
        <v>412</v>
      </c>
      <c r="D263" s="133" t="s">
        <v>224</v>
      </c>
      <c r="E263" s="133" t="s">
        <v>37</v>
      </c>
      <c r="F263" s="86" t="s">
        <v>39</v>
      </c>
      <c r="G263" s="87" t="s">
        <v>45</v>
      </c>
      <c r="H263" s="87" t="s">
        <v>37</v>
      </c>
      <c r="I263" s="108" t="s">
        <v>274</v>
      </c>
      <c r="J263" s="134" t="s">
        <v>204</v>
      </c>
      <c r="K263" s="263">
        <v>50.5</v>
      </c>
      <c r="L263" s="24">
        <f>M263-K263</f>
        <v>0</v>
      </c>
      <c r="M263" s="263">
        <v>50.5</v>
      </c>
      <c r="N263" s="275">
        <v>0</v>
      </c>
    </row>
    <row r="264" spans="1:14" s="136" customFormat="1" ht="18" x14ac:dyDescent="0.35">
      <c r="A264" s="131"/>
      <c r="B264" s="576" t="s">
        <v>183</v>
      </c>
      <c r="C264" s="132" t="s">
        <v>412</v>
      </c>
      <c r="D264" s="133" t="s">
        <v>224</v>
      </c>
      <c r="E264" s="133" t="s">
        <v>39</v>
      </c>
      <c r="F264" s="86"/>
      <c r="G264" s="87"/>
      <c r="H264" s="87"/>
      <c r="I264" s="108"/>
      <c r="J264" s="89"/>
      <c r="K264" s="446">
        <f t="shared" ref="K264:N268" si="45">K265</f>
        <v>18830.600000000002</v>
      </c>
      <c r="L264" s="446">
        <f t="shared" si="45"/>
        <v>0</v>
      </c>
      <c r="M264" s="446">
        <f t="shared" si="45"/>
        <v>18830.600000000002</v>
      </c>
      <c r="N264" s="446">
        <f t="shared" si="45"/>
        <v>838</v>
      </c>
    </row>
    <row r="265" spans="1:14" s="136" customFormat="1" ht="54" x14ac:dyDescent="0.35">
      <c r="A265" s="131"/>
      <c r="B265" s="576" t="s">
        <v>205</v>
      </c>
      <c r="C265" s="132" t="s">
        <v>412</v>
      </c>
      <c r="D265" s="133" t="s">
        <v>224</v>
      </c>
      <c r="E265" s="133" t="s">
        <v>39</v>
      </c>
      <c r="F265" s="86" t="s">
        <v>39</v>
      </c>
      <c r="G265" s="87" t="s">
        <v>42</v>
      </c>
      <c r="H265" s="87" t="s">
        <v>43</v>
      </c>
      <c r="I265" s="88" t="s">
        <v>44</v>
      </c>
      <c r="J265" s="89"/>
      <c r="K265" s="275">
        <f t="shared" si="45"/>
        <v>18830.600000000002</v>
      </c>
      <c r="L265" s="275">
        <f>L266</f>
        <v>0</v>
      </c>
      <c r="M265" s="275">
        <f t="shared" si="45"/>
        <v>18830.600000000002</v>
      </c>
      <c r="N265" s="275">
        <f t="shared" si="45"/>
        <v>838</v>
      </c>
    </row>
    <row r="266" spans="1:14" s="136" customFormat="1" ht="36" x14ac:dyDescent="0.35">
      <c r="A266" s="131"/>
      <c r="B266" s="576" t="s">
        <v>206</v>
      </c>
      <c r="C266" s="132" t="s">
        <v>412</v>
      </c>
      <c r="D266" s="133" t="s">
        <v>224</v>
      </c>
      <c r="E266" s="133" t="s">
        <v>39</v>
      </c>
      <c r="F266" s="86" t="s">
        <v>39</v>
      </c>
      <c r="G266" s="87" t="s">
        <v>45</v>
      </c>
      <c r="H266" s="87" t="s">
        <v>43</v>
      </c>
      <c r="I266" s="88" t="s">
        <v>44</v>
      </c>
      <c r="J266" s="89"/>
      <c r="K266" s="275">
        <f t="shared" si="45"/>
        <v>18830.600000000002</v>
      </c>
      <c r="L266" s="275">
        <f>L267</f>
        <v>0</v>
      </c>
      <c r="M266" s="275">
        <f t="shared" si="45"/>
        <v>18830.600000000002</v>
      </c>
      <c r="N266" s="275">
        <f t="shared" si="45"/>
        <v>838</v>
      </c>
    </row>
    <row r="267" spans="1:14" s="136" customFormat="1" ht="18" x14ac:dyDescent="0.35">
      <c r="A267" s="131"/>
      <c r="B267" s="576" t="s">
        <v>272</v>
      </c>
      <c r="C267" s="132" t="s">
        <v>412</v>
      </c>
      <c r="D267" s="133" t="s">
        <v>224</v>
      </c>
      <c r="E267" s="133" t="s">
        <v>39</v>
      </c>
      <c r="F267" s="86" t="s">
        <v>39</v>
      </c>
      <c r="G267" s="87" t="s">
        <v>45</v>
      </c>
      <c r="H267" s="87" t="s">
        <v>39</v>
      </c>
      <c r="I267" s="88" t="s">
        <v>44</v>
      </c>
      <c r="J267" s="89"/>
      <c r="K267" s="275">
        <f>K268+K270</f>
        <v>18830.600000000002</v>
      </c>
      <c r="L267" s="275">
        <f>L268+L270</f>
        <v>0</v>
      </c>
      <c r="M267" s="275">
        <f>M268+M270</f>
        <v>18830.600000000002</v>
      </c>
      <c r="N267" s="275">
        <f t="shared" ref="N267" si="46">N268+N270</f>
        <v>838</v>
      </c>
    </row>
    <row r="268" spans="1:14" s="136" customFormat="1" ht="36" x14ac:dyDescent="0.35">
      <c r="A268" s="131"/>
      <c r="B268" s="576" t="s">
        <v>208</v>
      </c>
      <c r="C268" s="132" t="s">
        <v>412</v>
      </c>
      <c r="D268" s="133" t="s">
        <v>224</v>
      </c>
      <c r="E268" s="133" t="s">
        <v>39</v>
      </c>
      <c r="F268" s="86" t="s">
        <v>39</v>
      </c>
      <c r="G268" s="87" t="s">
        <v>45</v>
      </c>
      <c r="H268" s="87" t="s">
        <v>39</v>
      </c>
      <c r="I268" s="88" t="s">
        <v>274</v>
      </c>
      <c r="J268" s="89"/>
      <c r="K268" s="275">
        <f t="shared" si="45"/>
        <v>862.4</v>
      </c>
      <c r="L268" s="275">
        <f t="shared" si="45"/>
        <v>0</v>
      </c>
      <c r="M268" s="275">
        <f t="shared" si="45"/>
        <v>862.4</v>
      </c>
      <c r="N268" s="275">
        <f t="shared" si="45"/>
        <v>838</v>
      </c>
    </row>
    <row r="269" spans="1:14" s="136" customFormat="1" ht="54" x14ac:dyDescent="0.35">
      <c r="A269" s="131"/>
      <c r="B269" s="576" t="s">
        <v>203</v>
      </c>
      <c r="C269" s="132" t="s">
        <v>412</v>
      </c>
      <c r="D269" s="133" t="s">
        <v>224</v>
      </c>
      <c r="E269" s="133" t="s">
        <v>39</v>
      </c>
      <c r="F269" s="86" t="s">
        <v>39</v>
      </c>
      <c r="G269" s="87" t="s">
        <v>45</v>
      </c>
      <c r="H269" s="87" t="s">
        <v>39</v>
      </c>
      <c r="I269" s="88" t="s">
        <v>274</v>
      </c>
      <c r="J269" s="89" t="s">
        <v>204</v>
      </c>
      <c r="K269" s="275">
        <f>1363.3-500.9</f>
        <v>862.4</v>
      </c>
      <c r="L269" s="24">
        <f>M269-K269</f>
        <v>0</v>
      </c>
      <c r="M269" s="275">
        <f>1363.3-500.9</f>
        <v>862.4</v>
      </c>
      <c r="N269" s="135">
        <v>838</v>
      </c>
    </row>
    <row r="270" spans="1:14" s="136" customFormat="1" ht="108" x14ac:dyDescent="0.35">
      <c r="A270" s="131"/>
      <c r="B270" s="599" t="s">
        <v>503</v>
      </c>
      <c r="C270" s="600" t="s">
        <v>412</v>
      </c>
      <c r="D270" s="601" t="s">
        <v>224</v>
      </c>
      <c r="E270" s="601" t="s">
        <v>39</v>
      </c>
      <c r="F270" s="369" t="s">
        <v>39</v>
      </c>
      <c r="G270" s="370" t="s">
        <v>45</v>
      </c>
      <c r="H270" s="370" t="s">
        <v>39</v>
      </c>
      <c r="I270" s="371" t="s">
        <v>502</v>
      </c>
      <c r="J270" s="429"/>
      <c r="K270" s="24">
        <f t="shared" ref="K270:N270" si="47">K271</f>
        <v>17968.2</v>
      </c>
      <c r="L270" s="24">
        <f>L271</f>
        <v>0</v>
      </c>
      <c r="M270" s="24">
        <f t="shared" si="47"/>
        <v>17968.2</v>
      </c>
      <c r="N270" s="24">
        <f t="shared" si="47"/>
        <v>0</v>
      </c>
    </row>
    <row r="271" spans="1:14" s="136" customFormat="1" ht="54" x14ac:dyDescent="0.35">
      <c r="A271" s="131"/>
      <c r="B271" s="599" t="s">
        <v>203</v>
      </c>
      <c r="C271" s="616" t="s">
        <v>412</v>
      </c>
      <c r="D271" s="617" t="s">
        <v>224</v>
      </c>
      <c r="E271" s="617" t="s">
        <v>39</v>
      </c>
      <c r="F271" s="607" t="s">
        <v>39</v>
      </c>
      <c r="G271" s="608" t="s">
        <v>45</v>
      </c>
      <c r="H271" s="608" t="s">
        <v>39</v>
      </c>
      <c r="I271" s="609" t="s">
        <v>502</v>
      </c>
      <c r="J271" s="429" t="s">
        <v>204</v>
      </c>
      <c r="K271" s="275">
        <v>17968.2</v>
      </c>
      <c r="L271" s="24">
        <f>M271-K271</f>
        <v>0</v>
      </c>
      <c r="M271" s="275">
        <v>17968.2</v>
      </c>
      <c r="N271" s="135">
        <v>0</v>
      </c>
    </row>
    <row r="272" spans="1:14" s="144" customFormat="1" ht="18" x14ac:dyDescent="0.35">
      <c r="A272" s="142"/>
      <c r="B272" s="577" t="s">
        <v>119</v>
      </c>
      <c r="C272" s="143" t="s">
        <v>412</v>
      </c>
      <c r="D272" s="107" t="s">
        <v>104</v>
      </c>
      <c r="E272" s="107"/>
      <c r="F272" s="104"/>
      <c r="G272" s="105"/>
      <c r="H272" s="105"/>
      <c r="I272" s="106"/>
      <c r="J272" s="107"/>
      <c r="K272" s="135">
        <f>K273+K419</f>
        <v>51897.914799999999</v>
      </c>
      <c r="L272" s="269">
        <f>L273+L419</f>
        <v>-4709.0463999999993</v>
      </c>
      <c r="M272" s="135">
        <f>M273+M419</f>
        <v>47188.868399999999</v>
      </c>
      <c r="N272" s="135">
        <f>N273+N419</f>
        <v>47188.868399999999</v>
      </c>
    </row>
    <row r="273" spans="1:14" s="144" customFormat="1" ht="18" x14ac:dyDescent="0.35">
      <c r="A273" s="142"/>
      <c r="B273" s="565" t="s">
        <v>193</v>
      </c>
      <c r="C273" s="143" t="s">
        <v>412</v>
      </c>
      <c r="D273" s="107" t="s">
        <v>104</v>
      </c>
      <c r="E273" s="107" t="s">
        <v>52</v>
      </c>
      <c r="F273" s="104"/>
      <c r="G273" s="105"/>
      <c r="H273" s="105"/>
      <c r="I273" s="106"/>
      <c r="J273" s="107"/>
      <c r="K273" s="135">
        <f t="shared" ref="K273:N275" si="48">K274</f>
        <v>51897.914799999999</v>
      </c>
      <c r="L273" s="135">
        <f t="shared" si="48"/>
        <v>-4709.0463999999993</v>
      </c>
      <c r="M273" s="135">
        <f t="shared" si="48"/>
        <v>47188.868399999999</v>
      </c>
      <c r="N273" s="135">
        <f t="shared" si="48"/>
        <v>47188.868399999999</v>
      </c>
    </row>
    <row r="274" spans="1:14" s="144" customFormat="1" ht="54" x14ac:dyDescent="0.35">
      <c r="A274" s="142"/>
      <c r="B274" s="573" t="s">
        <v>230</v>
      </c>
      <c r="C274" s="143" t="s">
        <v>412</v>
      </c>
      <c r="D274" s="107" t="s">
        <v>104</v>
      </c>
      <c r="E274" s="107" t="s">
        <v>52</v>
      </c>
      <c r="F274" s="104" t="s">
        <v>79</v>
      </c>
      <c r="G274" s="105" t="s">
        <v>42</v>
      </c>
      <c r="H274" s="105" t="s">
        <v>43</v>
      </c>
      <c r="I274" s="106" t="s">
        <v>44</v>
      </c>
      <c r="J274" s="107"/>
      <c r="K274" s="135">
        <f t="shared" si="48"/>
        <v>51897.914799999999</v>
      </c>
      <c r="L274" s="135">
        <f t="shared" si="48"/>
        <v>-4709.0463999999993</v>
      </c>
      <c r="M274" s="135">
        <f t="shared" si="48"/>
        <v>47188.868399999999</v>
      </c>
      <c r="N274" s="135">
        <f t="shared" si="48"/>
        <v>47188.868399999999</v>
      </c>
    </row>
    <row r="275" spans="1:14" s="144" customFormat="1" ht="36" x14ac:dyDescent="0.35">
      <c r="A275" s="142"/>
      <c r="B275" s="565" t="s">
        <v>339</v>
      </c>
      <c r="C275" s="143" t="s">
        <v>412</v>
      </c>
      <c r="D275" s="107" t="s">
        <v>104</v>
      </c>
      <c r="E275" s="107" t="s">
        <v>52</v>
      </c>
      <c r="F275" s="104" t="s">
        <v>79</v>
      </c>
      <c r="G275" s="105" t="s">
        <v>45</v>
      </c>
      <c r="H275" s="105" t="s">
        <v>43</v>
      </c>
      <c r="I275" s="106" t="s">
        <v>44</v>
      </c>
      <c r="J275" s="107"/>
      <c r="K275" s="135">
        <f t="shared" si="48"/>
        <v>51897.914799999999</v>
      </c>
      <c r="L275" s="135">
        <f t="shared" si="48"/>
        <v>-4709.0463999999993</v>
      </c>
      <c r="M275" s="135">
        <f t="shared" si="48"/>
        <v>47188.868399999999</v>
      </c>
      <c r="N275" s="135">
        <f t="shared" si="48"/>
        <v>47188.868399999999</v>
      </c>
    </row>
    <row r="276" spans="1:14" s="145" customFormat="1" ht="90" x14ac:dyDescent="0.35">
      <c r="A276" s="142"/>
      <c r="B276" s="565" t="s">
        <v>300</v>
      </c>
      <c r="C276" s="143" t="s">
        <v>412</v>
      </c>
      <c r="D276" s="107" t="s">
        <v>104</v>
      </c>
      <c r="E276" s="107" t="s">
        <v>52</v>
      </c>
      <c r="F276" s="104" t="s">
        <v>79</v>
      </c>
      <c r="G276" s="105" t="s">
        <v>45</v>
      </c>
      <c r="H276" s="105" t="s">
        <v>39</v>
      </c>
      <c r="I276" s="106" t="s">
        <v>44</v>
      </c>
      <c r="J276" s="107"/>
      <c r="K276" s="135">
        <f>K277+K279</f>
        <v>51897.914799999999</v>
      </c>
      <c r="L276" s="135">
        <f>L277+L279</f>
        <v>-4709.0463999999993</v>
      </c>
      <c r="M276" s="135">
        <f>M277+M279</f>
        <v>47188.868399999999</v>
      </c>
      <c r="N276" s="135">
        <f>N277+N279</f>
        <v>47188.868399999999</v>
      </c>
    </row>
    <row r="277" spans="1:14" s="136" customFormat="1" ht="108" x14ac:dyDescent="0.35">
      <c r="A277" s="131"/>
      <c r="B277" s="554" t="s">
        <v>414</v>
      </c>
      <c r="C277" s="132" t="s">
        <v>412</v>
      </c>
      <c r="D277" s="133" t="s">
        <v>104</v>
      </c>
      <c r="E277" s="133" t="s">
        <v>52</v>
      </c>
      <c r="F277" s="86" t="s">
        <v>79</v>
      </c>
      <c r="G277" s="87" t="s">
        <v>45</v>
      </c>
      <c r="H277" s="87" t="s">
        <v>39</v>
      </c>
      <c r="I277" s="108" t="s">
        <v>415</v>
      </c>
      <c r="J277" s="89"/>
      <c r="K277" s="135">
        <f>K278</f>
        <v>33362.914799999999</v>
      </c>
      <c r="L277" s="135">
        <f>L278</f>
        <v>-1903.7464</v>
      </c>
      <c r="M277" s="135">
        <f>M278</f>
        <v>31459.168399999999</v>
      </c>
      <c r="N277" s="135">
        <f>N278</f>
        <v>31459.168399999999</v>
      </c>
    </row>
    <row r="278" spans="1:14" s="136" customFormat="1" ht="54" x14ac:dyDescent="0.35">
      <c r="A278" s="131"/>
      <c r="B278" s="554" t="s">
        <v>203</v>
      </c>
      <c r="C278" s="132" t="s">
        <v>412</v>
      </c>
      <c r="D278" s="133" t="s">
        <v>104</v>
      </c>
      <c r="E278" s="133" t="s">
        <v>52</v>
      </c>
      <c r="F278" s="86" t="s">
        <v>79</v>
      </c>
      <c r="G278" s="87" t="s">
        <v>45</v>
      </c>
      <c r="H278" s="87" t="s">
        <v>39</v>
      </c>
      <c r="I278" s="108" t="s">
        <v>415</v>
      </c>
      <c r="J278" s="89" t="s">
        <v>204</v>
      </c>
      <c r="K278" s="201">
        <f>33362.9+0.0148</f>
        <v>33362.914799999999</v>
      </c>
      <c r="L278" s="24">
        <f>M278-K278</f>
        <v>-1903.7464</v>
      </c>
      <c r="M278" s="201">
        <f>33362.9+0.0148-1903.7464</f>
        <v>31459.168399999999</v>
      </c>
      <c r="N278" s="201">
        <f>33362.9+0.0148-1903.7464</f>
        <v>31459.168399999999</v>
      </c>
    </row>
    <row r="279" spans="1:14" s="136" customFormat="1" ht="108" x14ac:dyDescent="0.35">
      <c r="A279" s="131"/>
      <c r="B279" s="554" t="s">
        <v>414</v>
      </c>
      <c r="C279" s="132" t="s">
        <v>412</v>
      </c>
      <c r="D279" s="133" t="s">
        <v>104</v>
      </c>
      <c r="E279" s="133" t="s">
        <v>52</v>
      </c>
      <c r="F279" s="86" t="s">
        <v>79</v>
      </c>
      <c r="G279" s="87" t="s">
        <v>45</v>
      </c>
      <c r="H279" s="87" t="s">
        <v>39</v>
      </c>
      <c r="I279" s="108" t="s">
        <v>558</v>
      </c>
      <c r="J279" s="134"/>
      <c r="K279" s="263">
        <f>K280</f>
        <v>18535</v>
      </c>
      <c r="L279" s="263">
        <f>L280</f>
        <v>-2805.2999999999993</v>
      </c>
      <c r="M279" s="263">
        <f>M280</f>
        <v>15729.7</v>
      </c>
      <c r="N279" s="263">
        <f>N280</f>
        <v>15729.7</v>
      </c>
    </row>
    <row r="280" spans="1:14" s="136" customFormat="1" ht="54" x14ac:dyDescent="0.35">
      <c r="A280" s="642"/>
      <c r="B280" s="516" t="s">
        <v>203</v>
      </c>
      <c r="C280" s="177" t="s">
        <v>412</v>
      </c>
      <c r="D280" s="278" t="s">
        <v>104</v>
      </c>
      <c r="E280" s="278" t="s">
        <v>52</v>
      </c>
      <c r="F280" s="86" t="s">
        <v>79</v>
      </c>
      <c r="G280" s="87" t="s">
        <v>45</v>
      </c>
      <c r="H280" s="87" t="s">
        <v>39</v>
      </c>
      <c r="I280" s="108" t="s">
        <v>558</v>
      </c>
      <c r="J280" s="682" t="s">
        <v>204</v>
      </c>
      <c r="K280" s="263">
        <v>18535</v>
      </c>
      <c r="L280" s="24">
        <f>M280-K280</f>
        <v>-2805.2999999999993</v>
      </c>
      <c r="M280" s="263">
        <f>18535-2805.3</f>
        <v>15729.7</v>
      </c>
      <c r="N280" s="263">
        <f>18535-2805.3</f>
        <v>15729.7</v>
      </c>
    </row>
    <row r="281" spans="1:14" s="136" customFormat="1" ht="18" x14ac:dyDescent="0.35">
      <c r="A281" s="218"/>
      <c r="B281" s="683" t="s">
        <v>322</v>
      </c>
      <c r="C281" s="684" t="s">
        <v>412</v>
      </c>
      <c r="D281" s="685" t="s">
        <v>67</v>
      </c>
      <c r="E281" s="685"/>
      <c r="F281" s="686"/>
      <c r="G281" s="687"/>
      <c r="H281" s="687"/>
      <c r="I281" s="688"/>
      <c r="J281" s="689"/>
      <c r="K281" s="690"/>
      <c r="L281" s="681">
        <f t="shared" ref="L281:L286" si="49">L282</f>
        <v>11905.7</v>
      </c>
      <c r="M281" s="681">
        <f t="shared" ref="M281:N286" si="50">M282</f>
        <v>11905.7</v>
      </c>
      <c r="N281" s="681">
        <f t="shared" si="50"/>
        <v>0</v>
      </c>
    </row>
    <row r="282" spans="1:14" s="136" customFormat="1" ht="18" x14ac:dyDescent="0.35">
      <c r="A282" s="218"/>
      <c r="B282" s="691" t="s">
        <v>360</v>
      </c>
      <c r="C282" s="692" t="s">
        <v>412</v>
      </c>
      <c r="D282" s="685" t="s">
        <v>67</v>
      </c>
      <c r="E282" s="685" t="s">
        <v>37</v>
      </c>
      <c r="F282" s="693"/>
      <c r="G282" s="694"/>
      <c r="H282" s="694"/>
      <c r="I282" s="695"/>
      <c r="J282" s="689"/>
      <c r="K282" s="690"/>
      <c r="L282" s="681">
        <f t="shared" si="49"/>
        <v>11905.7</v>
      </c>
      <c r="M282" s="681">
        <f t="shared" si="50"/>
        <v>11905.7</v>
      </c>
      <c r="N282" s="681">
        <f t="shared" si="50"/>
        <v>0</v>
      </c>
    </row>
    <row r="283" spans="1:14" s="136" customFormat="1" ht="54" x14ac:dyDescent="0.35">
      <c r="A283" s="218"/>
      <c r="B283" s="675" t="s">
        <v>217</v>
      </c>
      <c r="C283" s="692" t="s">
        <v>412</v>
      </c>
      <c r="D283" s="685" t="s">
        <v>67</v>
      </c>
      <c r="E283" s="685" t="s">
        <v>37</v>
      </c>
      <c r="F283" s="693" t="s">
        <v>52</v>
      </c>
      <c r="G283" s="694" t="s">
        <v>42</v>
      </c>
      <c r="H283" s="694" t="s">
        <v>43</v>
      </c>
      <c r="I283" s="695" t="s">
        <v>44</v>
      </c>
      <c r="J283" s="689"/>
      <c r="K283" s="690"/>
      <c r="L283" s="681">
        <f t="shared" si="49"/>
        <v>11905.7</v>
      </c>
      <c r="M283" s="681">
        <f t="shared" si="50"/>
        <v>11905.7</v>
      </c>
      <c r="N283" s="681">
        <f t="shared" si="50"/>
        <v>0</v>
      </c>
    </row>
    <row r="284" spans="1:14" s="136" customFormat="1" ht="36" x14ac:dyDescent="0.35">
      <c r="A284" s="218"/>
      <c r="B284" s="691" t="s">
        <v>339</v>
      </c>
      <c r="C284" s="692" t="s">
        <v>412</v>
      </c>
      <c r="D284" s="685" t="s">
        <v>67</v>
      </c>
      <c r="E284" s="685" t="s">
        <v>37</v>
      </c>
      <c r="F284" s="693" t="s">
        <v>52</v>
      </c>
      <c r="G284" s="694" t="s">
        <v>31</v>
      </c>
      <c r="H284" s="694" t="s">
        <v>43</v>
      </c>
      <c r="I284" s="695" t="s">
        <v>44</v>
      </c>
      <c r="J284" s="689"/>
      <c r="K284" s="690"/>
      <c r="L284" s="681">
        <f t="shared" si="49"/>
        <v>11905.7</v>
      </c>
      <c r="M284" s="681">
        <f t="shared" si="50"/>
        <v>11905.7</v>
      </c>
      <c r="N284" s="681">
        <f t="shared" si="50"/>
        <v>0</v>
      </c>
    </row>
    <row r="285" spans="1:14" s="136" customFormat="1" ht="72" x14ac:dyDescent="0.35">
      <c r="A285" s="218"/>
      <c r="B285" s="675" t="s">
        <v>409</v>
      </c>
      <c r="C285" s="692" t="s">
        <v>412</v>
      </c>
      <c r="D285" s="685" t="s">
        <v>67</v>
      </c>
      <c r="E285" s="685" t="s">
        <v>37</v>
      </c>
      <c r="F285" s="693" t="s">
        <v>52</v>
      </c>
      <c r="G285" s="694" t="s">
        <v>31</v>
      </c>
      <c r="H285" s="694" t="s">
        <v>63</v>
      </c>
      <c r="I285" s="695" t="s">
        <v>44</v>
      </c>
      <c r="J285" s="689"/>
      <c r="K285" s="690"/>
      <c r="L285" s="681">
        <f t="shared" si="49"/>
        <v>11905.7</v>
      </c>
      <c r="M285" s="681">
        <f t="shared" si="50"/>
        <v>11905.7</v>
      </c>
      <c r="N285" s="681">
        <f t="shared" si="50"/>
        <v>0</v>
      </c>
    </row>
    <row r="286" spans="1:14" s="136" customFormat="1" ht="108" x14ac:dyDescent="0.35">
      <c r="A286" s="218"/>
      <c r="B286" s="696" t="s">
        <v>503</v>
      </c>
      <c r="C286" s="692" t="s">
        <v>412</v>
      </c>
      <c r="D286" s="685" t="s">
        <v>67</v>
      </c>
      <c r="E286" s="685" t="s">
        <v>37</v>
      </c>
      <c r="F286" s="693" t="s">
        <v>52</v>
      </c>
      <c r="G286" s="694" t="s">
        <v>31</v>
      </c>
      <c r="H286" s="694" t="s">
        <v>63</v>
      </c>
      <c r="I286" s="680" t="s">
        <v>502</v>
      </c>
      <c r="J286" s="689"/>
      <c r="K286" s="690"/>
      <c r="L286" s="681">
        <f t="shared" si="49"/>
        <v>11905.7</v>
      </c>
      <c r="M286" s="681">
        <f t="shared" si="50"/>
        <v>11905.7</v>
      </c>
      <c r="N286" s="681">
        <f t="shared" si="50"/>
        <v>0</v>
      </c>
    </row>
    <row r="287" spans="1:14" s="136" customFormat="1" ht="54" x14ac:dyDescent="0.35">
      <c r="A287" s="218"/>
      <c r="B287" s="697" t="s">
        <v>203</v>
      </c>
      <c r="C287" s="692" t="s">
        <v>412</v>
      </c>
      <c r="D287" s="685" t="s">
        <v>67</v>
      </c>
      <c r="E287" s="685" t="s">
        <v>37</v>
      </c>
      <c r="F287" s="693" t="s">
        <v>52</v>
      </c>
      <c r="G287" s="694" t="s">
        <v>31</v>
      </c>
      <c r="H287" s="694" t="s">
        <v>63</v>
      </c>
      <c r="I287" s="680" t="s">
        <v>502</v>
      </c>
      <c r="J287" s="689" t="s">
        <v>204</v>
      </c>
      <c r="K287" s="690"/>
      <c r="L287" s="681">
        <f>M287-K287</f>
        <v>11905.7</v>
      </c>
      <c r="M287" s="690">
        <f>11548.5+357.2</f>
        <v>11905.7</v>
      </c>
      <c r="N287" s="690">
        <v>0</v>
      </c>
    </row>
    <row r="288" spans="1:14" s="122" customFormat="1" ht="18" x14ac:dyDescent="0.35">
      <c r="A288" s="11"/>
      <c r="B288" s="510"/>
      <c r="C288" s="23"/>
      <c r="D288" s="10"/>
      <c r="E288" s="10"/>
      <c r="F288" s="668"/>
      <c r="G288" s="669"/>
      <c r="H288" s="669"/>
      <c r="I288" s="670"/>
      <c r="J288" s="10"/>
      <c r="K288" s="24"/>
      <c r="L288" s="24"/>
      <c r="M288" s="24"/>
      <c r="N288" s="24"/>
    </row>
    <row r="289" spans="1:19" s="120" customFormat="1" ht="52.2" x14ac:dyDescent="0.3">
      <c r="A289" s="115">
        <v>5</v>
      </c>
      <c r="B289" s="557" t="s">
        <v>7</v>
      </c>
      <c r="C289" s="18" t="s">
        <v>423</v>
      </c>
      <c r="D289" s="19"/>
      <c r="E289" s="19"/>
      <c r="F289" s="20"/>
      <c r="G289" s="21"/>
      <c r="H289" s="21"/>
      <c r="I289" s="22"/>
      <c r="J289" s="19"/>
      <c r="K289" s="32">
        <f>K303+K411+K290</f>
        <v>1255639.1000000001</v>
      </c>
      <c r="L289" s="32">
        <f>L303+L411+L290</f>
        <v>0</v>
      </c>
      <c r="M289" s="32">
        <f>M303+M411+M290</f>
        <v>1255639.1000000001</v>
      </c>
      <c r="N289" s="32">
        <f>N303+N411+N290</f>
        <v>1287262.7000000002</v>
      </c>
      <c r="O289" s="146"/>
      <c r="Q289" s="146"/>
      <c r="S289" s="146"/>
    </row>
    <row r="290" spans="1:19" s="120" customFormat="1" ht="18" x14ac:dyDescent="0.35">
      <c r="A290" s="115"/>
      <c r="B290" s="512" t="s">
        <v>36</v>
      </c>
      <c r="C290" s="244" t="s">
        <v>423</v>
      </c>
      <c r="D290" s="242" t="s">
        <v>37</v>
      </c>
      <c r="E290" s="85"/>
      <c r="F290" s="245"/>
      <c r="G290" s="91"/>
      <c r="H290" s="91"/>
      <c r="I290" s="92"/>
      <c r="J290" s="85"/>
      <c r="K290" s="215">
        <f t="shared" ref="K290:M291" si="51">K291</f>
        <v>276.10000000000002</v>
      </c>
      <c r="L290" s="215">
        <f t="shared" si="51"/>
        <v>0</v>
      </c>
      <c r="M290" s="215">
        <f t="shared" si="51"/>
        <v>276.10000000000002</v>
      </c>
      <c r="N290" s="215">
        <f>N291</f>
        <v>276.10000000000002</v>
      </c>
      <c r="O290" s="146"/>
    </row>
    <row r="291" spans="1:19" s="120" customFormat="1" ht="18" x14ac:dyDescent="0.35">
      <c r="A291" s="115"/>
      <c r="B291" s="512" t="s">
        <v>70</v>
      </c>
      <c r="C291" s="246" t="s">
        <v>423</v>
      </c>
      <c r="D291" s="242" t="s">
        <v>37</v>
      </c>
      <c r="E291" s="242" t="s">
        <v>71</v>
      </c>
      <c r="F291" s="245"/>
      <c r="G291" s="91"/>
      <c r="H291" s="91"/>
      <c r="I291" s="92"/>
      <c r="J291" s="85"/>
      <c r="K291" s="215">
        <f t="shared" si="51"/>
        <v>276.10000000000002</v>
      </c>
      <c r="L291" s="215">
        <f t="shared" si="51"/>
        <v>0</v>
      </c>
      <c r="M291" s="215">
        <f t="shared" si="51"/>
        <v>276.10000000000002</v>
      </c>
      <c r="N291" s="215">
        <f>N292</f>
        <v>276.10000000000002</v>
      </c>
      <c r="O291" s="146"/>
    </row>
    <row r="292" spans="1:19" s="120" customFormat="1" ht="54" x14ac:dyDescent="0.35">
      <c r="A292" s="115"/>
      <c r="B292" s="512" t="s">
        <v>205</v>
      </c>
      <c r="C292" s="244" t="s">
        <v>423</v>
      </c>
      <c r="D292" s="242" t="s">
        <v>37</v>
      </c>
      <c r="E292" s="242" t="s">
        <v>71</v>
      </c>
      <c r="F292" s="664" t="s">
        <v>39</v>
      </c>
      <c r="G292" s="665" t="s">
        <v>42</v>
      </c>
      <c r="H292" s="665" t="s">
        <v>43</v>
      </c>
      <c r="I292" s="666" t="s">
        <v>44</v>
      </c>
      <c r="J292" s="242"/>
      <c r="K292" s="215">
        <f>K293</f>
        <v>276.10000000000002</v>
      </c>
      <c r="L292" s="215">
        <f>L293</f>
        <v>0</v>
      </c>
      <c r="M292" s="215">
        <f>M293</f>
        <v>276.10000000000002</v>
      </c>
      <c r="N292" s="215">
        <f>N293</f>
        <v>276.10000000000002</v>
      </c>
      <c r="O292" s="146"/>
    </row>
    <row r="293" spans="1:19" s="120" customFormat="1" ht="54" x14ac:dyDescent="0.35">
      <c r="A293" s="115"/>
      <c r="B293" s="578" t="s">
        <v>212</v>
      </c>
      <c r="C293" s="244" t="s">
        <v>423</v>
      </c>
      <c r="D293" s="242" t="s">
        <v>37</v>
      </c>
      <c r="E293" s="242" t="s">
        <v>71</v>
      </c>
      <c r="F293" s="664" t="s">
        <v>39</v>
      </c>
      <c r="G293" s="665" t="s">
        <v>30</v>
      </c>
      <c r="H293" s="665" t="s">
        <v>43</v>
      </c>
      <c r="I293" s="666" t="s">
        <v>44</v>
      </c>
      <c r="J293" s="242"/>
      <c r="K293" s="215">
        <f>K294+K297+K300</f>
        <v>276.10000000000002</v>
      </c>
      <c r="L293" s="215">
        <f>L294+L297+L300</f>
        <v>0</v>
      </c>
      <c r="M293" s="215">
        <f>M294+M297+M300</f>
        <v>276.10000000000002</v>
      </c>
      <c r="N293" s="215">
        <f>N294+N297+N300</f>
        <v>276.10000000000002</v>
      </c>
      <c r="O293" s="146"/>
    </row>
    <row r="294" spans="1:19" s="120" customFormat="1" ht="36" x14ac:dyDescent="0.35">
      <c r="A294" s="115"/>
      <c r="B294" s="512" t="s">
        <v>351</v>
      </c>
      <c r="C294" s="244" t="s">
        <v>423</v>
      </c>
      <c r="D294" s="242" t="s">
        <v>37</v>
      </c>
      <c r="E294" s="242" t="s">
        <v>71</v>
      </c>
      <c r="F294" s="664" t="s">
        <v>39</v>
      </c>
      <c r="G294" s="665" t="s">
        <v>30</v>
      </c>
      <c r="H294" s="665" t="s">
        <v>63</v>
      </c>
      <c r="I294" s="666" t="s">
        <v>44</v>
      </c>
      <c r="J294" s="242"/>
      <c r="K294" s="215">
        <f t="shared" ref="K294:N295" si="52">K295</f>
        <v>141.5</v>
      </c>
      <c r="L294" s="215">
        <f t="shared" si="52"/>
        <v>0</v>
      </c>
      <c r="M294" s="215">
        <f t="shared" si="52"/>
        <v>141.5</v>
      </c>
      <c r="N294" s="215">
        <f t="shared" si="52"/>
        <v>141.5</v>
      </c>
      <c r="O294" s="146"/>
    </row>
    <row r="295" spans="1:19" s="120" customFormat="1" ht="54" x14ac:dyDescent="0.35">
      <c r="A295" s="115"/>
      <c r="B295" s="578" t="s">
        <v>472</v>
      </c>
      <c r="C295" s="246" t="s">
        <v>423</v>
      </c>
      <c r="D295" s="242" t="s">
        <v>37</v>
      </c>
      <c r="E295" s="242" t="s">
        <v>71</v>
      </c>
      <c r="F295" s="664" t="s">
        <v>39</v>
      </c>
      <c r="G295" s="665" t="s">
        <v>30</v>
      </c>
      <c r="H295" s="665" t="s">
        <v>63</v>
      </c>
      <c r="I295" s="666" t="s">
        <v>105</v>
      </c>
      <c r="J295" s="242"/>
      <c r="K295" s="215">
        <f t="shared" si="52"/>
        <v>141.5</v>
      </c>
      <c r="L295" s="215">
        <f t="shared" si="52"/>
        <v>0</v>
      </c>
      <c r="M295" s="215">
        <f t="shared" si="52"/>
        <v>141.5</v>
      </c>
      <c r="N295" s="215">
        <f t="shared" si="52"/>
        <v>141.5</v>
      </c>
      <c r="O295" s="146"/>
    </row>
    <row r="296" spans="1:19" s="120" customFormat="1" ht="54" x14ac:dyDescent="0.35">
      <c r="A296" s="115"/>
      <c r="B296" s="578" t="s">
        <v>55</v>
      </c>
      <c r="C296" s="246" t="s">
        <v>423</v>
      </c>
      <c r="D296" s="242" t="s">
        <v>37</v>
      </c>
      <c r="E296" s="242" t="s">
        <v>71</v>
      </c>
      <c r="F296" s="664" t="s">
        <v>39</v>
      </c>
      <c r="G296" s="665" t="s">
        <v>30</v>
      </c>
      <c r="H296" s="665" t="s">
        <v>63</v>
      </c>
      <c r="I296" s="666" t="s">
        <v>105</v>
      </c>
      <c r="J296" s="242" t="s">
        <v>56</v>
      </c>
      <c r="K296" s="215">
        <v>141.5</v>
      </c>
      <c r="L296" s="24">
        <f>M296-K296</f>
        <v>0</v>
      </c>
      <c r="M296" s="215">
        <v>141.5</v>
      </c>
      <c r="N296" s="215">
        <v>141.5</v>
      </c>
      <c r="O296" s="146"/>
    </row>
    <row r="297" spans="1:19" s="120" customFormat="1" ht="36" x14ac:dyDescent="0.35">
      <c r="A297" s="115"/>
      <c r="B297" s="578" t="s">
        <v>468</v>
      </c>
      <c r="C297" s="244" t="s">
        <v>423</v>
      </c>
      <c r="D297" s="242" t="s">
        <v>37</v>
      </c>
      <c r="E297" s="242" t="s">
        <v>71</v>
      </c>
      <c r="F297" s="664" t="s">
        <v>39</v>
      </c>
      <c r="G297" s="665" t="s">
        <v>30</v>
      </c>
      <c r="H297" s="665" t="s">
        <v>52</v>
      </c>
      <c r="I297" s="666" t="s">
        <v>44</v>
      </c>
      <c r="J297" s="242"/>
      <c r="K297" s="215">
        <f t="shared" ref="K297:N298" si="53">K298</f>
        <v>24</v>
      </c>
      <c r="L297" s="215">
        <f t="shared" si="53"/>
        <v>0</v>
      </c>
      <c r="M297" s="215">
        <f t="shared" si="53"/>
        <v>24</v>
      </c>
      <c r="N297" s="215">
        <f t="shared" si="53"/>
        <v>24</v>
      </c>
      <c r="O297" s="146"/>
    </row>
    <row r="298" spans="1:19" s="120" customFormat="1" ht="18" x14ac:dyDescent="0.35">
      <c r="A298" s="115"/>
      <c r="B298" s="578" t="s">
        <v>473</v>
      </c>
      <c r="C298" s="246" t="s">
        <v>423</v>
      </c>
      <c r="D298" s="242" t="s">
        <v>37</v>
      </c>
      <c r="E298" s="242" t="s">
        <v>71</v>
      </c>
      <c r="F298" s="664" t="s">
        <v>39</v>
      </c>
      <c r="G298" s="665" t="s">
        <v>30</v>
      </c>
      <c r="H298" s="665" t="s">
        <v>52</v>
      </c>
      <c r="I298" s="666" t="s">
        <v>467</v>
      </c>
      <c r="J298" s="242"/>
      <c r="K298" s="215">
        <f t="shared" si="53"/>
        <v>24</v>
      </c>
      <c r="L298" s="215">
        <f t="shared" si="53"/>
        <v>0</v>
      </c>
      <c r="M298" s="215">
        <f t="shared" si="53"/>
        <v>24</v>
      </c>
      <c r="N298" s="215">
        <f t="shared" si="53"/>
        <v>24</v>
      </c>
      <c r="O298" s="146"/>
    </row>
    <row r="299" spans="1:19" s="120" customFormat="1" ht="54" x14ac:dyDescent="0.35">
      <c r="A299" s="115"/>
      <c r="B299" s="578" t="s">
        <v>55</v>
      </c>
      <c r="C299" s="246" t="s">
        <v>423</v>
      </c>
      <c r="D299" s="242" t="s">
        <v>37</v>
      </c>
      <c r="E299" s="242" t="s">
        <v>71</v>
      </c>
      <c r="F299" s="664" t="s">
        <v>39</v>
      </c>
      <c r="G299" s="665" t="s">
        <v>30</v>
      </c>
      <c r="H299" s="665" t="s">
        <v>52</v>
      </c>
      <c r="I299" s="666" t="s">
        <v>467</v>
      </c>
      <c r="J299" s="242" t="s">
        <v>56</v>
      </c>
      <c r="K299" s="215">
        <v>24</v>
      </c>
      <c r="L299" s="24">
        <f>M299-K299</f>
        <v>0</v>
      </c>
      <c r="M299" s="215">
        <v>24</v>
      </c>
      <c r="N299" s="215">
        <v>24</v>
      </c>
      <c r="O299" s="146"/>
    </row>
    <row r="300" spans="1:19" s="120" customFormat="1" ht="36" x14ac:dyDescent="0.35">
      <c r="A300" s="115"/>
      <c r="B300" s="578" t="s">
        <v>471</v>
      </c>
      <c r="C300" s="246" t="s">
        <v>423</v>
      </c>
      <c r="D300" s="242" t="s">
        <v>37</v>
      </c>
      <c r="E300" s="242" t="s">
        <v>71</v>
      </c>
      <c r="F300" s="664" t="s">
        <v>39</v>
      </c>
      <c r="G300" s="665" t="s">
        <v>30</v>
      </c>
      <c r="H300" s="665" t="s">
        <v>65</v>
      </c>
      <c r="I300" s="405" t="s">
        <v>44</v>
      </c>
      <c r="J300" s="83"/>
      <c r="K300" s="215">
        <f t="shared" ref="K300:N301" si="54">K301</f>
        <v>110.6</v>
      </c>
      <c r="L300" s="215">
        <f t="shared" si="54"/>
        <v>0</v>
      </c>
      <c r="M300" s="215">
        <f t="shared" si="54"/>
        <v>110.6</v>
      </c>
      <c r="N300" s="215">
        <f t="shared" si="54"/>
        <v>110.6</v>
      </c>
      <c r="O300" s="146"/>
    </row>
    <row r="301" spans="1:19" s="120" customFormat="1" ht="36" x14ac:dyDescent="0.35">
      <c r="A301" s="115"/>
      <c r="B301" s="578" t="s">
        <v>127</v>
      </c>
      <c r="C301" s="246" t="s">
        <v>423</v>
      </c>
      <c r="D301" s="242" t="s">
        <v>37</v>
      </c>
      <c r="E301" s="242" t="s">
        <v>71</v>
      </c>
      <c r="F301" s="664" t="s">
        <v>39</v>
      </c>
      <c r="G301" s="665" t="s">
        <v>30</v>
      </c>
      <c r="H301" s="665" t="s">
        <v>65</v>
      </c>
      <c r="I301" s="405" t="s">
        <v>90</v>
      </c>
      <c r="J301" s="83"/>
      <c r="K301" s="215">
        <f t="shared" si="54"/>
        <v>110.6</v>
      </c>
      <c r="L301" s="215">
        <f t="shared" si="54"/>
        <v>0</v>
      </c>
      <c r="M301" s="215">
        <f t="shared" si="54"/>
        <v>110.6</v>
      </c>
      <c r="N301" s="215">
        <f t="shared" si="54"/>
        <v>110.6</v>
      </c>
      <c r="O301" s="146"/>
    </row>
    <row r="302" spans="1:19" s="120" customFormat="1" ht="54" x14ac:dyDescent="0.35">
      <c r="A302" s="115"/>
      <c r="B302" s="578" t="s">
        <v>55</v>
      </c>
      <c r="C302" s="246" t="s">
        <v>423</v>
      </c>
      <c r="D302" s="242" t="s">
        <v>37</v>
      </c>
      <c r="E302" s="242" t="s">
        <v>71</v>
      </c>
      <c r="F302" s="664" t="s">
        <v>39</v>
      </c>
      <c r="G302" s="665" t="s">
        <v>30</v>
      </c>
      <c r="H302" s="665" t="s">
        <v>65</v>
      </c>
      <c r="I302" s="405" t="s">
        <v>90</v>
      </c>
      <c r="J302" s="83" t="s">
        <v>56</v>
      </c>
      <c r="K302" s="215">
        <v>110.6</v>
      </c>
      <c r="L302" s="24">
        <f>M302-K302</f>
        <v>0</v>
      </c>
      <c r="M302" s="215">
        <v>110.6</v>
      </c>
      <c r="N302" s="215">
        <v>110.6</v>
      </c>
      <c r="O302" s="146"/>
    </row>
    <row r="303" spans="1:19" s="121" customFormat="1" ht="18" x14ac:dyDescent="0.35">
      <c r="A303" s="11"/>
      <c r="B303" s="510" t="s">
        <v>179</v>
      </c>
      <c r="C303" s="23" t="s">
        <v>423</v>
      </c>
      <c r="D303" s="10" t="s">
        <v>224</v>
      </c>
      <c r="E303" s="10"/>
      <c r="F303" s="668"/>
      <c r="G303" s="669"/>
      <c r="H303" s="669"/>
      <c r="I303" s="670"/>
      <c r="J303" s="10"/>
      <c r="K303" s="24">
        <f>K304+K321+K388+K372</f>
        <v>1249070.1000000001</v>
      </c>
      <c r="L303" s="24">
        <f>L304+L321+L388+L372</f>
        <v>0</v>
      </c>
      <c r="M303" s="24">
        <f>M304+M321+M388+M372</f>
        <v>1249070.1000000001</v>
      </c>
      <c r="N303" s="24">
        <f>N304+N321+N388+N372</f>
        <v>1280693.7000000002</v>
      </c>
      <c r="O303" s="147"/>
    </row>
    <row r="304" spans="1:19" s="120" customFormat="1" ht="18" x14ac:dyDescent="0.35">
      <c r="A304" s="11"/>
      <c r="B304" s="510" t="s">
        <v>181</v>
      </c>
      <c r="C304" s="23" t="s">
        <v>423</v>
      </c>
      <c r="D304" s="10" t="s">
        <v>224</v>
      </c>
      <c r="E304" s="10" t="s">
        <v>37</v>
      </c>
      <c r="F304" s="668"/>
      <c r="G304" s="669"/>
      <c r="H304" s="669"/>
      <c r="I304" s="670"/>
      <c r="J304" s="10"/>
      <c r="K304" s="24">
        <f>K305+K316</f>
        <v>386437.70000000007</v>
      </c>
      <c r="L304" s="24">
        <f>L305+L316</f>
        <v>0</v>
      </c>
      <c r="M304" s="24">
        <f>M305+M316</f>
        <v>386437.70000000007</v>
      </c>
      <c r="N304" s="24">
        <f>N305+N316</f>
        <v>399716.60000000003</v>
      </c>
    </row>
    <row r="305" spans="1:14" s="120" customFormat="1" ht="54" x14ac:dyDescent="0.35">
      <c r="A305" s="11"/>
      <c r="B305" s="510" t="s">
        <v>205</v>
      </c>
      <c r="C305" s="23" t="s">
        <v>423</v>
      </c>
      <c r="D305" s="10" t="s">
        <v>224</v>
      </c>
      <c r="E305" s="10" t="s">
        <v>37</v>
      </c>
      <c r="F305" s="668" t="s">
        <v>39</v>
      </c>
      <c r="G305" s="669" t="s">
        <v>42</v>
      </c>
      <c r="H305" s="669" t="s">
        <v>43</v>
      </c>
      <c r="I305" s="670" t="s">
        <v>44</v>
      </c>
      <c r="J305" s="10"/>
      <c r="K305" s="24">
        <f t="shared" ref="K305:N306" si="55">K306</f>
        <v>386384.30000000005</v>
      </c>
      <c r="L305" s="24">
        <f t="shared" si="55"/>
        <v>0</v>
      </c>
      <c r="M305" s="24">
        <f t="shared" si="55"/>
        <v>386384.30000000005</v>
      </c>
      <c r="N305" s="24">
        <f t="shared" si="55"/>
        <v>399663.2</v>
      </c>
    </row>
    <row r="306" spans="1:14" s="120" customFormat="1" ht="36" x14ac:dyDescent="0.35">
      <c r="A306" s="11"/>
      <c r="B306" s="510" t="s">
        <v>206</v>
      </c>
      <c r="C306" s="23" t="s">
        <v>423</v>
      </c>
      <c r="D306" s="10" t="s">
        <v>224</v>
      </c>
      <c r="E306" s="10" t="s">
        <v>37</v>
      </c>
      <c r="F306" s="668" t="s">
        <v>39</v>
      </c>
      <c r="G306" s="669" t="s">
        <v>45</v>
      </c>
      <c r="H306" s="669" t="s">
        <v>43</v>
      </c>
      <c r="I306" s="670" t="s">
        <v>44</v>
      </c>
      <c r="J306" s="10"/>
      <c r="K306" s="24">
        <f>K307</f>
        <v>386384.30000000005</v>
      </c>
      <c r="L306" s="24">
        <f>L307</f>
        <v>0</v>
      </c>
      <c r="M306" s="24">
        <f>M307</f>
        <v>386384.30000000005</v>
      </c>
      <c r="N306" s="24">
        <f t="shared" si="55"/>
        <v>399663.2</v>
      </c>
    </row>
    <row r="307" spans="1:14" s="120" customFormat="1" ht="36" x14ac:dyDescent="0.35">
      <c r="A307" s="11"/>
      <c r="B307" s="510" t="s">
        <v>267</v>
      </c>
      <c r="C307" s="23" t="s">
        <v>423</v>
      </c>
      <c r="D307" s="10" t="s">
        <v>224</v>
      </c>
      <c r="E307" s="10" t="s">
        <v>37</v>
      </c>
      <c r="F307" s="668" t="s">
        <v>39</v>
      </c>
      <c r="G307" s="669" t="s">
        <v>45</v>
      </c>
      <c r="H307" s="669" t="s">
        <v>37</v>
      </c>
      <c r="I307" s="670" t="s">
        <v>44</v>
      </c>
      <c r="J307" s="10"/>
      <c r="K307" s="24">
        <f>K312+K310+K314+K308</f>
        <v>386384.30000000005</v>
      </c>
      <c r="L307" s="24">
        <f>L312+L310+L314+L308</f>
        <v>0</v>
      </c>
      <c r="M307" s="24">
        <f>M312+M310+M314+M308</f>
        <v>386384.30000000005</v>
      </c>
      <c r="N307" s="24">
        <f>N312+N310+N314+N308</f>
        <v>399663.2</v>
      </c>
    </row>
    <row r="308" spans="1:14" s="116" customFormat="1" ht="36" x14ac:dyDescent="0.35">
      <c r="A308" s="11"/>
      <c r="B308" s="588" t="s">
        <v>464</v>
      </c>
      <c r="C308" s="23" t="s">
        <v>423</v>
      </c>
      <c r="D308" s="10" t="s">
        <v>224</v>
      </c>
      <c r="E308" s="10" t="s">
        <v>37</v>
      </c>
      <c r="F308" s="668" t="s">
        <v>39</v>
      </c>
      <c r="G308" s="669" t="s">
        <v>45</v>
      </c>
      <c r="H308" s="669" t="s">
        <v>37</v>
      </c>
      <c r="I308" s="670" t="s">
        <v>91</v>
      </c>
      <c r="J308" s="10"/>
      <c r="K308" s="24">
        <f>K309</f>
        <v>110229.7</v>
      </c>
      <c r="L308" s="24">
        <f>L309</f>
        <v>0</v>
      </c>
      <c r="M308" s="24">
        <f>M309</f>
        <v>110229.7</v>
      </c>
      <c r="N308" s="24">
        <f>N309</f>
        <v>123486.2</v>
      </c>
    </row>
    <row r="309" spans="1:14" s="116" customFormat="1" ht="54" x14ac:dyDescent="0.35">
      <c r="A309" s="11"/>
      <c r="B309" s="510" t="s">
        <v>76</v>
      </c>
      <c r="C309" s="23" t="s">
        <v>423</v>
      </c>
      <c r="D309" s="10" t="s">
        <v>224</v>
      </c>
      <c r="E309" s="10" t="s">
        <v>37</v>
      </c>
      <c r="F309" s="668" t="s">
        <v>39</v>
      </c>
      <c r="G309" s="669" t="s">
        <v>45</v>
      </c>
      <c r="H309" s="669" t="s">
        <v>37</v>
      </c>
      <c r="I309" s="670" t="s">
        <v>91</v>
      </c>
      <c r="J309" s="10" t="s">
        <v>77</v>
      </c>
      <c r="K309" s="24">
        <v>110229.7</v>
      </c>
      <c r="L309" s="24">
        <f>M309-K309</f>
        <v>0</v>
      </c>
      <c r="M309" s="24">
        <v>110229.7</v>
      </c>
      <c r="N309" s="24">
        <v>123486.2</v>
      </c>
    </row>
    <row r="310" spans="1:14" s="116" customFormat="1" ht="54" x14ac:dyDescent="0.35">
      <c r="A310" s="11"/>
      <c r="B310" s="510" t="s">
        <v>207</v>
      </c>
      <c r="C310" s="23" t="s">
        <v>423</v>
      </c>
      <c r="D310" s="10" t="s">
        <v>224</v>
      </c>
      <c r="E310" s="10" t="s">
        <v>37</v>
      </c>
      <c r="F310" s="668" t="s">
        <v>39</v>
      </c>
      <c r="G310" s="669" t="s">
        <v>45</v>
      </c>
      <c r="H310" s="669" t="s">
        <v>37</v>
      </c>
      <c r="I310" s="670" t="s">
        <v>273</v>
      </c>
      <c r="J310" s="10"/>
      <c r="K310" s="24">
        <f>K311</f>
        <v>30855.9</v>
      </c>
      <c r="L310" s="24">
        <f>L311</f>
        <v>0</v>
      </c>
      <c r="M310" s="24">
        <f>M311</f>
        <v>30855.9</v>
      </c>
      <c r="N310" s="24">
        <f>N311</f>
        <v>30855.9</v>
      </c>
    </row>
    <row r="311" spans="1:14" s="116" customFormat="1" ht="54" x14ac:dyDescent="0.35">
      <c r="A311" s="11"/>
      <c r="B311" s="510" t="s">
        <v>76</v>
      </c>
      <c r="C311" s="23" t="s">
        <v>423</v>
      </c>
      <c r="D311" s="10" t="s">
        <v>224</v>
      </c>
      <c r="E311" s="10" t="s">
        <v>37</v>
      </c>
      <c r="F311" s="668" t="s">
        <v>39</v>
      </c>
      <c r="G311" s="669" t="s">
        <v>45</v>
      </c>
      <c r="H311" s="669" t="s">
        <v>37</v>
      </c>
      <c r="I311" s="670" t="s">
        <v>273</v>
      </c>
      <c r="J311" s="10" t="s">
        <v>77</v>
      </c>
      <c r="K311" s="24">
        <v>30855.9</v>
      </c>
      <c r="L311" s="24">
        <f>M311-K311</f>
        <v>0</v>
      </c>
      <c r="M311" s="24">
        <v>30855.9</v>
      </c>
      <c r="N311" s="24">
        <v>30855.9</v>
      </c>
    </row>
    <row r="312" spans="1:14" s="120" customFormat="1" ht="180" x14ac:dyDescent="0.35">
      <c r="A312" s="11"/>
      <c r="B312" s="510" t="s">
        <v>268</v>
      </c>
      <c r="C312" s="23" t="s">
        <v>423</v>
      </c>
      <c r="D312" s="10" t="s">
        <v>224</v>
      </c>
      <c r="E312" s="10" t="s">
        <v>37</v>
      </c>
      <c r="F312" s="668" t="s">
        <v>39</v>
      </c>
      <c r="G312" s="669" t="s">
        <v>45</v>
      </c>
      <c r="H312" s="669" t="s">
        <v>37</v>
      </c>
      <c r="I312" s="670" t="s">
        <v>269</v>
      </c>
      <c r="J312" s="10"/>
      <c r="K312" s="24">
        <f>K313</f>
        <v>557.9</v>
      </c>
      <c r="L312" s="24">
        <f>L313</f>
        <v>0</v>
      </c>
      <c r="M312" s="24">
        <f>M313</f>
        <v>557.9</v>
      </c>
      <c r="N312" s="24">
        <f>N313</f>
        <v>580.29999999999995</v>
      </c>
    </row>
    <row r="313" spans="1:14" s="120" customFormat="1" ht="54" x14ac:dyDescent="0.35">
      <c r="A313" s="11"/>
      <c r="B313" s="510" t="s">
        <v>76</v>
      </c>
      <c r="C313" s="23" t="s">
        <v>423</v>
      </c>
      <c r="D313" s="10" t="s">
        <v>224</v>
      </c>
      <c r="E313" s="10" t="s">
        <v>37</v>
      </c>
      <c r="F313" s="668" t="s">
        <v>39</v>
      </c>
      <c r="G313" s="669" t="s">
        <v>45</v>
      </c>
      <c r="H313" s="669" t="s">
        <v>37</v>
      </c>
      <c r="I313" s="670" t="s">
        <v>269</v>
      </c>
      <c r="J313" s="10" t="s">
        <v>77</v>
      </c>
      <c r="K313" s="24">
        <v>557.9</v>
      </c>
      <c r="L313" s="24">
        <f>M313-K313</f>
        <v>0</v>
      </c>
      <c r="M313" s="24">
        <v>557.9</v>
      </c>
      <c r="N313" s="24">
        <v>580.29999999999995</v>
      </c>
    </row>
    <row r="314" spans="1:14" s="120" customFormat="1" ht="108" x14ac:dyDescent="0.35">
      <c r="A314" s="11"/>
      <c r="B314" s="510" t="s">
        <v>345</v>
      </c>
      <c r="C314" s="23" t="s">
        <v>423</v>
      </c>
      <c r="D314" s="10" t="s">
        <v>224</v>
      </c>
      <c r="E314" s="10" t="s">
        <v>37</v>
      </c>
      <c r="F314" s="668" t="s">
        <v>39</v>
      </c>
      <c r="G314" s="669" t="s">
        <v>45</v>
      </c>
      <c r="H314" s="669" t="s">
        <v>37</v>
      </c>
      <c r="I314" s="670" t="s">
        <v>270</v>
      </c>
      <c r="J314" s="10"/>
      <c r="K314" s="24">
        <f>K315</f>
        <v>244740.80000000002</v>
      </c>
      <c r="L314" s="24">
        <f>L315</f>
        <v>0</v>
      </c>
      <c r="M314" s="24">
        <f>M315</f>
        <v>244740.80000000002</v>
      </c>
      <c r="N314" s="24">
        <f>N315</f>
        <v>244740.80000000002</v>
      </c>
    </row>
    <row r="315" spans="1:14" s="120" customFormat="1" ht="54" x14ac:dyDescent="0.35">
      <c r="A315" s="11"/>
      <c r="B315" s="510" t="s">
        <v>76</v>
      </c>
      <c r="C315" s="23" t="s">
        <v>423</v>
      </c>
      <c r="D315" s="10" t="s">
        <v>224</v>
      </c>
      <c r="E315" s="10" t="s">
        <v>37</v>
      </c>
      <c r="F315" s="668" t="s">
        <v>39</v>
      </c>
      <c r="G315" s="669" t="s">
        <v>45</v>
      </c>
      <c r="H315" s="669" t="s">
        <v>37</v>
      </c>
      <c r="I315" s="670" t="s">
        <v>270</v>
      </c>
      <c r="J315" s="10" t="s">
        <v>77</v>
      </c>
      <c r="K315" s="24">
        <f>242258.2+2482.6</f>
        <v>244740.80000000002</v>
      </c>
      <c r="L315" s="24">
        <f>M315-K315</f>
        <v>0</v>
      </c>
      <c r="M315" s="24">
        <f>242258.2+2482.6</f>
        <v>244740.80000000002</v>
      </c>
      <c r="N315" s="24">
        <f>242258.2+2482.6</f>
        <v>244740.80000000002</v>
      </c>
    </row>
    <row r="316" spans="1:14" s="120" customFormat="1" ht="54" x14ac:dyDescent="0.35">
      <c r="A316" s="11"/>
      <c r="B316" s="510" t="s">
        <v>233</v>
      </c>
      <c r="C316" s="23" t="s">
        <v>423</v>
      </c>
      <c r="D316" s="10" t="s">
        <v>224</v>
      </c>
      <c r="E316" s="10" t="s">
        <v>37</v>
      </c>
      <c r="F316" s="668" t="s">
        <v>234</v>
      </c>
      <c r="G316" s="669" t="s">
        <v>42</v>
      </c>
      <c r="H316" s="669" t="s">
        <v>43</v>
      </c>
      <c r="I316" s="670" t="s">
        <v>44</v>
      </c>
      <c r="J316" s="10"/>
      <c r="K316" s="24">
        <f t="shared" ref="K316:N319" si="56">K317</f>
        <v>53.4</v>
      </c>
      <c r="L316" s="24">
        <f t="shared" si="56"/>
        <v>0</v>
      </c>
      <c r="M316" s="24">
        <f t="shared" si="56"/>
        <v>53.4</v>
      </c>
      <c r="N316" s="24">
        <f t="shared" si="56"/>
        <v>53.4</v>
      </c>
    </row>
    <row r="317" spans="1:14" s="120" customFormat="1" ht="36" x14ac:dyDescent="0.35">
      <c r="A317" s="11"/>
      <c r="B317" s="510" t="s">
        <v>339</v>
      </c>
      <c r="C317" s="23" t="s">
        <v>423</v>
      </c>
      <c r="D317" s="10" t="s">
        <v>224</v>
      </c>
      <c r="E317" s="10" t="s">
        <v>37</v>
      </c>
      <c r="F317" s="668" t="s">
        <v>234</v>
      </c>
      <c r="G317" s="669" t="s">
        <v>45</v>
      </c>
      <c r="H317" s="669" t="s">
        <v>43</v>
      </c>
      <c r="I317" s="670" t="s">
        <v>44</v>
      </c>
      <c r="J317" s="10"/>
      <c r="K317" s="24">
        <f t="shared" si="56"/>
        <v>53.4</v>
      </c>
      <c r="L317" s="24">
        <f t="shared" si="56"/>
        <v>0</v>
      </c>
      <c r="M317" s="24">
        <f t="shared" si="56"/>
        <v>53.4</v>
      </c>
      <c r="N317" s="24">
        <f t="shared" si="56"/>
        <v>53.4</v>
      </c>
    </row>
    <row r="318" spans="1:14" s="120" customFormat="1" ht="144" x14ac:dyDescent="0.35">
      <c r="A318" s="11"/>
      <c r="B318" s="510" t="s">
        <v>741</v>
      </c>
      <c r="C318" s="23" t="s">
        <v>423</v>
      </c>
      <c r="D318" s="10" t="s">
        <v>224</v>
      </c>
      <c r="E318" s="10" t="s">
        <v>37</v>
      </c>
      <c r="F318" s="668" t="s">
        <v>234</v>
      </c>
      <c r="G318" s="669" t="s">
        <v>45</v>
      </c>
      <c r="H318" s="669" t="s">
        <v>37</v>
      </c>
      <c r="I318" s="670" t="s">
        <v>44</v>
      </c>
      <c r="J318" s="10"/>
      <c r="K318" s="24">
        <f>K319</f>
        <v>53.4</v>
      </c>
      <c r="L318" s="24">
        <f>L319</f>
        <v>0</v>
      </c>
      <c r="M318" s="24">
        <f>M319</f>
        <v>53.4</v>
      </c>
      <c r="N318" s="24">
        <f>N319</f>
        <v>53.4</v>
      </c>
    </row>
    <row r="319" spans="1:14" s="120" customFormat="1" ht="36" x14ac:dyDescent="0.35">
      <c r="A319" s="11"/>
      <c r="B319" s="510" t="s">
        <v>235</v>
      </c>
      <c r="C319" s="23" t="s">
        <v>423</v>
      </c>
      <c r="D319" s="10" t="s">
        <v>224</v>
      </c>
      <c r="E319" s="10" t="s">
        <v>37</v>
      </c>
      <c r="F319" s="668" t="s">
        <v>234</v>
      </c>
      <c r="G319" s="669" t="s">
        <v>45</v>
      </c>
      <c r="H319" s="669" t="s">
        <v>37</v>
      </c>
      <c r="I319" s="670" t="s">
        <v>280</v>
      </c>
      <c r="J319" s="10"/>
      <c r="K319" s="24">
        <f t="shared" si="56"/>
        <v>53.4</v>
      </c>
      <c r="L319" s="24">
        <f t="shared" si="56"/>
        <v>0</v>
      </c>
      <c r="M319" s="24">
        <f t="shared" si="56"/>
        <v>53.4</v>
      </c>
      <c r="N319" s="24">
        <f t="shared" si="56"/>
        <v>53.4</v>
      </c>
    </row>
    <row r="320" spans="1:14" s="120" customFormat="1" ht="54" x14ac:dyDescent="0.35">
      <c r="A320" s="11"/>
      <c r="B320" s="510" t="s">
        <v>76</v>
      </c>
      <c r="C320" s="23" t="s">
        <v>423</v>
      </c>
      <c r="D320" s="10" t="s">
        <v>224</v>
      </c>
      <c r="E320" s="10" t="s">
        <v>37</v>
      </c>
      <c r="F320" s="668" t="s">
        <v>234</v>
      </c>
      <c r="G320" s="669" t="s">
        <v>45</v>
      </c>
      <c r="H320" s="669" t="s">
        <v>37</v>
      </c>
      <c r="I320" s="670" t="s">
        <v>280</v>
      </c>
      <c r="J320" s="10" t="s">
        <v>77</v>
      </c>
      <c r="K320" s="24">
        <v>53.4</v>
      </c>
      <c r="L320" s="24">
        <f>M320-K320</f>
        <v>0</v>
      </c>
      <c r="M320" s="24">
        <v>53.4</v>
      </c>
      <c r="N320" s="24">
        <v>53.4</v>
      </c>
    </row>
    <row r="321" spans="1:14" s="120" customFormat="1" ht="18" x14ac:dyDescent="0.35">
      <c r="A321" s="11"/>
      <c r="B321" s="510" t="s">
        <v>183</v>
      </c>
      <c r="C321" s="23" t="s">
        <v>423</v>
      </c>
      <c r="D321" s="10" t="s">
        <v>224</v>
      </c>
      <c r="E321" s="10" t="s">
        <v>39</v>
      </c>
      <c r="F321" s="668"/>
      <c r="G321" s="669"/>
      <c r="H321" s="669"/>
      <c r="I321" s="670"/>
      <c r="J321" s="10"/>
      <c r="K321" s="24">
        <f>K322</f>
        <v>703477.19999999984</v>
      </c>
      <c r="L321" s="24">
        <f>L322</f>
        <v>0</v>
      </c>
      <c r="M321" s="24">
        <f>M322</f>
        <v>703477.19999999984</v>
      </c>
      <c r="N321" s="24">
        <f>N322</f>
        <v>711473.5</v>
      </c>
    </row>
    <row r="322" spans="1:14" s="120" customFormat="1" ht="54" x14ac:dyDescent="0.35">
      <c r="A322" s="11"/>
      <c r="B322" s="510" t="s">
        <v>205</v>
      </c>
      <c r="C322" s="23" t="s">
        <v>423</v>
      </c>
      <c r="D322" s="10" t="s">
        <v>224</v>
      </c>
      <c r="E322" s="10" t="s">
        <v>39</v>
      </c>
      <c r="F322" s="668" t="s">
        <v>39</v>
      </c>
      <c r="G322" s="669" t="s">
        <v>42</v>
      </c>
      <c r="H322" s="669" t="s">
        <v>43</v>
      </c>
      <c r="I322" s="670" t="s">
        <v>44</v>
      </c>
      <c r="J322" s="10"/>
      <c r="K322" s="24">
        <f>K323+K367</f>
        <v>703477.19999999984</v>
      </c>
      <c r="L322" s="24">
        <f>L323+L367</f>
        <v>0</v>
      </c>
      <c r="M322" s="24">
        <f>M323+M367</f>
        <v>703477.19999999984</v>
      </c>
      <c r="N322" s="24">
        <f>N323+N367</f>
        <v>711473.5</v>
      </c>
    </row>
    <row r="323" spans="1:14" s="120" customFormat="1" ht="36" x14ac:dyDescent="0.35">
      <c r="A323" s="11"/>
      <c r="B323" s="510" t="s">
        <v>206</v>
      </c>
      <c r="C323" s="23" t="s">
        <v>423</v>
      </c>
      <c r="D323" s="10" t="s">
        <v>224</v>
      </c>
      <c r="E323" s="10" t="s">
        <v>39</v>
      </c>
      <c r="F323" s="668" t="s">
        <v>39</v>
      </c>
      <c r="G323" s="669" t="s">
        <v>45</v>
      </c>
      <c r="H323" s="669" t="s">
        <v>43</v>
      </c>
      <c r="I323" s="670" t="s">
        <v>44</v>
      </c>
      <c r="J323" s="10"/>
      <c r="K323" s="24">
        <f t="shared" ref="K323" si="57">K324+K364</f>
        <v>701304.59999999986</v>
      </c>
      <c r="L323" s="24">
        <f>L324+L364</f>
        <v>0</v>
      </c>
      <c r="M323" s="24">
        <f t="shared" ref="M323:N323" si="58">M324+M364</f>
        <v>701304.59999999986</v>
      </c>
      <c r="N323" s="24">
        <f t="shared" si="58"/>
        <v>709306.8</v>
      </c>
    </row>
    <row r="324" spans="1:14" s="120" customFormat="1" ht="18" x14ac:dyDescent="0.35">
      <c r="A324" s="11"/>
      <c r="B324" s="510" t="s">
        <v>272</v>
      </c>
      <c r="C324" s="23" t="s">
        <v>423</v>
      </c>
      <c r="D324" s="10" t="s">
        <v>224</v>
      </c>
      <c r="E324" s="10" t="s">
        <v>39</v>
      </c>
      <c r="F324" s="668" t="s">
        <v>39</v>
      </c>
      <c r="G324" s="669" t="s">
        <v>45</v>
      </c>
      <c r="H324" s="669" t="s">
        <v>39</v>
      </c>
      <c r="I324" s="670" t="s">
        <v>44</v>
      </c>
      <c r="J324" s="10"/>
      <c r="K324" s="24">
        <f>K340+K344+K348+K325+K333+K355+K337+K330+K360+K351+K358</f>
        <v>695847.09999999986</v>
      </c>
      <c r="L324" s="24">
        <f>L340+L344+L348+L325+L333+L355+L337+L330+L360+L351+L358</f>
        <v>0</v>
      </c>
      <c r="M324" s="24">
        <f>M340+M344+M348+M325+M333+M355+M337+M330+M360+M351+M358</f>
        <v>695847.09999999986</v>
      </c>
      <c r="N324" s="24">
        <f>N340+N344+N348+N325+N333+N355+N337+N330+N360+N351+N358</f>
        <v>703849.3</v>
      </c>
    </row>
    <row r="325" spans="1:14" s="116" customFormat="1" ht="36" x14ac:dyDescent="0.35">
      <c r="A325" s="11"/>
      <c r="B325" s="588" t="s">
        <v>464</v>
      </c>
      <c r="C325" s="23" t="s">
        <v>423</v>
      </c>
      <c r="D325" s="10" t="s">
        <v>224</v>
      </c>
      <c r="E325" s="10" t="s">
        <v>39</v>
      </c>
      <c r="F325" s="668" t="s">
        <v>39</v>
      </c>
      <c r="G325" s="669" t="s">
        <v>45</v>
      </c>
      <c r="H325" s="669" t="s">
        <v>39</v>
      </c>
      <c r="I325" s="670" t="s">
        <v>91</v>
      </c>
      <c r="J325" s="10"/>
      <c r="K325" s="24">
        <f>K328+K329+K327+K326</f>
        <v>81087.199999999997</v>
      </c>
      <c r="L325" s="24">
        <f>L328+L329+L327+L326</f>
        <v>0</v>
      </c>
      <c r="M325" s="24">
        <f>M328+M329+M327+M326</f>
        <v>81087.199999999997</v>
      </c>
      <c r="N325" s="24">
        <f>N328+N329+N327+N326</f>
        <v>94774.8</v>
      </c>
    </row>
    <row r="326" spans="1:14" s="116" customFormat="1" ht="108" x14ac:dyDescent="0.35">
      <c r="A326" s="11"/>
      <c r="B326" s="510" t="s">
        <v>49</v>
      </c>
      <c r="C326" s="23" t="s">
        <v>423</v>
      </c>
      <c r="D326" s="10" t="s">
        <v>224</v>
      </c>
      <c r="E326" s="10" t="s">
        <v>39</v>
      </c>
      <c r="F326" s="668" t="s">
        <v>39</v>
      </c>
      <c r="G326" s="669" t="s">
        <v>45</v>
      </c>
      <c r="H326" s="669" t="s">
        <v>39</v>
      </c>
      <c r="I326" s="670" t="s">
        <v>91</v>
      </c>
      <c r="J326" s="10" t="s">
        <v>50</v>
      </c>
      <c r="K326" s="24">
        <v>361.1</v>
      </c>
      <c r="L326" s="24">
        <f>M326-K326</f>
        <v>0</v>
      </c>
      <c r="M326" s="24">
        <v>361.1</v>
      </c>
      <c r="N326" s="24">
        <v>361.1</v>
      </c>
    </row>
    <row r="327" spans="1:14" s="116" customFormat="1" ht="54" x14ac:dyDescent="0.35">
      <c r="A327" s="11"/>
      <c r="B327" s="510" t="s">
        <v>55</v>
      </c>
      <c r="C327" s="23" t="s">
        <v>423</v>
      </c>
      <c r="D327" s="10" t="s">
        <v>224</v>
      </c>
      <c r="E327" s="10" t="s">
        <v>39</v>
      </c>
      <c r="F327" s="668" t="s">
        <v>39</v>
      </c>
      <c r="G327" s="669" t="s">
        <v>45</v>
      </c>
      <c r="H327" s="669" t="s">
        <v>39</v>
      </c>
      <c r="I327" s="670" t="s">
        <v>91</v>
      </c>
      <c r="J327" s="10" t="s">
        <v>56</v>
      </c>
      <c r="K327" s="24">
        <v>8467.9</v>
      </c>
      <c r="L327" s="24">
        <f>M327-K327</f>
        <v>0</v>
      </c>
      <c r="M327" s="24">
        <v>8467.9</v>
      </c>
      <c r="N327" s="24">
        <v>12418.4</v>
      </c>
    </row>
    <row r="328" spans="1:14" s="116" customFormat="1" ht="54" x14ac:dyDescent="0.35">
      <c r="A328" s="11"/>
      <c r="B328" s="510" t="s">
        <v>76</v>
      </c>
      <c r="C328" s="23" t="s">
        <v>423</v>
      </c>
      <c r="D328" s="10" t="s">
        <v>224</v>
      </c>
      <c r="E328" s="10" t="s">
        <v>39</v>
      </c>
      <c r="F328" s="668" t="s">
        <v>39</v>
      </c>
      <c r="G328" s="669" t="s">
        <v>45</v>
      </c>
      <c r="H328" s="669" t="s">
        <v>39</v>
      </c>
      <c r="I328" s="670" t="s">
        <v>91</v>
      </c>
      <c r="J328" s="10" t="s">
        <v>77</v>
      </c>
      <c r="K328" s="24">
        <v>71870.399999999994</v>
      </c>
      <c r="L328" s="24">
        <f>M328-K328</f>
        <v>0</v>
      </c>
      <c r="M328" s="24">
        <v>71870.399999999994</v>
      </c>
      <c r="N328" s="24">
        <v>81618.100000000006</v>
      </c>
    </row>
    <row r="329" spans="1:14" s="116" customFormat="1" ht="18" x14ac:dyDescent="0.35">
      <c r="A329" s="11"/>
      <c r="B329" s="510" t="s">
        <v>57</v>
      </c>
      <c r="C329" s="23" t="s">
        <v>423</v>
      </c>
      <c r="D329" s="10" t="s">
        <v>224</v>
      </c>
      <c r="E329" s="10" t="s">
        <v>39</v>
      </c>
      <c r="F329" s="668" t="s">
        <v>39</v>
      </c>
      <c r="G329" s="669" t="s">
        <v>45</v>
      </c>
      <c r="H329" s="669" t="s">
        <v>39</v>
      </c>
      <c r="I329" s="670" t="s">
        <v>91</v>
      </c>
      <c r="J329" s="10" t="s">
        <v>58</v>
      </c>
      <c r="K329" s="24">
        <v>387.8</v>
      </c>
      <c r="L329" s="24">
        <f>M329-K329</f>
        <v>0</v>
      </c>
      <c r="M329" s="24">
        <v>387.8</v>
      </c>
      <c r="N329" s="24">
        <v>377.2</v>
      </c>
    </row>
    <row r="330" spans="1:14" s="116" customFormat="1" ht="54" x14ac:dyDescent="0.35">
      <c r="A330" s="11"/>
      <c r="B330" s="510" t="s">
        <v>207</v>
      </c>
      <c r="C330" s="23" t="s">
        <v>423</v>
      </c>
      <c r="D330" s="10" t="s">
        <v>224</v>
      </c>
      <c r="E330" s="10" t="s">
        <v>39</v>
      </c>
      <c r="F330" s="668" t="s">
        <v>39</v>
      </c>
      <c r="G330" s="669" t="s">
        <v>45</v>
      </c>
      <c r="H330" s="669" t="s">
        <v>39</v>
      </c>
      <c r="I330" s="670" t="s">
        <v>273</v>
      </c>
      <c r="J330" s="10"/>
      <c r="K330" s="24">
        <f>K331+K332</f>
        <v>29811.599999999999</v>
      </c>
      <c r="L330" s="24">
        <f>L331+L332</f>
        <v>0</v>
      </c>
      <c r="M330" s="24">
        <f>M331+M332</f>
        <v>29811.599999999999</v>
      </c>
      <c r="N330" s="24">
        <f>N331+N332</f>
        <v>29811.599999999999</v>
      </c>
    </row>
    <row r="331" spans="1:14" s="116" customFormat="1" ht="54" x14ac:dyDescent="0.35">
      <c r="A331" s="11"/>
      <c r="B331" s="510" t="s">
        <v>55</v>
      </c>
      <c r="C331" s="23" t="s">
        <v>423</v>
      </c>
      <c r="D331" s="10" t="s">
        <v>224</v>
      </c>
      <c r="E331" s="10" t="s">
        <v>39</v>
      </c>
      <c r="F331" s="668" t="s">
        <v>39</v>
      </c>
      <c r="G331" s="669" t="s">
        <v>45</v>
      </c>
      <c r="H331" s="669" t="s">
        <v>39</v>
      </c>
      <c r="I331" s="670" t="s">
        <v>273</v>
      </c>
      <c r="J331" s="10" t="s">
        <v>56</v>
      </c>
      <c r="K331" s="24">
        <v>4257.3999999999996</v>
      </c>
      <c r="L331" s="24">
        <f>M331-K331</f>
        <v>0</v>
      </c>
      <c r="M331" s="24">
        <v>4257.3999999999996</v>
      </c>
      <c r="N331" s="24">
        <v>4257.3999999999996</v>
      </c>
    </row>
    <row r="332" spans="1:14" s="116" customFormat="1" ht="54" x14ac:dyDescent="0.35">
      <c r="A332" s="11"/>
      <c r="B332" s="510" t="s">
        <v>76</v>
      </c>
      <c r="C332" s="23" t="s">
        <v>423</v>
      </c>
      <c r="D332" s="10" t="s">
        <v>224</v>
      </c>
      <c r="E332" s="10" t="s">
        <v>39</v>
      </c>
      <c r="F332" s="668" t="s">
        <v>39</v>
      </c>
      <c r="G332" s="669" t="s">
        <v>45</v>
      </c>
      <c r="H332" s="669" t="s">
        <v>39</v>
      </c>
      <c r="I332" s="670" t="s">
        <v>273</v>
      </c>
      <c r="J332" s="10" t="s">
        <v>77</v>
      </c>
      <c r="K332" s="24">
        <v>25554.2</v>
      </c>
      <c r="L332" s="24">
        <f>M332-K332</f>
        <v>0</v>
      </c>
      <c r="M332" s="24">
        <v>25554.2</v>
      </c>
      <c r="N332" s="24">
        <v>25554.2</v>
      </c>
    </row>
    <row r="333" spans="1:14" s="116" customFormat="1" ht="36" x14ac:dyDescent="0.35">
      <c r="A333" s="11"/>
      <c r="B333" s="510" t="s">
        <v>208</v>
      </c>
      <c r="C333" s="23" t="s">
        <v>423</v>
      </c>
      <c r="D333" s="10" t="s">
        <v>224</v>
      </c>
      <c r="E333" s="10" t="s">
        <v>39</v>
      </c>
      <c r="F333" s="668" t="s">
        <v>39</v>
      </c>
      <c r="G333" s="669" t="s">
        <v>45</v>
      </c>
      <c r="H333" s="669" t="s">
        <v>39</v>
      </c>
      <c r="I333" s="670" t="s">
        <v>274</v>
      </c>
      <c r="J333" s="10"/>
      <c r="K333" s="24">
        <f>SUM(K334:K336)</f>
        <v>16500.3</v>
      </c>
      <c r="L333" s="24">
        <f>SUM(L334:L336)</f>
        <v>0</v>
      </c>
      <c r="M333" s="24">
        <f>SUM(M334:M336)</f>
        <v>16500.3</v>
      </c>
      <c r="N333" s="24">
        <f>SUM(N334:N336)</f>
        <v>16500.3</v>
      </c>
    </row>
    <row r="334" spans="1:14" s="116" customFormat="1" ht="108" x14ac:dyDescent="0.35">
      <c r="A334" s="11"/>
      <c r="B334" s="510" t="s">
        <v>49</v>
      </c>
      <c r="C334" s="23" t="s">
        <v>423</v>
      </c>
      <c r="D334" s="10" t="s">
        <v>224</v>
      </c>
      <c r="E334" s="10" t="s">
        <v>39</v>
      </c>
      <c r="F334" s="668" t="s">
        <v>39</v>
      </c>
      <c r="G334" s="669" t="s">
        <v>45</v>
      </c>
      <c r="H334" s="669" t="s">
        <v>39</v>
      </c>
      <c r="I334" s="670" t="s">
        <v>274</v>
      </c>
      <c r="J334" s="10" t="s">
        <v>50</v>
      </c>
      <c r="K334" s="24">
        <v>93.8</v>
      </c>
      <c r="L334" s="24">
        <f>M334-K334</f>
        <v>0</v>
      </c>
      <c r="M334" s="24">
        <v>93.8</v>
      </c>
      <c r="N334" s="24">
        <v>93.8</v>
      </c>
    </row>
    <row r="335" spans="1:14" s="116" customFormat="1" ht="54" x14ac:dyDescent="0.35">
      <c r="A335" s="11"/>
      <c r="B335" s="510" t="s">
        <v>55</v>
      </c>
      <c r="C335" s="23" t="s">
        <v>423</v>
      </c>
      <c r="D335" s="10" t="s">
        <v>224</v>
      </c>
      <c r="E335" s="10" t="s">
        <v>39</v>
      </c>
      <c r="F335" s="668" t="s">
        <v>39</v>
      </c>
      <c r="G335" s="669" t="s">
        <v>45</v>
      </c>
      <c r="H335" s="669" t="s">
        <v>39</v>
      </c>
      <c r="I335" s="670" t="s">
        <v>274</v>
      </c>
      <c r="J335" s="10" t="s">
        <v>56</v>
      </c>
      <c r="K335" s="24">
        <v>546.20000000000005</v>
      </c>
      <c r="L335" s="24">
        <f>M335-K335</f>
        <v>0</v>
      </c>
      <c r="M335" s="24">
        <v>546.20000000000005</v>
      </c>
      <c r="N335" s="24">
        <v>546.20000000000005</v>
      </c>
    </row>
    <row r="336" spans="1:14" s="116" customFormat="1" ht="54" x14ac:dyDescent="0.35">
      <c r="A336" s="11"/>
      <c r="B336" s="510" t="s">
        <v>76</v>
      </c>
      <c r="C336" s="23" t="s">
        <v>423</v>
      </c>
      <c r="D336" s="10" t="s">
        <v>224</v>
      </c>
      <c r="E336" s="10" t="s">
        <v>39</v>
      </c>
      <c r="F336" s="668" t="s">
        <v>39</v>
      </c>
      <c r="G336" s="669" t="s">
        <v>45</v>
      </c>
      <c r="H336" s="669" t="s">
        <v>39</v>
      </c>
      <c r="I336" s="670" t="s">
        <v>274</v>
      </c>
      <c r="J336" s="10" t="s">
        <v>77</v>
      </c>
      <c r="K336" s="24">
        <v>15860.3</v>
      </c>
      <c r="L336" s="24">
        <f>M336-K336</f>
        <v>0</v>
      </c>
      <c r="M336" s="24">
        <v>15860.3</v>
      </c>
      <c r="N336" s="24">
        <v>15860.3</v>
      </c>
    </row>
    <row r="337" spans="1:14" s="116" customFormat="1" ht="288" x14ac:dyDescent="0.35">
      <c r="A337" s="11"/>
      <c r="B337" s="510" t="s">
        <v>604</v>
      </c>
      <c r="C337" s="23" t="s">
        <v>423</v>
      </c>
      <c r="D337" s="10" t="s">
        <v>224</v>
      </c>
      <c r="E337" s="10" t="s">
        <v>39</v>
      </c>
      <c r="F337" s="668" t="s">
        <v>39</v>
      </c>
      <c r="G337" s="669" t="s">
        <v>45</v>
      </c>
      <c r="H337" s="669" t="s">
        <v>39</v>
      </c>
      <c r="I337" s="670" t="s">
        <v>522</v>
      </c>
      <c r="J337" s="10"/>
      <c r="K337" s="24">
        <f>K338+K339</f>
        <v>35752.9</v>
      </c>
      <c r="L337" s="24">
        <f>L338+L339</f>
        <v>0</v>
      </c>
      <c r="M337" s="24">
        <f>M338+M339</f>
        <v>35752.9</v>
      </c>
      <c r="N337" s="24">
        <f>N338+N339</f>
        <v>35752.9</v>
      </c>
    </row>
    <row r="338" spans="1:14" s="116" customFormat="1" ht="108" x14ac:dyDescent="0.35">
      <c r="A338" s="11"/>
      <c r="B338" s="510" t="s">
        <v>49</v>
      </c>
      <c r="C338" s="23" t="s">
        <v>423</v>
      </c>
      <c r="D338" s="10" t="s">
        <v>224</v>
      </c>
      <c r="E338" s="10" t="s">
        <v>39</v>
      </c>
      <c r="F338" s="668" t="s">
        <v>39</v>
      </c>
      <c r="G338" s="669" t="s">
        <v>45</v>
      </c>
      <c r="H338" s="669" t="s">
        <v>39</v>
      </c>
      <c r="I338" s="670" t="s">
        <v>522</v>
      </c>
      <c r="J338" s="10" t="s">
        <v>50</v>
      </c>
      <c r="K338" s="24">
        <v>2968.6</v>
      </c>
      <c r="L338" s="24">
        <f>M338-K338</f>
        <v>0</v>
      </c>
      <c r="M338" s="24">
        <v>2968.6</v>
      </c>
      <c r="N338" s="24">
        <v>2968.6</v>
      </c>
    </row>
    <row r="339" spans="1:14" s="116" customFormat="1" ht="54" x14ac:dyDescent="0.35">
      <c r="A339" s="11"/>
      <c r="B339" s="510" t="s">
        <v>76</v>
      </c>
      <c r="C339" s="23" t="s">
        <v>423</v>
      </c>
      <c r="D339" s="10" t="s">
        <v>224</v>
      </c>
      <c r="E339" s="10" t="s">
        <v>39</v>
      </c>
      <c r="F339" s="668" t="s">
        <v>39</v>
      </c>
      <c r="G339" s="669" t="s">
        <v>45</v>
      </c>
      <c r="H339" s="669" t="s">
        <v>39</v>
      </c>
      <c r="I339" s="670" t="s">
        <v>522</v>
      </c>
      <c r="J339" s="10" t="s">
        <v>77</v>
      </c>
      <c r="K339" s="24">
        <v>32784.300000000003</v>
      </c>
      <c r="L339" s="24">
        <f>M339-K339</f>
        <v>0</v>
      </c>
      <c r="M339" s="24">
        <v>32784.300000000003</v>
      </c>
      <c r="N339" s="24">
        <v>32784.300000000003</v>
      </c>
    </row>
    <row r="340" spans="1:14" s="120" customFormat="1" ht="180" x14ac:dyDescent="0.35">
      <c r="A340" s="11"/>
      <c r="B340" s="510" t="s">
        <v>268</v>
      </c>
      <c r="C340" s="23" t="s">
        <v>423</v>
      </c>
      <c r="D340" s="10" t="s">
        <v>224</v>
      </c>
      <c r="E340" s="10" t="s">
        <v>39</v>
      </c>
      <c r="F340" s="668" t="s">
        <v>39</v>
      </c>
      <c r="G340" s="669" t="s">
        <v>45</v>
      </c>
      <c r="H340" s="669" t="s">
        <v>39</v>
      </c>
      <c r="I340" s="670" t="s">
        <v>269</v>
      </c>
      <c r="J340" s="10"/>
      <c r="K340" s="24">
        <f>SUM(K341:K343)</f>
        <v>1599.6</v>
      </c>
      <c r="L340" s="24">
        <f>SUM(L341:L343)</f>
        <v>0</v>
      </c>
      <c r="M340" s="24">
        <f>SUM(M341:M343)</f>
        <v>1599.6</v>
      </c>
      <c r="N340" s="24">
        <f>SUM(N341:N343)</f>
        <v>1663.6</v>
      </c>
    </row>
    <row r="341" spans="1:14" s="120" customFormat="1" ht="108" x14ac:dyDescent="0.35">
      <c r="A341" s="11"/>
      <c r="B341" s="510" t="s">
        <v>49</v>
      </c>
      <c r="C341" s="23" t="s">
        <v>423</v>
      </c>
      <c r="D341" s="10" t="s">
        <v>224</v>
      </c>
      <c r="E341" s="10" t="s">
        <v>39</v>
      </c>
      <c r="F341" s="668" t="s">
        <v>39</v>
      </c>
      <c r="G341" s="669" t="s">
        <v>45</v>
      </c>
      <c r="H341" s="669" t="s">
        <v>39</v>
      </c>
      <c r="I341" s="670" t="s">
        <v>269</v>
      </c>
      <c r="J341" s="10" t="s">
        <v>50</v>
      </c>
      <c r="K341" s="24">
        <v>77.599999999999994</v>
      </c>
      <c r="L341" s="24">
        <f>M341-K341</f>
        <v>0</v>
      </c>
      <c r="M341" s="24">
        <v>77.599999999999994</v>
      </c>
      <c r="N341" s="24">
        <v>80</v>
      </c>
    </row>
    <row r="342" spans="1:14" s="120" customFormat="1" ht="36" x14ac:dyDescent="0.35">
      <c r="A342" s="11"/>
      <c r="B342" s="510" t="s">
        <v>120</v>
      </c>
      <c r="C342" s="23" t="s">
        <v>423</v>
      </c>
      <c r="D342" s="10" t="s">
        <v>224</v>
      </c>
      <c r="E342" s="10" t="s">
        <v>39</v>
      </c>
      <c r="F342" s="668" t="s">
        <v>39</v>
      </c>
      <c r="G342" s="669" t="s">
        <v>45</v>
      </c>
      <c r="H342" s="669" t="s">
        <v>39</v>
      </c>
      <c r="I342" s="670" t="s">
        <v>269</v>
      </c>
      <c r="J342" s="10" t="s">
        <v>121</v>
      </c>
      <c r="K342" s="24">
        <v>5.5</v>
      </c>
      <c r="L342" s="24">
        <f>M342-K342</f>
        <v>0</v>
      </c>
      <c r="M342" s="24">
        <v>5.5</v>
      </c>
      <c r="N342" s="24">
        <v>5.6</v>
      </c>
    </row>
    <row r="343" spans="1:14" s="120" customFormat="1" ht="54" x14ac:dyDescent="0.35">
      <c r="A343" s="11"/>
      <c r="B343" s="510" t="s">
        <v>76</v>
      </c>
      <c r="C343" s="23" t="s">
        <v>423</v>
      </c>
      <c r="D343" s="10" t="s">
        <v>224</v>
      </c>
      <c r="E343" s="10" t="s">
        <v>39</v>
      </c>
      <c r="F343" s="668" t="s">
        <v>39</v>
      </c>
      <c r="G343" s="669" t="s">
        <v>45</v>
      </c>
      <c r="H343" s="669" t="s">
        <v>39</v>
      </c>
      <c r="I343" s="670" t="s">
        <v>269</v>
      </c>
      <c r="J343" s="10" t="s">
        <v>77</v>
      </c>
      <c r="K343" s="24">
        <v>1516.5</v>
      </c>
      <c r="L343" s="24">
        <f>M343-K343</f>
        <v>0</v>
      </c>
      <c r="M343" s="24">
        <v>1516.5</v>
      </c>
      <c r="N343" s="24">
        <v>1578</v>
      </c>
    </row>
    <row r="344" spans="1:14" s="120" customFormat="1" ht="108" x14ac:dyDescent="0.35">
      <c r="A344" s="11"/>
      <c r="B344" s="510" t="s">
        <v>345</v>
      </c>
      <c r="C344" s="23" t="s">
        <v>423</v>
      </c>
      <c r="D344" s="10" t="s">
        <v>224</v>
      </c>
      <c r="E344" s="10" t="s">
        <v>39</v>
      </c>
      <c r="F344" s="668" t="s">
        <v>39</v>
      </c>
      <c r="G344" s="669" t="s">
        <v>45</v>
      </c>
      <c r="H344" s="669" t="s">
        <v>39</v>
      </c>
      <c r="I344" s="670" t="s">
        <v>270</v>
      </c>
      <c r="J344" s="10"/>
      <c r="K344" s="24">
        <f>K345+K346+K347</f>
        <v>444750.99999999994</v>
      </c>
      <c r="L344" s="24">
        <f>L345+L346+L347</f>
        <v>0</v>
      </c>
      <c r="M344" s="24">
        <f>M345+M346+M347</f>
        <v>444750.99999999994</v>
      </c>
      <c r="N344" s="24">
        <f>N345+N346+N347</f>
        <v>444788.39999999997</v>
      </c>
    </row>
    <row r="345" spans="1:14" s="120" customFormat="1" ht="108" x14ac:dyDescent="0.35">
      <c r="A345" s="11"/>
      <c r="B345" s="510" t="s">
        <v>49</v>
      </c>
      <c r="C345" s="23" t="s">
        <v>423</v>
      </c>
      <c r="D345" s="10" t="s">
        <v>224</v>
      </c>
      <c r="E345" s="10" t="s">
        <v>39</v>
      </c>
      <c r="F345" s="668" t="s">
        <v>39</v>
      </c>
      <c r="G345" s="669" t="s">
        <v>45</v>
      </c>
      <c r="H345" s="669" t="s">
        <v>39</v>
      </c>
      <c r="I345" s="670" t="s">
        <v>270</v>
      </c>
      <c r="J345" s="10" t="s">
        <v>50</v>
      </c>
      <c r="K345" s="24">
        <f>30150+109.8</f>
        <v>30259.8</v>
      </c>
      <c r="L345" s="24">
        <f>M345-K345</f>
        <v>0</v>
      </c>
      <c r="M345" s="24">
        <f>30150+109.8</f>
        <v>30259.8</v>
      </c>
      <c r="N345" s="24">
        <f>30150+109.8</f>
        <v>30259.8</v>
      </c>
    </row>
    <row r="346" spans="1:14" s="120" customFormat="1" ht="54" x14ac:dyDescent="0.35">
      <c r="A346" s="11"/>
      <c r="B346" s="510" t="s">
        <v>55</v>
      </c>
      <c r="C346" s="23" t="s">
        <v>423</v>
      </c>
      <c r="D346" s="10" t="s">
        <v>224</v>
      </c>
      <c r="E346" s="10" t="s">
        <v>39</v>
      </c>
      <c r="F346" s="668" t="s">
        <v>39</v>
      </c>
      <c r="G346" s="669" t="s">
        <v>45</v>
      </c>
      <c r="H346" s="669" t="s">
        <v>39</v>
      </c>
      <c r="I346" s="670" t="s">
        <v>270</v>
      </c>
      <c r="J346" s="10" t="s">
        <v>56</v>
      </c>
      <c r="K346" s="24">
        <v>1983</v>
      </c>
      <c r="L346" s="24">
        <f>M346-K346</f>
        <v>0</v>
      </c>
      <c r="M346" s="24">
        <v>1983</v>
      </c>
      <c r="N346" s="24">
        <v>1983</v>
      </c>
    </row>
    <row r="347" spans="1:14" s="120" customFormat="1" ht="54" x14ac:dyDescent="0.35">
      <c r="A347" s="11"/>
      <c r="B347" s="510" t="s">
        <v>76</v>
      </c>
      <c r="C347" s="23" t="s">
        <v>423</v>
      </c>
      <c r="D347" s="10" t="s">
        <v>224</v>
      </c>
      <c r="E347" s="10" t="s">
        <v>39</v>
      </c>
      <c r="F347" s="668" t="s">
        <v>39</v>
      </c>
      <c r="G347" s="669" t="s">
        <v>45</v>
      </c>
      <c r="H347" s="669" t="s">
        <v>39</v>
      </c>
      <c r="I347" s="670" t="s">
        <v>270</v>
      </c>
      <c r="J347" s="10" t="s">
        <v>77</v>
      </c>
      <c r="K347" s="24">
        <f>386982.1+24598.3+927.8</f>
        <v>412508.19999999995</v>
      </c>
      <c r="L347" s="24">
        <f>M347-K347</f>
        <v>0</v>
      </c>
      <c r="M347" s="24">
        <f>386982.1+24598.3+927.8</f>
        <v>412508.19999999995</v>
      </c>
      <c r="N347" s="24">
        <f>387019.5+24598.3+927.8</f>
        <v>412545.6</v>
      </c>
    </row>
    <row r="348" spans="1:14" s="116" customFormat="1" ht="90" x14ac:dyDescent="0.35">
      <c r="A348" s="11"/>
      <c r="B348" s="510" t="s">
        <v>209</v>
      </c>
      <c r="C348" s="23" t="s">
        <v>423</v>
      </c>
      <c r="D348" s="10" t="s">
        <v>224</v>
      </c>
      <c r="E348" s="10" t="s">
        <v>39</v>
      </c>
      <c r="F348" s="668" t="s">
        <v>39</v>
      </c>
      <c r="G348" s="669" t="s">
        <v>45</v>
      </c>
      <c r="H348" s="669" t="s">
        <v>39</v>
      </c>
      <c r="I348" s="670" t="s">
        <v>275</v>
      </c>
      <c r="J348" s="10"/>
      <c r="K348" s="24">
        <f>SUM(K349:K350)</f>
        <v>2502.6</v>
      </c>
      <c r="L348" s="24">
        <f>SUM(L349:L350)</f>
        <v>0</v>
      </c>
      <c r="M348" s="24">
        <f>SUM(M349:M350)</f>
        <v>2502.6</v>
      </c>
      <c r="N348" s="24">
        <f>SUM(N349:N350)</f>
        <v>2502.6</v>
      </c>
    </row>
    <row r="349" spans="1:14" s="116" customFormat="1" ht="54" x14ac:dyDescent="0.35">
      <c r="A349" s="11"/>
      <c r="B349" s="510" t="s">
        <v>55</v>
      </c>
      <c r="C349" s="23" t="s">
        <v>423</v>
      </c>
      <c r="D349" s="10" t="s">
        <v>224</v>
      </c>
      <c r="E349" s="10" t="s">
        <v>39</v>
      </c>
      <c r="F349" s="668" t="s">
        <v>39</v>
      </c>
      <c r="G349" s="669" t="s">
        <v>45</v>
      </c>
      <c r="H349" s="669" t="s">
        <v>39</v>
      </c>
      <c r="I349" s="670" t="s">
        <v>275</v>
      </c>
      <c r="J349" s="10" t="s">
        <v>56</v>
      </c>
      <c r="K349" s="24">
        <v>129.9</v>
      </c>
      <c r="L349" s="24">
        <f>M349-K349</f>
        <v>0</v>
      </c>
      <c r="M349" s="24">
        <v>129.9</v>
      </c>
      <c r="N349" s="24">
        <v>129.9</v>
      </c>
    </row>
    <row r="350" spans="1:14" s="116" customFormat="1" ht="54" x14ac:dyDescent="0.35">
      <c r="A350" s="11"/>
      <c r="B350" s="510" t="s">
        <v>76</v>
      </c>
      <c r="C350" s="23" t="s">
        <v>423</v>
      </c>
      <c r="D350" s="10" t="s">
        <v>224</v>
      </c>
      <c r="E350" s="10" t="s">
        <v>39</v>
      </c>
      <c r="F350" s="668" t="s">
        <v>39</v>
      </c>
      <c r="G350" s="669" t="s">
        <v>45</v>
      </c>
      <c r="H350" s="669" t="s">
        <v>39</v>
      </c>
      <c r="I350" s="670" t="s">
        <v>275</v>
      </c>
      <c r="J350" s="10" t="s">
        <v>77</v>
      </c>
      <c r="K350" s="24">
        <v>2372.6999999999998</v>
      </c>
      <c r="L350" s="24">
        <f>M350-K350</f>
        <v>0</v>
      </c>
      <c r="M350" s="24">
        <v>2372.6999999999998</v>
      </c>
      <c r="N350" s="24">
        <v>2372.6999999999998</v>
      </c>
    </row>
    <row r="351" spans="1:14" s="116" customFormat="1" ht="162" x14ac:dyDescent="0.35">
      <c r="A351" s="11"/>
      <c r="B351" s="510" t="s">
        <v>551</v>
      </c>
      <c r="C351" s="23" t="s">
        <v>423</v>
      </c>
      <c r="D351" s="10" t="s">
        <v>224</v>
      </c>
      <c r="E351" s="10" t="s">
        <v>39</v>
      </c>
      <c r="F351" s="668" t="s">
        <v>39</v>
      </c>
      <c r="G351" s="669" t="s">
        <v>45</v>
      </c>
      <c r="H351" s="669" t="s">
        <v>39</v>
      </c>
      <c r="I351" s="670" t="s">
        <v>550</v>
      </c>
      <c r="J351" s="10"/>
      <c r="K351" s="24">
        <f>SUM(K352:K354)</f>
        <v>2232.2000000000003</v>
      </c>
      <c r="L351" s="24">
        <f>SUM(L352:L354)</f>
        <v>0</v>
      </c>
      <c r="M351" s="24">
        <f>SUM(M352:M354)</f>
        <v>2232.2000000000003</v>
      </c>
      <c r="N351" s="24">
        <f>SUM(N352:N354)</f>
        <v>2086.4</v>
      </c>
    </row>
    <row r="352" spans="1:14" s="116" customFormat="1" ht="54" x14ac:dyDescent="0.35">
      <c r="A352" s="11"/>
      <c r="B352" s="510" t="s">
        <v>55</v>
      </c>
      <c r="C352" s="23" t="s">
        <v>423</v>
      </c>
      <c r="D352" s="10" t="s">
        <v>224</v>
      </c>
      <c r="E352" s="10" t="s">
        <v>39</v>
      </c>
      <c r="F352" s="668" t="s">
        <v>39</v>
      </c>
      <c r="G352" s="669" t="s">
        <v>45</v>
      </c>
      <c r="H352" s="669" t="s">
        <v>39</v>
      </c>
      <c r="I352" s="670" t="s">
        <v>550</v>
      </c>
      <c r="J352" s="10" t="s">
        <v>56</v>
      </c>
      <c r="K352" s="24">
        <v>79.900000000000006</v>
      </c>
      <c r="L352" s="24">
        <f>M352-K352</f>
        <v>0</v>
      </c>
      <c r="M352" s="24">
        <v>79.900000000000006</v>
      </c>
      <c r="N352" s="24">
        <v>66.3</v>
      </c>
    </row>
    <row r="353" spans="1:17" s="116" customFormat="1" ht="36" x14ac:dyDescent="0.35">
      <c r="A353" s="11"/>
      <c r="B353" s="507" t="s">
        <v>120</v>
      </c>
      <c r="C353" s="220" t="s">
        <v>423</v>
      </c>
      <c r="D353" s="28" t="s">
        <v>224</v>
      </c>
      <c r="E353" s="28" t="s">
        <v>39</v>
      </c>
      <c r="F353" s="212" t="s">
        <v>39</v>
      </c>
      <c r="G353" s="213" t="s">
        <v>45</v>
      </c>
      <c r="H353" s="213" t="s">
        <v>39</v>
      </c>
      <c r="I353" s="214" t="s">
        <v>550</v>
      </c>
      <c r="J353" s="28" t="s">
        <v>121</v>
      </c>
      <c r="K353" s="24">
        <v>25.5</v>
      </c>
      <c r="L353" s="24">
        <f>M353-K353</f>
        <v>0</v>
      </c>
      <c r="M353" s="24">
        <v>25.5</v>
      </c>
      <c r="N353" s="24">
        <v>23.6</v>
      </c>
    </row>
    <row r="354" spans="1:17" s="116" customFormat="1" ht="54" x14ac:dyDescent="0.35">
      <c r="A354" s="11"/>
      <c r="B354" s="510" t="s">
        <v>76</v>
      </c>
      <c r="C354" s="23" t="s">
        <v>423</v>
      </c>
      <c r="D354" s="10" t="s">
        <v>224</v>
      </c>
      <c r="E354" s="10" t="s">
        <v>39</v>
      </c>
      <c r="F354" s="668" t="s">
        <v>39</v>
      </c>
      <c r="G354" s="669" t="s">
        <v>45</v>
      </c>
      <c r="H354" s="669" t="s">
        <v>39</v>
      </c>
      <c r="I354" s="670" t="s">
        <v>550</v>
      </c>
      <c r="J354" s="10" t="s">
        <v>77</v>
      </c>
      <c r="K354" s="24">
        <v>2126.8000000000002</v>
      </c>
      <c r="L354" s="24">
        <f>M354-K354</f>
        <v>0</v>
      </c>
      <c r="M354" s="24">
        <v>2126.8000000000002</v>
      </c>
      <c r="N354" s="24">
        <v>1996.5</v>
      </c>
    </row>
    <row r="355" spans="1:17" s="116" customFormat="1" ht="72" x14ac:dyDescent="0.35">
      <c r="A355" s="11"/>
      <c r="B355" s="510" t="s">
        <v>455</v>
      </c>
      <c r="C355" s="23" t="s">
        <v>423</v>
      </c>
      <c r="D355" s="10" t="s">
        <v>224</v>
      </c>
      <c r="E355" s="10" t="s">
        <v>39</v>
      </c>
      <c r="F355" s="668" t="s">
        <v>39</v>
      </c>
      <c r="G355" s="669" t="s">
        <v>45</v>
      </c>
      <c r="H355" s="669" t="s">
        <v>39</v>
      </c>
      <c r="I355" s="670" t="s">
        <v>454</v>
      </c>
      <c r="J355" s="10"/>
      <c r="K355" s="24">
        <f>K356+K357</f>
        <v>63320.5</v>
      </c>
      <c r="L355" s="24">
        <f>L356+L357</f>
        <v>0</v>
      </c>
      <c r="M355" s="24">
        <f>M356+M357</f>
        <v>63320.5</v>
      </c>
      <c r="N355" s="24">
        <f>N356+N357</f>
        <v>62761.9</v>
      </c>
    </row>
    <row r="356" spans="1:17" s="116" customFormat="1" ht="54" x14ac:dyDescent="0.35">
      <c r="A356" s="11"/>
      <c r="B356" s="510" t="s">
        <v>55</v>
      </c>
      <c r="C356" s="23" t="s">
        <v>423</v>
      </c>
      <c r="D356" s="10" t="s">
        <v>224</v>
      </c>
      <c r="E356" s="10" t="s">
        <v>39</v>
      </c>
      <c r="F356" s="668" t="s">
        <v>39</v>
      </c>
      <c r="G356" s="669" t="s">
        <v>45</v>
      </c>
      <c r="H356" s="669" t="s">
        <v>39</v>
      </c>
      <c r="I356" s="670" t="s">
        <v>454</v>
      </c>
      <c r="J356" s="10" t="s">
        <v>56</v>
      </c>
      <c r="K356" s="24">
        <f>1439.7+406.1+54.1+3</f>
        <v>1902.9</v>
      </c>
      <c r="L356" s="24">
        <f>M356-K356</f>
        <v>0</v>
      </c>
      <c r="M356" s="24">
        <f>1439.7+406.1+54.1+3</f>
        <v>1902.9</v>
      </c>
      <c r="N356" s="24">
        <f>1488.2+372+57.5</f>
        <v>1917.7</v>
      </c>
    </row>
    <row r="357" spans="1:17" s="116" customFormat="1" ht="54" x14ac:dyDescent="0.35">
      <c r="A357" s="11"/>
      <c r="B357" s="510" t="s">
        <v>76</v>
      </c>
      <c r="C357" s="23" t="s">
        <v>423</v>
      </c>
      <c r="D357" s="10" t="s">
        <v>224</v>
      </c>
      <c r="E357" s="10" t="s">
        <v>39</v>
      </c>
      <c r="F357" s="668" t="s">
        <v>39</v>
      </c>
      <c r="G357" s="669" t="s">
        <v>45</v>
      </c>
      <c r="H357" s="669" t="s">
        <v>39</v>
      </c>
      <c r="I357" s="670" t="s">
        <v>454</v>
      </c>
      <c r="J357" s="10" t="s">
        <v>77</v>
      </c>
      <c r="K357" s="24">
        <f>46468.5+13106.5+1747.5+95.1</f>
        <v>61417.599999999999</v>
      </c>
      <c r="L357" s="24">
        <f>M357-K357</f>
        <v>0</v>
      </c>
      <c r="M357" s="24">
        <f>46468.5+13106.5+1747.5+95.1</f>
        <v>61417.599999999999</v>
      </c>
      <c r="N357" s="24">
        <f>47215+11803.8+1825.4</f>
        <v>60844.200000000004</v>
      </c>
      <c r="Q357" s="183"/>
    </row>
    <row r="358" spans="1:17" s="116" customFormat="1" ht="180" x14ac:dyDescent="0.35">
      <c r="A358" s="11"/>
      <c r="B358" s="510" t="s">
        <v>552</v>
      </c>
      <c r="C358" s="23" t="s">
        <v>423</v>
      </c>
      <c r="D358" s="10" t="s">
        <v>224</v>
      </c>
      <c r="E358" s="10" t="s">
        <v>39</v>
      </c>
      <c r="F358" s="668" t="s">
        <v>39</v>
      </c>
      <c r="G358" s="669" t="s">
        <v>45</v>
      </c>
      <c r="H358" s="669" t="s">
        <v>39</v>
      </c>
      <c r="I358" s="670" t="s">
        <v>553</v>
      </c>
      <c r="J358" s="10"/>
      <c r="K358" s="24">
        <f>K359</f>
        <v>3900.6</v>
      </c>
      <c r="L358" s="24">
        <f>L359</f>
        <v>0</v>
      </c>
      <c r="M358" s="24">
        <f>M359</f>
        <v>3900.6</v>
      </c>
      <c r="N358" s="24">
        <f>N359</f>
        <v>0</v>
      </c>
      <c r="Q358" s="183"/>
    </row>
    <row r="359" spans="1:17" s="116" customFormat="1" ht="54" x14ac:dyDescent="0.35">
      <c r="A359" s="11"/>
      <c r="B359" s="510" t="s">
        <v>76</v>
      </c>
      <c r="C359" s="23" t="s">
        <v>423</v>
      </c>
      <c r="D359" s="10" t="s">
        <v>224</v>
      </c>
      <c r="E359" s="10" t="s">
        <v>39</v>
      </c>
      <c r="F359" s="668" t="s">
        <v>39</v>
      </c>
      <c r="G359" s="669" t="s">
        <v>45</v>
      </c>
      <c r="H359" s="669" t="s">
        <v>39</v>
      </c>
      <c r="I359" s="670" t="s">
        <v>553</v>
      </c>
      <c r="J359" s="10" t="s">
        <v>77</v>
      </c>
      <c r="K359" s="24">
        <v>3900.6</v>
      </c>
      <c r="L359" s="24">
        <f>M359-K359</f>
        <v>0</v>
      </c>
      <c r="M359" s="24">
        <v>3900.6</v>
      </c>
      <c r="N359" s="24">
        <v>0</v>
      </c>
      <c r="Q359" s="183"/>
    </row>
    <row r="360" spans="1:17" s="116" customFormat="1" ht="90" x14ac:dyDescent="0.35">
      <c r="A360" s="11"/>
      <c r="B360" s="510" t="s">
        <v>548</v>
      </c>
      <c r="C360" s="23" t="s">
        <v>423</v>
      </c>
      <c r="D360" s="10" t="s">
        <v>224</v>
      </c>
      <c r="E360" s="10" t="s">
        <v>39</v>
      </c>
      <c r="F360" s="668" t="s">
        <v>39</v>
      </c>
      <c r="G360" s="669" t="s">
        <v>45</v>
      </c>
      <c r="H360" s="669" t="s">
        <v>39</v>
      </c>
      <c r="I360" s="670" t="s">
        <v>547</v>
      </c>
      <c r="J360" s="10"/>
      <c r="K360" s="24">
        <f>K361+K362+K363</f>
        <v>14388.6</v>
      </c>
      <c r="L360" s="24">
        <f>L361+L362+L363</f>
        <v>0</v>
      </c>
      <c r="M360" s="24">
        <f>M361+M362+M363</f>
        <v>14388.6</v>
      </c>
      <c r="N360" s="24">
        <f>N361+N362+N363</f>
        <v>13206.8</v>
      </c>
      <c r="Q360" s="183"/>
    </row>
    <row r="361" spans="1:17" s="116" customFormat="1" ht="54" x14ac:dyDescent="0.35">
      <c r="A361" s="11"/>
      <c r="B361" s="510" t="s">
        <v>55</v>
      </c>
      <c r="C361" s="23" t="s">
        <v>423</v>
      </c>
      <c r="D361" s="10" t="s">
        <v>224</v>
      </c>
      <c r="E361" s="10" t="s">
        <v>39</v>
      </c>
      <c r="F361" s="668" t="s">
        <v>39</v>
      </c>
      <c r="G361" s="669" t="s">
        <v>45</v>
      </c>
      <c r="H361" s="669" t="s">
        <v>39</v>
      </c>
      <c r="I361" s="670" t="s">
        <v>547</v>
      </c>
      <c r="J361" s="10" t="s">
        <v>56</v>
      </c>
      <c r="K361" s="24">
        <v>90.6</v>
      </c>
      <c r="L361" s="24">
        <f>M361-K361</f>
        <v>0</v>
      </c>
      <c r="M361" s="24">
        <v>90.6</v>
      </c>
      <c r="N361" s="24">
        <v>71.900000000000006</v>
      </c>
      <c r="Q361" s="183"/>
    </row>
    <row r="362" spans="1:17" s="116" customFormat="1" ht="36" x14ac:dyDescent="0.35">
      <c r="A362" s="11"/>
      <c r="B362" s="510" t="s">
        <v>120</v>
      </c>
      <c r="C362" s="23" t="s">
        <v>423</v>
      </c>
      <c r="D362" s="10" t="s">
        <v>224</v>
      </c>
      <c r="E362" s="10" t="s">
        <v>39</v>
      </c>
      <c r="F362" s="668" t="s">
        <v>39</v>
      </c>
      <c r="G362" s="669" t="s">
        <v>45</v>
      </c>
      <c r="H362" s="669" t="s">
        <v>39</v>
      </c>
      <c r="I362" s="670" t="s">
        <v>547</v>
      </c>
      <c r="J362" s="10" t="s">
        <v>121</v>
      </c>
      <c r="K362" s="24">
        <v>102</v>
      </c>
      <c r="L362" s="24">
        <f>M362-K362</f>
        <v>0</v>
      </c>
      <c r="M362" s="24">
        <v>102</v>
      </c>
      <c r="N362" s="24">
        <v>102</v>
      </c>
      <c r="Q362" s="183"/>
    </row>
    <row r="363" spans="1:17" s="116" customFormat="1" ht="54" x14ac:dyDescent="0.35">
      <c r="A363" s="11"/>
      <c r="B363" s="510" t="s">
        <v>76</v>
      </c>
      <c r="C363" s="23" t="s">
        <v>423</v>
      </c>
      <c r="D363" s="10" t="s">
        <v>224</v>
      </c>
      <c r="E363" s="10" t="s">
        <v>39</v>
      </c>
      <c r="F363" s="668" t="s">
        <v>39</v>
      </c>
      <c r="G363" s="669" t="s">
        <v>45</v>
      </c>
      <c r="H363" s="669" t="s">
        <v>39</v>
      </c>
      <c r="I363" s="670" t="s">
        <v>547</v>
      </c>
      <c r="J363" s="10" t="s">
        <v>77</v>
      </c>
      <c r="K363" s="24">
        <v>14196</v>
      </c>
      <c r="L363" s="24">
        <f>M363-K363</f>
        <v>0</v>
      </c>
      <c r="M363" s="24">
        <v>14196</v>
      </c>
      <c r="N363" s="24">
        <v>13032.9</v>
      </c>
      <c r="Q363" s="183"/>
    </row>
    <row r="364" spans="1:17" s="116" customFormat="1" ht="90" x14ac:dyDescent="0.35">
      <c r="A364" s="11"/>
      <c r="B364" s="510" t="s">
        <v>674</v>
      </c>
      <c r="C364" s="23" t="s">
        <v>423</v>
      </c>
      <c r="D364" s="10" t="s">
        <v>224</v>
      </c>
      <c r="E364" s="10" t="s">
        <v>39</v>
      </c>
      <c r="F364" s="668" t="s">
        <v>39</v>
      </c>
      <c r="G364" s="669" t="s">
        <v>45</v>
      </c>
      <c r="H364" s="669" t="s">
        <v>655</v>
      </c>
      <c r="I364" s="670" t="s">
        <v>673</v>
      </c>
      <c r="J364" s="10"/>
      <c r="K364" s="24">
        <f>K365+K366</f>
        <v>5457.5</v>
      </c>
      <c r="L364" s="24">
        <f>L365+L366</f>
        <v>0</v>
      </c>
      <c r="M364" s="24">
        <f>M365+M366</f>
        <v>5457.5</v>
      </c>
      <c r="N364" s="24">
        <f>N365+N366</f>
        <v>5457.5</v>
      </c>
      <c r="Q364" s="183"/>
    </row>
    <row r="365" spans="1:17" s="116" customFormat="1" ht="108" x14ac:dyDescent="0.35">
      <c r="A365" s="11"/>
      <c r="B365" s="510" t="s">
        <v>49</v>
      </c>
      <c r="C365" s="23" t="s">
        <v>423</v>
      </c>
      <c r="D365" s="10" t="s">
        <v>224</v>
      </c>
      <c r="E365" s="10" t="s">
        <v>39</v>
      </c>
      <c r="F365" s="668" t="s">
        <v>39</v>
      </c>
      <c r="G365" s="669" t="s">
        <v>45</v>
      </c>
      <c r="H365" s="669" t="s">
        <v>655</v>
      </c>
      <c r="I365" s="670" t="s">
        <v>673</v>
      </c>
      <c r="J365" s="10" t="s">
        <v>50</v>
      </c>
      <c r="K365" s="24">
        <v>399.32925</v>
      </c>
      <c r="L365" s="24">
        <f t="shared" ref="L365:L366" si="59">M365-K365</f>
        <v>0</v>
      </c>
      <c r="M365" s="24">
        <v>399.32925</v>
      </c>
      <c r="N365" s="24">
        <v>399.32925</v>
      </c>
      <c r="Q365" s="183"/>
    </row>
    <row r="366" spans="1:17" s="116" customFormat="1" ht="54" x14ac:dyDescent="0.35">
      <c r="A366" s="11"/>
      <c r="B366" s="510" t="s">
        <v>76</v>
      </c>
      <c r="C366" s="23" t="s">
        <v>423</v>
      </c>
      <c r="D366" s="10" t="s">
        <v>224</v>
      </c>
      <c r="E366" s="10" t="s">
        <v>39</v>
      </c>
      <c r="F366" s="668" t="s">
        <v>39</v>
      </c>
      <c r="G366" s="669" t="s">
        <v>45</v>
      </c>
      <c r="H366" s="669" t="s">
        <v>655</v>
      </c>
      <c r="I366" s="670" t="s">
        <v>673</v>
      </c>
      <c r="J366" s="10" t="s">
        <v>77</v>
      </c>
      <c r="K366" s="24">
        <v>5058.1707500000002</v>
      </c>
      <c r="L366" s="24">
        <f t="shared" si="59"/>
        <v>0</v>
      </c>
      <c r="M366" s="24">
        <v>5058.1707500000002</v>
      </c>
      <c r="N366" s="24">
        <v>5058.1707500000002</v>
      </c>
      <c r="Q366" s="183"/>
    </row>
    <row r="367" spans="1:17" s="120" customFormat="1" ht="54" x14ac:dyDescent="0.35">
      <c r="A367" s="11"/>
      <c r="B367" s="510" t="s">
        <v>212</v>
      </c>
      <c r="C367" s="23" t="s">
        <v>423</v>
      </c>
      <c r="D367" s="10" t="s">
        <v>224</v>
      </c>
      <c r="E367" s="10" t="s">
        <v>39</v>
      </c>
      <c r="F367" s="668" t="s">
        <v>39</v>
      </c>
      <c r="G367" s="669" t="s">
        <v>30</v>
      </c>
      <c r="H367" s="669" t="s">
        <v>43</v>
      </c>
      <c r="I367" s="670" t="s">
        <v>44</v>
      </c>
      <c r="J367" s="10"/>
      <c r="K367" s="24">
        <f t="shared" ref="K367:N368" si="60">K368</f>
        <v>2172.6</v>
      </c>
      <c r="L367" s="24">
        <f t="shared" si="60"/>
        <v>0</v>
      </c>
      <c r="M367" s="24">
        <f t="shared" si="60"/>
        <v>2172.6</v>
      </c>
      <c r="N367" s="24">
        <f t="shared" si="60"/>
        <v>2166.6999999999998</v>
      </c>
    </row>
    <row r="368" spans="1:17" s="120" customFormat="1" ht="36" x14ac:dyDescent="0.35">
      <c r="A368" s="11"/>
      <c r="B368" s="510" t="s">
        <v>282</v>
      </c>
      <c r="C368" s="23" t="s">
        <v>423</v>
      </c>
      <c r="D368" s="10" t="s">
        <v>224</v>
      </c>
      <c r="E368" s="10" t="s">
        <v>39</v>
      </c>
      <c r="F368" s="668" t="s">
        <v>39</v>
      </c>
      <c r="G368" s="669" t="s">
        <v>30</v>
      </c>
      <c r="H368" s="669" t="s">
        <v>37</v>
      </c>
      <c r="I368" s="670" t="s">
        <v>44</v>
      </c>
      <c r="J368" s="10"/>
      <c r="K368" s="24">
        <f t="shared" si="60"/>
        <v>2172.6</v>
      </c>
      <c r="L368" s="24">
        <f t="shared" si="60"/>
        <v>0</v>
      </c>
      <c r="M368" s="24">
        <f t="shared" si="60"/>
        <v>2172.6</v>
      </c>
      <c r="N368" s="24">
        <f t="shared" si="60"/>
        <v>2166.6999999999998</v>
      </c>
    </row>
    <row r="369" spans="1:14" s="120" customFormat="1" ht="252" x14ac:dyDescent="0.35">
      <c r="A369" s="11"/>
      <c r="B369" s="510" t="s">
        <v>434</v>
      </c>
      <c r="C369" s="23" t="s">
        <v>423</v>
      </c>
      <c r="D369" s="10" t="s">
        <v>224</v>
      </c>
      <c r="E369" s="10" t="s">
        <v>39</v>
      </c>
      <c r="F369" s="668" t="s">
        <v>39</v>
      </c>
      <c r="G369" s="669" t="s">
        <v>30</v>
      </c>
      <c r="H369" s="669" t="s">
        <v>37</v>
      </c>
      <c r="I369" s="670" t="s">
        <v>346</v>
      </c>
      <c r="J369" s="10"/>
      <c r="K369" s="24">
        <f>SUM(K370:K371)</f>
        <v>2172.6</v>
      </c>
      <c r="L369" s="24">
        <f>SUM(L370:L371)</f>
        <v>0</v>
      </c>
      <c r="M369" s="24">
        <f>SUM(M370:M371)</f>
        <v>2172.6</v>
      </c>
      <c r="N369" s="24">
        <f>SUM(N370:N371)</f>
        <v>2166.6999999999998</v>
      </c>
    </row>
    <row r="370" spans="1:14" s="120" customFormat="1" ht="108" x14ac:dyDescent="0.35">
      <c r="A370" s="11"/>
      <c r="B370" s="510" t="s">
        <v>49</v>
      </c>
      <c r="C370" s="23" t="s">
        <v>423</v>
      </c>
      <c r="D370" s="10" t="s">
        <v>224</v>
      </c>
      <c r="E370" s="10" t="s">
        <v>39</v>
      </c>
      <c r="F370" s="668" t="s">
        <v>39</v>
      </c>
      <c r="G370" s="669" t="s">
        <v>30</v>
      </c>
      <c r="H370" s="669" t="s">
        <v>37</v>
      </c>
      <c r="I370" s="670" t="s">
        <v>346</v>
      </c>
      <c r="J370" s="10" t="s">
        <v>50</v>
      </c>
      <c r="K370" s="24">
        <v>8.1999999999999993</v>
      </c>
      <c r="L370" s="24">
        <f>M370-K370</f>
        <v>0</v>
      </c>
      <c r="M370" s="24">
        <v>8.1999999999999993</v>
      </c>
      <c r="N370" s="24">
        <v>8.1999999999999993</v>
      </c>
    </row>
    <row r="371" spans="1:14" s="120" customFormat="1" ht="54" x14ac:dyDescent="0.35">
      <c r="A371" s="11"/>
      <c r="B371" s="510" t="s">
        <v>76</v>
      </c>
      <c r="C371" s="23" t="s">
        <v>423</v>
      </c>
      <c r="D371" s="10" t="s">
        <v>224</v>
      </c>
      <c r="E371" s="10" t="s">
        <v>39</v>
      </c>
      <c r="F371" s="668" t="s">
        <v>39</v>
      </c>
      <c r="G371" s="669" t="s">
        <v>30</v>
      </c>
      <c r="H371" s="669" t="s">
        <v>37</v>
      </c>
      <c r="I371" s="670" t="s">
        <v>346</v>
      </c>
      <c r="J371" s="10" t="s">
        <v>77</v>
      </c>
      <c r="K371" s="24">
        <v>2164.4</v>
      </c>
      <c r="L371" s="24">
        <f>M371-K371</f>
        <v>0</v>
      </c>
      <c r="M371" s="24">
        <v>2164.4</v>
      </c>
      <c r="N371" s="24">
        <v>2158.5</v>
      </c>
    </row>
    <row r="372" spans="1:14" s="120" customFormat="1" ht="18" x14ac:dyDescent="0.35">
      <c r="A372" s="11"/>
      <c r="B372" s="510" t="s">
        <v>349</v>
      </c>
      <c r="C372" s="23" t="s">
        <v>423</v>
      </c>
      <c r="D372" s="10" t="s">
        <v>224</v>
      </c>
      <c r="E372" s="10" t="s">
        <v>63</v>
      </c>
      <c r="F372" s="668"/>
      <c r="G372" s="669"/>
      <c r="H372" s="669"/>
      <c r="I372" s="670"/>
      <c r="J372" s="10"/>
      <c r="K372" s="24">
        <f>K373</f>
        <v>70176.599999999991</v>
      </c>
      <c r="L372" s="24">
        <f>L373</f>
        <v>0</v>
      </c>
      <c r="M372" s="24">
        <f>M373</f>
        <v>70176.599999999991</v>
      </c>
      <c r="N372" s="24">
        <f>N373</f>
        <v>80775.10000000002</v>
      </c>
    </row>
    <row r="373" spans="1:14" s="120" customFormat="1" ht="54" x14ac:dyDescent="0.35">
      <c r="A373" s="11"/>
      <c r="B373" s="579" t="s">
        <v>205</v>
      </c>
      <c r="C373" s="23" t="s">
        <v>423</v>
      </c>
      <c r="D373" s="10" t="s">
        <v>224</v>
      </c>
      <c r="E373" s="10" t="s">
        <v>63</v>
      </c>
      <c r="F373" s="668" t="s">
        <v>39</v>
      </c>
      <c r="G373" s="669" t="s">
        <v>42</v>
      </c>
      <c r="H373" s="669" t="s">
        <v>43</v>
      </c>
      <c r="I373" s="670" t="s">
        <v>44</v>
      </c>
      <c r="J373" s="10"/>
      <c r="K373" s="24">
        <f t="shared" ref="K373:N374" si="61">K374</f>
        <v>70176.599999999991</v>
      </c>
      <c r="L373" s="24">
        <f t="shared" si="61"/>
        <v>0</v>
      </c>
      <c r="M373" s="24">
        <f t="shared" si="61"/>
        <v>70176.599999999991</v>
      </c>
      <c r="N373" s="24">
        <f t="shared" si="61"/>
        <v>80775.10000000002</v>
      </c>
    </row>
    <row r="374" spans="1:14" s="120" customFormat="1" ht="18" x14ac:dyDescent="0.35">
      <c r="A374" s="11"/>
      <c r="B374" s="510" t="s">
        <v>210</v>
      </c>
      <c r="C374" s="23" t="s">
        <v>423</v>
      </c>
      <c r="D374" s="10" t="s">
        <v>224</v>
      </c>
      <c r="E374" s="10" t="s">
        <v>63</v>
      </c>
      <c r="F374" s="668" t="s">
        <v>39</v>
      </c>
      <c r="G374" s="669" t="s">
        <v>89</v>
      </c>
      <c r="H374" s="669" t="s">
        <v>43</v>
      </c>
      <c r="I374" s="670" t="s">
        <v>44</v>
      </c>
      <c r="J374" s="10"/>
      <c r="K374" s="24">
        <f t="shared" si="61"/>
        <v>70176.599999999991</v>
      </c>
      <c r="L374" s="24">
        <f t="shared" si="61"/>
        <v>0</v>
      </c>
      <c r="M374" s="24">
        <f t="shared" si="61"/>
        <v>70176.599999999991</v>
      </c>
      <c r="N374" s="24">
        <f t="shared" si="61"/>
        <v>80775.10000000002</v>
      </c>
    </row>
    <row r="375" spans="1:14" s="120" customFormat="1" ht="36" x14ac:dyDescent="0.35">
      <c r="A375" s="11"/>
      <c r="B375" s="510" t="s">
        <v>276</v>
      </c>
      <c r="C375" s="23" t="s">
        <v>423</v>
      </c>
      <c r="D375" s="10" t="s">
        <v>224</v>
      </c>
      <c r="E375" s="10" t="s">
        <v>63</v>
      </c>
      <c r="F375" s="668" t="s">
        <v>39</v>
      </c>
      <c r="G375" s="669" t="s">
        <v>89</v>
      </c>
      <c r="H375" s="669" t="s">
        <v>37</v>
      </c>
      <c r="I375" s="670" t="s">
        <v>44</v>
      </c>
      <c r="J375" s="10"/>
      <c r="K375" s="24">
        <f>K376+K384+K386+K381</f>
        <v>70176.599999999991</v>
      </c>
      <c r="L375" s="24">
        <f>L376+L384+L386+L381</f>
        <v>0</v>
      </c>
      <c r="M375" s="24">
        <f>M376+M384+M386+M381</f>
        <v>70176.599999999991</v>
      </c>
      <c r="N375" s="24">
        <f>N376+N384+N386+N381</f>
        <v>80775.10000000002</v>
      </c>
    </row>
    <row r="376" spans="1:14" s="120" customFormat="1" ht="36" x14ac:dyDescent="0.35">
      <c r="A376" s="11"/>
      <c r="B376" s="588" t="s">
        <v>464</v>
      </c>
      <c r="C376" s="23" t="s">
        <v>423</v>
      </c>
      <c r="D376" s="10" t="s">
        <v>224</v>
      </c>
      <c r="E376" s="10" t="s">
        <v>63</v>
      </c>
      <c r="F376" s="668" t="s">
        <v>39</v>
      </c>
      <c r="G376" s="669" t="s">
        <v>89</v>
      </c>
      <c r="H376" s="669" t="s">
        <v>37</v>
      </c>
      <c r="I376" s="670" t="s">
        <v>91</v>
      </c>
      <c r="J376" s="10"/>
      <c r="K376" s="24">
        <f>K379+K377+K378+K380</f>
        <v>53765.799999999996</v>
      </c>
      <c r="L376" s="24">
        <f>L379+L377+L378+L380</f>
        <v>0</v>
      </c>
      <c r="M376" s="24">
        <f>M379+M377+M378+M380</f>
        <v>53765.799999999996</v>
      </c>
      <c r="N376" s="24">
        <f>N379+N377+N378+N380</f>
        <v>64360.80000000001</v>
      </c>
    </row>
    <row r="377" spans="1:14" s="120" customFormat="1" ht="108" x14ac:dyDescent="0.35">
      <c r="A377" s="11"/>
      <c r="B377" s="510" t="s">
        <v>49</v>
      </c>
      <c r="C377" s="23" t="s">
        <v>423</v>
      </c>
      <c r="D377" s="10" t="s">
        <v>224</v>
      </c>
      <c r="E377" s="10" t="s">
        <v>63</v>
      </c>
      <c r="F377" s="668" t="s">
        <v>39</v>
      </c>
      <c r="G377" s="669" t="s">
        <v>89</v>
      </c>
      <c r="H377" s="669" t="s">
        <v>37</v>
      </c>
      <c r="I377" s="670" t="s">
        <v>91</v>
      </c>
      <c r="J377" s="10" t="s">
        <v>50</v>
      </c>
      <c r="K377" s="24">
        <f>21569.8-6237.5</f>
        <v>15332.3</v>
      </c>
      <c r="L377" s="24">
        <f>M377-K377</f>
        <v>0</v>
      </c>
      <c r="M377" s="24">
        <f>21569.8-6237.5</f>
        <v>15332.3</v>
      </c>
      <c r="N377" s="24">
        <f>21569.8-6237.5</f>
        <v>15332.3</v>
      </c>
    </row>
    <row r="378" spans="1:14" s="120" customFormat="1" ht="54" x14ac:dyDescent="0.35">
      <c r="A378" s="11"/>
      <c r="B378" s="510" t="s">
        <v>55</v>
      </c>
      <c r="C378" s="23" t="s">
        <v>423</v>
      </c>
      <c r="D378" s="10" t="s">
        <v>224</v>
      </c>
      <c r="E378" s="10" t="s">
        <v>63</v>
      </c>
      <c r="F378" s="668" t="s">
        <v>39</v>
      </c>
      <c r="G378" s="669" t="s">
        <v>89</v>
      </c>
      <c r="H378" s="669" t="s">
        <v>37</v>
      </c>
      <c r="I378" s="670" t="s">
        <v>91</v>
      </c>
      <c r="J378" s="10" t="s">
        <v>56</v>
      </c>
      <c r="K378" s="24">
        <f>2284.2-1161.60847</f>
        <v>1122.5915299999999</v>
      </c>
      <c r="L378" s="24">
        <f>M378-K378</f>
        <v>0</v>
      </c>
      <c r="M378" s="24">
        <f>2284.2-1161.60847</f>
        <v>1122.5915299999999</v>
      </c>
      <c r="N378" s="24">
        <f>8834.2-2294.60847</f>
        <v>6539.5915300000006</v>
      </c>
    </row>
    <row r="379" spans="1:14" s="120" customFormat="1" ht="54" x14ac:dyDescent="0.35">
      <c r="A379" s="11"/>
      <c r="B379" s="510" t="s">
        <v>76</v>
      </c>
      <c r="C379" s="23" t="s">
        <v>423</v>
      </c>
      <c r="D379" s="10" t="s">
        <v>224</v>
      </c>
      <c r="E379" s="10" t="s">
        <v>63</v>
      </c>
      <c r="F379" s="668" t="s">
        <v>39</v>
      </c>
      <c r="G379" s="669" t="s">
        <v>89</v>
      </c>
      <c r="H379" s="669" t="s">
        <v>37</v>
      </c>
      <c r="I379" s="670" t="s">
        <v>91</v>
      </c>
      <c r="J379" s="10" t="s">
        <v>77</v>
      </c>
      <c r="K379" s="24">
        <f>29799+7467.40847</f>
        <v>37266.408470000002</v>
      </c>
      <c r="L379" s="24">
        <f>M379-K379</f>
        <v>0</v>
      </c>
      <c r="M379" s="24">
        <f>29799+7467.40847</f>
        <v>37266.408470000002</v>
      </c>
      <c r="N379" s="24">
        <f>33844.3+8600.30847</f>
        <v>42444.608470000006</v>
      </c>
    </row>
    <row r="380" spans="1:14" s="120" customFormat="1" ht="18" x14ac:dyDescent="0.35">
      <c r="A380" s="11"/>
      <c r="B380" s="510" t="s">
        <v>57</v>
      </c>
      <c r="C380" s="23" t="s">
        <v>423</v>
      </c>
      <c r="D380" s="10" t="s">
        <v>224</v>
      </c>
      <c r="E380" s="10" t="s">
        <v>63</v>
      </c>
      <c r="F380" s="668" t="s">
        <v>39</v>
      </c>
      <c r="G380" s="669" t="s">
        <v>89</v>
      </c>
      <c r="H380" s="669" t="s">
        <v>37</v>
      </c>
      <c r="I380" s="670" t="s">
        <v>91</v>
      </c>
      <c r="J380" s="10" t="s">
        <v>58</v>
      </c>
      <c r="K380" s="24">
        <f>112.8-68.3</f>
        <v>44.5</v>
      </c>
      <c r="L380" s="24">
        <f>M380-K380</f>
        <v>0</v>
      </c>
      <c r="M380" s="24">
        <f>112.8-68.3</f>
        <v>44.5</v>
      </c>
      <c r="N380" s="24">
        <f>112.5-68.2</f>
        <v>44.3</v>
      </c>
    </row>
    <row r="381" spans="1:14" s="120" customFormat="1" ht="54" x14ac:dyDescent="0.35">
      <c r="A381" s="11"/>
      <c r="B381" s="510" t="s">
        <v>207</v>
      </c>
      <c r="C381" s="23" t="s">
        <v>423</v>
      </c>
      <c r="D381" s="10" t="s">
        <v>224</v>
      </c>
      <c r="E381" s="10" t="s">
        <v>63</v>
      </c>
      <c r="F381" s="668" t="s">
        <v>39</v>
      </c>
      <c r="G381" s="669" t="s">
        <v>89</v>
      </c>
      <c r="H381" s="669" t="s">
        <v>37</v>
      </c>
      <c r="I381" s="670" t="s">
        <v>273</v>
      </c>
      <c r="J381" s="10"/>
      <c r="K381" s="24">
        <f>K382+K383</f>
        <v>5321.7999999999993</v>
      </c>
      <c r="L381" s="24">
        <f>L382+L383</f>
        <v>0</v>
      </c>
      <c r="M381" s="24">
        <f>M382+M383</f>
        <v>5321.7999999999993</v>
      </c>
      <c r="N381" s="24">
        <f>N382+N383</f>
        <v>5321.7999999999993</v>
      </c>
    </row>
    <row r="382" spans="1:14" s="120" customFormat="1" ht="54" x14ac:dyDescent="0.35">
      <c r="A382" s="11"/>
      <c r="B382" s="510" t="s">
        <v>55</v>
      </c>
      <c r="C382" s="23" t="s">
        <v>423</v>
      </c>
      <c r="D382" s="10" t="s">
        <v>224</v>
      </c>
      <c r="E382" s="10" t="s">
        <v>63</v>
      </c>
      <c r="F382" s="668" t="s">
        <v>39</v>
      </c>
      <c r="G382" s="669" t="s">
        <v>89</v>
      </c>
      <c r="H382" s="669" t="s">
        <v>37</v>
      </c>
      <c r="I382" s="670" t="s">
        <v>273</v>
      </c>
      <c r="J382" s="10" t="s">
        <v>56</v>
      </c>
      <c r="K382" s="24">
        <f>2128.7-1064.35</f>
        <v>1064.3499999999999</v>
      </c>
      <c r="L382" s="24">
        <f>M382-K382</f>
        <v>0</v>
      </c>
      <c r="M382" s="24">
        <f>2128.7-1064.35</f>
        <v>1064.3499999999999</v>
      </c>
      <c r="N382" s="24">
        <f>2128.7-1064.35</f>
        <v>1064.3499999999999</v>
      </c>
    </row>
    <row r="383" spans="1:14" s="120" customFormat="1" ht="54" x14ac:dyDescent="0.35">
      <c r="A383" s="11"/>
      <c r="B383" s="579" t="s">
        <v>76</v>
      </c>
      <c r="C383" s="23" t="s">
        <v>423</v>
      </c>
      <c r="D383" s="10" t="s">
        <v>224</v>
      </c>
      <c r="E383" s="10" t="s">
        <v>63</v>
      </c>
      <c r="F383" s="668" t="s">
        <v>39</v>
      </c>
      <c r="G383" s="669" t="s">
        <v>89</v>
      </c>
      <c r="H383" s="669" t="s">
        <v>37</v>
      </c>
      <c r="I383" s="670" t="s">
        <v>273</v>
      </c>
      <c r="J383" s="10" t="s">
        <v>77</v>
      </c>
      <c r="K383" s="24">
        <f>3193.1+1064.35</f>
        <v>4257.45</v>
      </c>
      <c r="L383" s="24">
        <f>M383-K383</f>
        <v>0</v>
      </c>
      <c r="M383" s="24">
        <f>3193.1+1064.35</f>
        <v>4257.45</v>
      </c>
      <c r="N383" s="24">
        <f>3193.1+1064.35</f>
        <v>4257.45</v>
      </c>
    </row>
    <row r="384" spans="1:14" s="120" customFormat="1" ht="180" x14ac:dyDescent="0.35">
      <c r="A384" s="11"/>
      <c r="B384" s="510" t="s">
        <v>268</v>
      </c>
      <c r="C384" s="23" t="s">
        <v>423</v>
      </c>
      <c r="D384" s="10" t="s">
        <v>224</v>
      </c>
      <c r="E384" s="10" t="s">
        <v>63</v>
      </c>
      <c r="F384" s="668" t="s">
        <v>39</v>
      </c>
      <c r="G384" s="669" t="s">
        <v>89</v>
      </c>
      <c r="H384" s="669" t="s">
        <v>37</v>
      </c>
      <c r="I384" s="670" t="s">
        <v>269</v>
      </c>
      <c r="J384" s="10"/>
      <c r="K384" s="24">
        <f>K385</f>
        <v>89</v>
      </c>
      <c r="L384" s="24">
        <f>L385</f>
        <v>0</v>
      </c>
      <c r="M384" s="24">
        <f>M385</f>
        <v>89</v>
      </c>
      <c r="N384" s="24">
        <f>N385</f>
        <v>92.5</v>
      </c>
    </row>
    <row r="385" spans="1:14" s="120" customFormat="1" ht="54" x14ac:dyDescent="0.35">
      <c r="A385" s="11"/>
      <c r="B385" s="510" t="s">
        <v>76</v>
      </c>
      <c r="C385" s="23" t="s">
        <v>423</v>
      </c>
      <c r="D385" s="10" t="s">
        <v>224</v>
      </c>
      <c r="E385" s="10" t="s">
        <v>63</v>
      </c>
      <c r="F385" s="668" t="s">
        <v>39</v>
      </c>
      <c r="G385" s="669" t="s">
        <v>89</v>
      </c>
      <c r="H385" s="669" t="s">
        <v>37</v>
      </c>
      <c r="I385" s="670" t="s">
        <v>269</v>
      </c>
      <c r="J385" s="10" t="s">
        <v>77</v>
      </c>
      <c r="K385" s="24">
        <v>89</v>
      </c>
      <c r="L385" s="24">
        <f>M385-K385</f>
        <v>0</v>
      </c>
      <c r="M385" s="24">
        <v>89</v>
      </c>
      <c r="N385" s="24">
        <v>92.5</v>
      </c>
    </row>
    <row r="386" spans="1:14" s="120" customFormat="1" ht="108" x14ac:dyDescent="0.35">
      <c r="A386" s="11"/>
      <c r="B386" s="510" t="s">
        <v>345</v>
      </c>
      <c r="C386" s="23" t="s">
        <v>423</v>
      </c>
      <c r="D386" s="10" t="s">
        <v>224</v>
      </c>
      <c r="E386" s="10" t="s">
        <v>63</v>
      </c>
      <c r="F386" s="668" t="s">
        <v>39</v>
      </c>
      <c r="G386" s="669" t="s">
        <v>89</v>
      </c>
      <c r="H386" s="669" t="s">
        <v>37</v>
      </c>
      <c r="I386" s="670" t="s">
        <v>270</v>
      </c>
      <c r="J386" s="10"/>
      <c r="K386" s="24">
        <f>K387</f>
        <v>11000</v>
      </c>
      <c r="L386" s="24">
        <f>L387</f>
        <v>0</v>
      </c>
      <c r="M386" s="24">
        <f>M387</f>
        <v>11000</v>
      </c>
      <c r="N386" s="24">
        <f>N387</f>
        <v>11000</v>
      </c>
    </row>
    <row r="387" spans="1:14" s="120" customFormat="1" ht="54" x14ac:dyDescent="0.35">
      <c r="A387" s="11"/>
      <c r="B387" s="510" t="s">
        <v>76</v>
      </c>
      <c r="C387" s="23" t="s">
        <v>423</v>
      </c>
      <c r="D387" s="10" t="s">
        <v>224</v>
      </c>
      <c r="E387" s="10" t="s">
        <v>63</v>
      </c>
      <c r="F387" s="668" t="s">
        <v>39</v>
      </c>
      <c r="G387" s="669" t="s">
        <v>89</v>
      </c>
      <c r="H387" s="669" t="s">
        <v>37</v>
      </c>
      <c r="I387" s="670" t="s">
        <v>270</v>
      </c>
      <c r="J387" s="10" t="s">
        <v>77</v>
      </c>
      <c r="K387" s="24">
        <v>11000</v>
      </c>
      <c r="L387" s="24">
        <f>M387-K387</f>
        <v>0</v>
      </c>
      <c r="M387" s="24">
        <v>11000</v>
      </c>
      <c r="N387" s="24">
        <v>11000</v>
      </c>
    </row>
    <row r="388" spans="1:14" s="120" customFormat="1" ht="18" x14ac:dyDescent="0.35">
      <c r="A388" s="11"/>
      <c r="B388" s="510" t="s">
        <v>186</v>
      </c>
      <c r="C388" s="23" t="s">
        <v>423</v>
      </c>
      <c r="D388" s="10" t="s">
        <v>224</v>
      </c>
      <c r="E388" s="10" t="s">
        <v>79</v>
      </c>
      <c r="F388" s="668"/>
      <c r="G388" s="669"/>
      <c r="H388" s="669"/>
      <c r="I388" s="670"/>
      <c r="J388" s="10"/>
      <c r="K388" s="24">
        <f>K389</f>
        <v>88978.6</v>
      </c>
      <c r="L388" s="24">
        <f>L389</f>
        <v>0</v>
      </c>
      <c r="M388" s="24">
        <f>M389</f>
        <v>88978.6</v>
      </c>
      <c r="N388" s="24">
        <f>N389</f>
        <v>88728.500000000015</v>
      </c>
    </row>
    <row r="389" spans="1:14" s="120" customFormat="1" ht="54" x14ac:dyDescent="0.35">
      <c r="A389" s="11"/>
      <c r="B389" s="510" t="s">
        <v>205</v>
      </c>
      <c r="C389" s="23" t="s">
        <v>423</v>
      </c>
      <c r="D389" s="10" t="s">
        <v>224</v>
      </c>
      <c r="E389" s="10" t="s">
        <v>79</v>
      </c>
      <c r="F389" s="668" t="s">
        <v>39</v>
      </c>
      <c r="G389" s="669" t="s">
        <v>42</v>
      </c>
      <c r="H389" s="669" t="s">
        <v>43</v>
      </c>
      <c r="I389" s="670" t="s">
        <v>44</v>
      </c>
      <c r="J389" s="10"/>
      <c r="K389" s="24">
        <f t="shared" ref="K389:N389" si="62">K390</f>
        <v>88978.6</v>
      </c>
      <c r="L389" s="24">
        <f t="shared" si="62"/>
        <v>0</v>
      </c>
      <c r="M389" s="24">
        <f t="shared" si="62"/>
        <v>88978.6</v>
      </c>
      <c r="N389" s="24">
        <f t="shared" si="62"/>
        <v>88728.500000000015</v>
      </c>
    </row>
    <row r="390" spans="1:14" s="120" customFormat="1" ht="54" x14ac:dyDescent="0.35">
      <c r="A390" s="11"/>
      <c r="B390" s="510" t="s">
        <v>212</v>
      </c>
      <c r="C390" s="23" t="s">
        <v>423</v>
      </c>
      <c r="D390" s="10" t="s">
        <v>224</v>
      </c>
      <c r="E390" s="10" t="s">
        <v>79</v>
      </c>
      <c r="F390" s="668" t="s">
        <v>39</v>
      </c>
      <c r="G390" s="669" t="s">
        <v>30</v>
      </c>
      <c r="H390" s="669" t="s">
        <v>43</v>
      </c>
      <c r="I390" s="670" t="s">
        <v>44</v>
      </c>
      <c r="J390" s="10"/>
      <c r="K390" s="24">
        <f>K391+K406</f>
        <v>88978.6</v>
      </c>
      <c r="L390" s="24">
        <f>L391+L406</f>
        <v>0</v>
      </c>
      <c r="M390" s="24">
        <f>M391+M406</f>
        <v>88978.6</v>
      </c>
      <c r="N390" s="24">
        <f>N391+N406</f>
        <v>88728.500000000015</v>
      </c>
    </row>
    <row r="391" spans="1:14" s="120" customFormat="1" ht="36" x14ac:dyDescent="0.35">
      <c r="A391" s="11"/>
      <c r="B391" s="510" t="s">
        <v>282</v>
      </c>
      <c r="C391" s="23" t="s">
        <v>423</v>
      </c>
      <c r="D391" s="10" t="s">
        <v>224</v>
      </c>
      <c r="E391" s="10" t="s">
        <v>79</v>
      </c>
      <c r="F391" s="668" t="s">
        <v>39</v>
      </c>
      <c r="G391" s="669" t="s">
        <v>30</v>
      </c>
      <c r="H391" s="669" t="s">
        <v>37</v>
      </c>
      <c r="I391" s="670" t="s">
        <v>44</v>
      </c>
      <c r="J391" s="10"/>
      <c r="K391" s="24">
        <f>K392+K396+K403+K401</f>
        <v>81074</v>
      </c>
      <c r="L391" s="24">
        <f>L392+L396+L403+L401</f>
        <v>0</v>
      </c>
      <c r="M391" s="24">
        <f>M392+M396+M403+M401</f>
        <v>81074</v>
      </c>
      <c r="N391" s="24">
        <f>N392+N396+N403+N401</f>
        <v>80591.900000000009</v>
      </c>
    </row>
    <row r="392" spans="1:14" s="120" customFormat="1" ht="36" x14ac:dyDescent="0.35">
      <c r="A392" s="11"/>
      <c r="B392" s="510" t="s">
        <v>47</v>
      </c>
      <c r="C392" s="23" t="s">
        <v>423</v>
      </c>
      <c r="D392" s="10" t="s">
        <v>224</v>
      </c>
      <c r="E392" s="10" t="s">
        <v>79</v>
      </c>
      <c r="F392" s="668" t="s">
        <v>39</v>
      </c>
      <c r="G392" s="669" t="s">
        <v>30</v>
      </c>
      <c r="H392" s="669" t="s">
        <v>37</v>
      </c>
      <c r="I392" s="670" t="s">
        <v>48</v>
      </c>
      <c r="J392" s="10"/>
      <c r="K392" s="24">
        <f>K393+K394+K395</f>
        <v>12618</v>
      </c>
      <c r="L392" s="24">
        <f>L393+L394+L395</f>
        <v>0</v>
      </c>
      <c r="M392" s="24">
        <f>M393+M394+M395</f>
        <v>12618</v>
      </c>
      <c r="N392" s="24">
        <f>N393+N394+N395</f>
        <v>12624.6</v>
      </c>
    </row>
    <row r="393" spans="1:14" s="120" customFormat="1" ht="108" x14ac:dyDescent="0.35">
      <c r="A393" s="11"/>
      <c r="B393" s="510" t="s">
        <v>49</v>
      </c>
      <c r="C393" s="23" t="s">
        <v>423</v>
      </c>
      <c r="D393" s="10" t="s">
        <v>224</v>
      </c>
      <c r="E393" s="10" t="s">
        <v>79</v>
      </c>
      <c r="F393" s="668" t="s">
        <v>39</v>
      </c>
      <c r="G393" s="669" t="s">
        <v>30</v>
      </c>
      <c r="H393" s="669" t="s">
        <v>37</v>
      </c>
      <c r="I393" s="670" t="s">
        <v>48</v>
      </c>
      <c r="J393" s="10" t="s">
        <v>50</v>
      </c>
      <c r="K393" s="24">
        <v>11816.7</v>
      </c>
      <c r="L393" s="24">
        <f>M393-K393</f>
        <v>0</v>
      </c>
      <c r="M393" s="24">
        <v>11816.7</v>
      </c>
      <c r="N393" s="24">
        <v>11816.7</v>
      </c>
    </row>
    <row r="394" spans="1:14" s="120" customFormat="1" ht="54" x14ac:dyDescent="0.35">
      <c r="A394" s="11"/>
      <c r="B394" s="510" t="s">
        <v>55</v>
      </c>
      <c r="C394" s="23" t="s">
        <v>423</v>
      </c>
      <c r="D394" s="10" t="s">
        <v>224</v>
      </c>
      <c r="E394" s="10" t="s">
        <v>79</v>
      </c>
      <c r="F394" s="668" t="s">
        <v>39</v>
      </c>
      <c r="G394" s="669" t="s">
        <v>30</v>
      </c>
      <c r="H394" s="669" t="s">
        <v>37</v>
      </c>
      <c r="I394" s="670" t="s">
        <v>48</v>
      </c>
      <c r="J394" s="10" t="s">
        <v>56</v>
      </c>
      <c r="K394" s="24">
        <v>784.4</v>
      </c>
      <c r="L394" s="24">
        <f>M394-K394</f>
        <v>0</v>
      </c>
      <c r="M394" s="24">
        <v>784.4</v>
      </c>
      <c r="N394" s="24">
        <v>791.1</v>
      </c>
    </row>
    <row r="395" spans="1:14" s="120" customFormat="1" ht="18" x14ac:dyDescent="0.35">
      <c r="A395" s="11"/>
      <c r="B395" s="510" t="s">
        <v>57</v>
      </c>
      <c r="C395" s="23" t="s">
        <v>423</v>
      </c>
      <c r="D395" s="10" t="s">
        <v>224</v>
      </c>
      <c r="E395" s="10" t="s">
        <v>79</v>
      </c>
      <c r="F395" s="668" t="s">
        <v>39</v>
      </c>
      <c r="G395" s="669" t="s">
        <v>30</v>
      </c>
      <c r="H395" s="669" t="s">
        <v>37</v>
      </c>
      <c r="I395" s="670" t="s">
        <v>48</v>
      </c>
      <c r="J395" s="10" t="s">
        <v>58</v>
      </c>
      <c r="K395" s="24">
        <v>16.899999999999999</v>
      </c>
      <c r="L395" s="24">
        <f>M395-K395</f>
        <v>0</v>
      </c>
      <c r="M395" s="24">
        <v>16.899999999999999</v>
      </c>
      <c r="N395" s="24">
        <v>16.8</v>
      </c>
    </row>
    <row r="396" spans="1:14" s="120" customFormat="1" ht="36" x14ac:dyDescent="0.35">
      <c r="A396" s="11"/>
      <c r="B396" s="588" t="s">
        <v>464</v>
      </c>
      <c r="C396" s="23" t="s">
        <v>423</v>
      </c>
      <c r="D396" s="10" t="s">
        <v>224</v>
      </c>
      <c r="E396" s="10" t="s">
        <v>79</v>
      </c>
      <c r="F396" s="668" t="s">
        <v>39</v>
      </c>
      <c r="G396" s="669" t="s">
        <v>30</v>
      </c>
      <c r="H396" s="669" t="s">
        <v>37</v>
      </c>
      <c r="I396" s="670" t="s">
        <v>91</v>
      </c>
      <c r="J396" s="10"/>
      <c r="K396" s="24">
        <f>K397+K398+K400+K399</f>
        <v>61101.2</v>
      </c>
      <c r="L396" s="24">
        <f>L397+L398+L400+L399</f>
        <v>0</v>
      </c>
      <c r="M396" s="24">
        <f>M397+M398+M400+M399</f>
        <v>61101.2</v>
      </c>
      <c r="N396" s="24">
        <f>N397+N398+N400+N399</f>
        <v>61130.5</v>
      </c>
    </row>
    <row r="397" spans="1:14" s="120" customFormat="1" ht="108" x14ac:dyDescent="0.35">
      <c r="A397" s="11"/>
      <c r="B397" s="510" t="s">
        <v>49</v>
      </c>
      <c r="C397" s="23" t="s">
        <v>423</v>
      </c>
      <c r="D397" s="10" t="s">
        <v>224</v>
      </c>
      <c r="E397" s="10" t="s">
        <v>79</v>
      </c>
      <c r="F397" s="668" t="s">
        <v>39</v>
      </c>
      <c r="G397" s="669" t="s">
        <v>30</v>
      </c>
      <c r="H397" s="669" t="s">
        <v>37</v>
      </c>
      <c r="I397" s="670" t="s">
        <v>91</v>
      </c>
      <c r="J397" s="10" t="s">
        <v>50</v>
      </c>
      <c r="K397" s="24">
        <v>37625.5</v>
      </c>
      <c r="L397" s="24">
        <f>M397-K397</f>
        <v>0</v>
      </c>
      <c r="M397" s="24">
        <v>37625.5</v>
      </c>
      <c r="N397" s="24">
        <v>37625.5</v>
      </c>
    </row>
    <row r="398" spans="1:14" s="120" customFormat="1" ht="54" x14ac:dyDescent="0.35">
      <c r="A398" s="11"/>
      <c r="B398" s="510" t="s">
        <v>55</v>
      </c>
      <c r="C398" s="23" t="s">
        <v>423</v>
      </c>
      <c r="D398" s="10" t="s">
        <v>224</v>
      </c>
      <c r="E398" s="10" t="s">
        <v>79</v>
      </c>
      <c r="F398" s="668" t="s">
        <v>39</v>
      </c>
      <c r="G398" s="669" t="s">
        <v>30</v>
      </c>
      <c r="H398" s="669" t="s">
        <v>37</v>
      </c>
      <c r="I398" s="670" t="s">
        <v>91</v>
      </c>
      <c r="J398" s="10" t="s">
        <v>56</v>
      </c>
      <c r="K398" s="24">
        <v>3061.4</v>
      </c>
      <c r="L398" s="24">
        <f>M398-K398</f>
        <v>0</v>
      </c>
      <c r="M398" s="24">
        <v>3061.4</v>
      </c>
      <c r="N398" s="24">
        <v>3091.4</v>
      </c>
    </row>
    <row r="399" spans="1:14" s="120" customFormat="1" ht="54" x14ac:dyDescent="0.35">
      <c r="A399" s="11"/>
      <c r="B399" s="510" t="s">
        <v>76</v>
      </c>
      <c r="C399" s="23" t="s">
        <v>423</v>
      </c>
      <c r="D399" s="10" t="s">
        <v>224</v>
      </c>
      <c r="E399" s="10" t="s">
        <v>79</v>
      </c>
      <c r="F399" s="668" t="s">
        <v>39</v>
      </c>
      <c r="G399" s="669" t="s">
        <v>30</v>
      </c>
      <c r="H399" s="669" t="s">
        <v>37</v>
      </c>
      <c r="I399" s="670" t="s">
        <v>91</v>
      </c>
      <c r="J399" s="10" t="s">
        <v>77</v>
      </c>
      <c r="K399" s="24">
        <v>20409.3</v>
      </c>
      <c r="L399" s="24">
        <f>M399-K399</f>
        <v>0</v>
      </c>
      <c r="M399" s="24">
        <v>20409.3</v>
      </c>
      <c r="N399" s="24">
        <v>20409.3</v>
      </c>
    </row>
    <row r="400" spans="1:14" s="120" customFormat="1" ht="18" x14ac:dyDescent="0.35">
      <c r="A400" s="11"/>
      <c r="B400" s="510" t="s">
        <v>57</v>
      </c>
      <c r="C400" s="23" t="s">
        <v>423</v>
      </c>
      <c r="D400" s="10" t="s">
        <v>224</v>
      </c>
      <c r="E400" s="10" t="s">
        <v>79</v>
      </c>
      <c r="F400" s="668" t="s">
        <v>39</v>
      </c>
      <c r="G400" s="669" t="s">
        <v>30</v>
      </c>
      <c r="H400" s="669" t="s">
        <v>37</v>
      </c>
      <c r="I400" s="670" t="s">
        <v>91</v>
      </c>
      <c r="J400" s="10" t="s">
        <v>58</v>
      </c>
      <c r="K400" s="24">
        <v>5</v>
      </c>
      <c r="L400" s="24">
        <f>M400-K400</f>
        <v>0</v>
      </c>
      <c r="M400" s="24">
        <v>5</v>
      </c>
      <c r="N400" s="24">
        <v>4.3</v>
      </c>
    </row>
    <row r="401" spans="1:14" s="120" customFormat="1" ht="54" x14ac:dyDescent="0.35">
      <c r="A401" s="11"/>
      <c r="B401" s="510" t="s">
        <v>579</v>
      </c>
      <c r="C401" s="23" t="s">
        <v>423</v>
      </c>
      <c r="D401" s="10" t="s">
        <v>224</v>
      </c>
      <c r="E401" s="10" t="s">
        <v>79</v>
      </c>
      <c r="F401" s="668" t="s">
        <v>39</v>
      </c>
      <c r="G401" s="669" t="s">
        <v>30</v>
      </c>
      <c r="H401" s="669" t="s">
        <v>37</v>
      </c>
      <c r="I401" s="670" t="s">
        <v>578</v>
      </c>
      <c r="J401" s="10"/>
      <c r="K401" s="24">
        <f>K402</f>
        <v>518.6</v>
      </c>
      <c r="L401" s="24">
        <f>L402</f>
        <v>0</v>
      </c>
      <c r="M401" s="24">
        <f>M402</f>
        <v>518.6</v>
      </c>
      <c r="N401" s="24">
        <f>N402</f>
        <v>0</v>
      </c>
    </row>
    <row r="402" spans="1:14" s="120" customFormat="1" ht="54" x14ac:dyDescent="0.35">
      <c r="A402" s="11"/>
      <c r="B402" s="510" t="s">
        <v>76</v>
      </c>
      <c r="C402" s="23" t="s">
        <v>423</v>
      </c>
      <c r="D402" s="10" t="s">
        <v>224</v>
      </c>
      <c r="E402" s="10" t="s">
        <v>79</v>
      </c>
      <c r="F402" s="668" t="s">
        <v>39</v>
      </c>
      <c r="G402" s="669" t="s">
        <v>30</v>
      </c>
      <c r="H402" s="669" t="s">
        <v>37</v>
      </c>
      <c r="I402" s="670" t="s">
        <v>578</v>
      </c>
      <c r="J402" s="10" t="s">
        <v>77</v>
      </c>
      <c r="K402" s="24">
        <v>518.6</v>
      </c>
      <c r="L402" s="24">
        <f>M402-K402</f>
        <v>0</v>
      </c>
      <c r="M402" s="24">
        <v>518.6</v>
      </c>
      <c r="N402" s="24">
        <v>0</v>
      </c>
    </row>
    <row r="403" spans="1:14" s="120" customFormat="1" ht="108" x14ac:dyDescent="0.35">
      <c r="A403" s="11"/>
      <c r="B403" s="510" t="s">
        <v>345</v>
      </c>
      <c r="C403" s="23" t="s">
        <v>423</v>
      </c>
      <c r="D403" s="10" t="s">
        <v>224</v>
      </c>
      <c r="E403" s="10" t="s">
        <v>79</v>
      </c>
      <c r="F403" s="668" t="s">
        <v>39</v>
      </c>
      <c r="G403" s="669" t="s">
        <v>30</v>
      </c>
      <c r="H403" s="669" t="s">
        <v>37</v>
      </c>
      <c r="I403" s="670" t="s">
        <v>270</v>
      </c>
      <c r="J403" s="10"/>
      <c r="K403" s="24">
        <f t="shared" ref="K403" si="63">K404+K405</f>
        <v>6836.2000000000007</v>
      </c>
      <c r="L403" s="24">
        <f>L404+L405</f>
        <v>0</v>
      </c>
      <c r="M403" s="24">
        <f t="shared" ref="M403:N403" si="64">M404+M405</f>
        <v>6836.2000000000007</v>
      </c>
      <c r="N403" s="24">
        <f t="shared" si="64"/>
        <v>6836.8</v>
      </c>
    </row>
    <row r="404" spans="1:14" s="120" customFormat="1" ht="108" x14ac:dyDescent="0.35">
      <c r="A404" s="11"/>
      <c r="B404" s="510" t="s">
        <v>49</v>
      </c>
      <c r="C404" s="23" t="s">
        <v>423</v>
      </c>
      <c r="D404" s="10" t="s">
        <v>224</v>
      </c>
      <c r="E404" s="10" t="s">
        <v>79</v>
      </c>
      <c r="F404" s="668" t="s">
        <v>39</v>
      </c>
      <c r="G404" s="669" t="s">
        <v>30</v>
      </c>
      <c r="H404" s="669" t="s">
        <v>37</v>
      </c>
      <c r="I404" s="670" t="s">
        <v>270</v>
      </c>
      <c r="J404" s="10" t="s">
        <v>50</v>
      </c>
      <c r="K404" s="24">
        <v>6820.6</v>
      </c>
      <c r="L404" s="24">
        <f>M404-K404</f>
        <v>0</v>
      </c>
      <c r="M404" s="24">
        <v>6820.6</v>
      </c>
      <c r="N404" s="24">
        <v>6821.2</v>
      </c>
    </row>
    <row r="405" spans="1:14" s="120" customFormat="1" ht="54" x14ac:dyDescent="0.35">
      <c r="A405" s="11"/>
      <c r="B405" s="510" t="s">
        <v>55</v>
      </c>
      <c r="C405" s="23" t="s">
        <v>423</v>
      </c>
      <c r="D405" s="10" t="s">
        <v>224</v>
      </c>
      <c r="E405" s="10" t="s">
        <v>79</v>
      </c>
      <c r="F405" s="668" t="s">
        <v>39</v>
      </c>
      <c r="G405" s="669" t="s">
        <v>30</v>
      </c>
      <c r="H405" s="669" t="s">
        <v>37</v>
      </c>
      <c r="I405" s="670" t="s">
        <v>270</v>
      </c>
      <c r="J405" s="10" t="s">
        <v>56</v>
      </c>
      <c r="K405" s="24">
        <v>15.6</v>
      </c>
      <c r="L405" s="24">
        <f>M405-K405</f>
        <v>0</v>
      </c>
      <c r="M405" s="24">
        <v>15.6</v>
      </c>
      <c r="N405" s="24">
        <v>15.6</v>
      </c>
    </row>
    <row r="406" spans="1:14" s="120" customFormat="1" ht="54" x14ac:dyDescent="0.35">
      <c r="A406" s="11"/>
      <c r="B406" s="507" t="s">
        <v>281</v>
      </c>
      <c r="C406" s="220" t="s">
        <v>423</v>
      </c>
      <c r="D406" s="28" t="s">
        <v>224</v>
      </c>
      <c r="E406" s="28" t="s">
        <v>79</v>
      </c>
      <c r="F406" s="212" t="s">
        <v>39</v>
      </c>
      <c r="G406" s="213" t="s">
        <v>30</v>
      </c>
      <c r="H406" s="213" t="s">
        <v>39</v>
      </c>
      <c r="I406" s="214" t="s">
        <v>44</v>
      </c>
      <c r="J406" s="28"/>
      <c r="K406" s="215">
        <f>K407+K409</f>
        <v>7904.6</v>
      </c>
      <c r="L406" s="215">
        <f>L407+L409</f>
        <v>0</v>
      </c>
      <c r="M406" s="215">
        <f>M407+M409</f>
        <v>7904.6</v>
      </c>
      <c r="N406" s="215">
        <f>N407+N409</f>
        <v>8136.6</v>
      </c>
    </row>
    <row r="407" spans="1:14" s="120" customFormat="1" ht="36" x14ac:dyDescent="0.35">
      <c r="A407" s="11"/>
      <c r="B407" s="507" t="s">
        <v>470</v>
      </c>
      <c r="C407" s="220" t="s">
        <v>423</v>
      </c>
      <c r="D407" s="28" t="s">
        <v>224</v>
      </c>
      <c r="E407" s="28" t="s">
        <v>79</v>
      </c>
      <c r="F407" s="212" t="s">
        <v>39</v>
      </c>
      <c r="G407" s="213" t="s">
        <v>30</v>
      </c>
      <c r="H407" s="213" t="s">
        <v>39</v>
      </c>
      <c r="I407" s="214" t="s">
        <v>469</v>
      </c>
      <c r="J407" s="28"/>
      <c r="K407" s="215">
        <f>K408</f>
        <v>2107.5</v>
      </c>
      <c r="L407" s="215">
        <f>L408</f>
        <v>0</v>
      </c>
      <c r="M407" s="215">
        <f>M408</f>
        <v>2107.5</v>
      </c>
      <c r="N407" s="215">
        <f>N408</f>
        <v>2107.5</v>
      </c>
    </row>
    <row r="408" spans="1:14" s="120" customFormat="1" ht="54" x14ac:dyDescent="0.35">
      <c r="A408" s="11"/>
      <c r="B408" s="507" t="s">
        <v>76</v>
      </c>
      <c r="C408" s="220" t="s">
        <v>423</v>
      </c>
      <c r="D408" s="28" t="s">
        <v>224</v>
      </c>
      <c r="E408" s="28" t="s">
        <v>79</v>
      </c>
      <c r="F408" s="212" t="s">
        <v>39</v>
      </c>
      <c r="G408" s="213" t="s">
        <v>30</v>
      </c>
      <c r="H408" s="213" t="s">
        <v>39</v>
      </c>
      <c r="I408" s="214" t="s">
        <v>469</v>
      </c>
      <c r="J408" s="28" t="s">
        <v>77</v>
      </c>
      <c r="K408" s="215">
        <f>1945.5+162</f>
        <v>2107.5</v>
      </c>
      <c r="L408" s="24">
        <f>M408-K408</f>
        <v>0</v>
      </c>
      <c r="M408" s="215">
        <f>1945.5+162</f>
        <v>2107.5</v>
      </c>
      <c r="N408" s="259">
        <f>1945.5+162</f>
        <v>2107.5</v>
      </c>
    </row>
    <row r="409" spans="1:14" s="120" customFormat="1" ht="108" x14ac:dyDescent="0.35">
      <c r="A409" s="11"/>
      <c r="B409" s="507" t="s">
        <v>439</v>
      </c>
      <c r="C409" s="220" t="s">
        <v>423</v>
      </c>
      <c r="D409" s="28" t="s">
        <v>224</v>
      </c>
      <c r="E409" s="28" t="s">
        <v>79</v>
      </c>
      <c r="F409" s="212" t="s">
        <v>39</v>
      </c>
      <c r="G409" s="213" t="s">
        <v>30</v>
      </c>
      <c r="H409" s="213" t="s">
        <v>39</v>
      </c>
      <c r="I409" s="214" t="s">
        <v>438</v>
      </c>
      <c r="J409" s="28"/>
      <c r="K409" s="215">
        <f>K410</f>
        <v>5797.1</v>
      </c>
      <c r="L409" s="215">
        <f>L410</f>
        <v>0</v>
      </c>
      <c r="M409" s="215">
        <f>M410</f>
        <v>5797.1</v>
      </c>
      <c r="N409" s="215">
        <f>N410</f>
        <v>6029.1</v>
      </c>
    </row>
    <row r="410" spans="1:14" s="120" customFormat="1" ht="54" x14ac:dyDescent="0.35">
      <c r="A410" s="11"/>
      <c r="B410" s="507" t="s">
        <v>76</v>
      </c>
      <c r="C410" s="220" t="s">
        <v>423</v>
      </c>
      <c r="D410" s="28" t="s">
        <v>224</v>
      </c>
      <c r="E410" s="28" t="s">
        <v>79</v>
      </c>
      <c r="F410" s="212" t="s">
        <v>39</v>
      </c>
      <c r="G410" s="213" t="s">
        <v>30</v>
      </c>
      <c r="H410" s="213" t="s">
        <v>39</v>
      </c>
      <c r="I410" s="214" t="s">
        <v>438</v>
      </c>
      <c r="J410" s="28" t="s">
        <v>77</v>
      </c>
      <c r="K410" s="215">
        <v>5797.1</v>
      </c>
      <c r="L410" s="24">
        <f>M410-K410</f>
        <v>0</v>
      </c>
      <c r="M410" s="215">
        <v>5797.1</v>
      </c>
      <c r="N410" s="259">
        <v>6029.1</v>
      </c>
    </row>
    <row r="411" spans="1:14" s="120" customFormat="1" ht="18" x14ac:dyDescent="0.35">
      <c r="A411" s="11"/>
      <c r="B411" s="559" t="s">
        <v>119</v>
      </c>
      <c r="C411" s="23" t="s">
        <v>423</v>
      </c>
      <c r="D411" s="10" t="s">
        <v>104</v>
      </c>
      <c r="E411" s="10"/>
      <c r="F411" s="668"/>
      <c r="G411" s="669"/>
      <c r="H411" s="669"/>
      <c r="I411" s="670"/>
      <c r="J411" s="10"/>
      <c r="K411" s="24">
        <f t="shared" ref="K411:N412" si="65">K412</f>
        <v>6292.9</v>
      </c>
      <c r="L411" s="24">
        <f t="shared" si="65"/>
        <v>0</v>
      </c>
      <c r="M411" s="24">
        <f t="shared" si="65"/>
        <v>6292.9</v>
      </c>
      <c r="N411" s="24">
        <f t="shared" si="65"/>
        <v>6292.9</v>
      </c>
    </row>
    <row r="412" spans="1:14" s="120" customFormat="1" ht="18" x14ac:dyDescent="0.35">
      <c r="A412" s="11"/>
      <c r="B412" s="559" t="s">
        <v>193</v>
      </c>
      <c r="C412" s="23" t="s">
        <v>423</v>
      </c>
      <c r="D412" s="10" t="s">
        <v>104</v>
      </c>
      <c r="E412" s="10" t="s">
        <v>52</v>
      </c>
      <c r="F412" s="668"/>
      <c r="G412" s="669"/>
      <c r="H412" s="669"/>
      <c r="I412" s="670"/>
      <c r="J412" s="10"/>
      <c r="K412" s="24">
        <f t="shared" si="65"/>
        <v>6292.9</v>
      </c>
      <c r="L412" s="24">
        <f t="shared" si="65"/>
        <v>0</v>
      </c>
      <c r="M412" s="24">
        <f t="shared" si="65"/>
        <v>6292.9</v>
      </c>
      <c r="N412" s="24">
        <f t="shared" si="65"/>
        <v>6292.9</v>
      </c>
    </row>
    <row r="413" spans="1:14" s="120" customFormat="1" ht="54" x14ac:dyDescent="0.35">
      <c r="A413" s="11"/>
      <c r="B413" s="510" t="s">
        <v>205</v>
      </c>
      <c r="C413" s="23" t="s">
        <v>423</v>
      </c>
      <c r="D413" s="10" t="s">
        <v>104</v>
      </c>
      <c r="E413" s="10" t="s">
        <v>52</v>
      </c>
      <c r="F413" s="668" t="s">
        <v>39</v>
      </c>
      <c r="G413" s="669" t="s">
        <v>42</v>
      </c>
      <c r="H413" s="669" t="s">
        <v>43</v>
      </c>
      <c r="I413" s="670" t="s">
        <v>44</v>
      </c>
      <c r="J413" s="10"/>
      <c r="K413" s="24">
        <f t="shared" ref="K413:N415" si="66">K414</f>
        <v>6292.9</v>
      </c>
      <c r="L413" s="24">
        <f t="shared" si="66"/>
        <v>0</v>
      </c>
      <c r="M413" s="24">
        <f t="shared" si="66"/>
        <v>6292.9</v>
      </c>
      <c r="N413" s="24">
        <f t="shared" si="66"/>
        <v>6292.9</v>
      </c>
    </row>
    <row r="414" spans="1:14" s="120" customFormat="1" ht="36" x14ac:dyDescent="0.35">
      <c r="A414" s="11"/>
      <c r="B414" s="510" t="s">
        <v>206</v>
      </c>
      <c r="C414" s="23" t="s">
        <v>423</v>
      </c>
      <c r="D414" s="10" t="s">
        <v>104</v>
      </c>
      <c r="E414" s="10" t="s">
        <v>52</v>
      </c>
      <c r="F414" s="668" t="s">
        <v>39</v>
      </c>
      <c r="G414" s="669" t="s">
        <v>45</v>
      </c>
      <c r="H414" s="669" t="s">
        <v>43</v>
      </c>
      <c r="I414" s="670" t="s">
        <v>44</v>
      </c>
      <c r="J414" s="10"/>
      <c r="K414" s="24">
        <f t="shared" si="66"/>
        <v>6292.9</v>
      </c>
      <c r="L414" s="24">
        <f t="shared" si="66"/>
        <v>0</v>
      </c>
      <c r="M414" s="24">
        <f t="shared" si="66"/>
        <v>6292.9</v>
      </c>
      <c r="N414" s="24">
        <f t="shared" si="66"/>
        <v>6292.9</v>
      </c>
    </row>
    <row r="415" spans="1:14" s="120" customFormat="1" ht="36" x14ac:dyDescent="0.35">
      <c r="A415" s="11"/>
      <c r="B415" s="510" t="s">
        <v>267</v>
      </c>
      <c r="C415" s="23" t="s">
        <v>423</v>
      </c>
      <c r="D415" s="10" t="s">
        <v>104</v>
      </c>
      <c r="E415" s="10" t="s">
        <v>52</v>
      </c>
      <c r="F415" s="668" t="s">
        <v>39</v>
      </c>
      <c r="G415" s="669" t="s">
        <v>45</v>
      </c>
      <c r="H415" s="669" t="s">
        <v>37</v>
      </c>
      <c r="I415" s="670" t="s">
        <v>44</v>
      </c>
      <c r="J415" s="10"/>
      <c r="K415" s="24">
        <f t="shared" si="66"/>
        <v>6292.9</v>
      </c>
      <c r="L415" s="24">
        <f t="shared" si="66"/>
        <v>0</v>
      </c>
      <c r="M415" s="24">
        <f t="shared" si="66"/>
        <v>6292.9</v>
      </c>
      <c r="N415" s="24">
        <f t="shared" si="66"/>
        <v>6292.9</v>
      </c>
    </row>
    <row r="416" spans="1:14" s="120" customFormat="1" ht="126" x14ac:dyDescent="0.35">
      <c r="A416" s="11"/>
      <c r="B416" s="510" t="s">
        <v>283</v>
      </c>
      <c r="C416" s="23" t="s">
        <v>423</v>
      </c>
      <c r="D416" s="10" t="s">
        <v>104</v>
      </c>
      <c r="E416" s="10" t="s">
        <v>52</v>
      </c>
      <c r="F416" s="668" t="s">
        <v>39</v>
      </c>
      <c r="G416" s="669" t="s">
        <v>45</v>
      </c>
      <c r="H416" s="669" t="s">
        <v>37</v>
      </c>
      <c r="I416" s="670" t="s">
        <v>284</v>
      </c>
      <c r="J416" s="10"/>
      <c r="K416" s="24">
        <f>K417+K418</f>
        <v>6292.9</v>
      </c>
      <c r="L416" s="24">
        <f>L417+L418</f>
        <v>0</v>
      </c>
      <c r="M416" s="24">
        <f>M417+M418</f>
        <v>6292.9</v>
      </c>
      <c r="N416" s="24">
        <f>N417+N418</f>
        <v>6292.9</v>
      </c>
    </row>
    <row r="417" spans="1:14" s="120" customFormat="1" ht="54" x14ac:dyDescent="0.35">
      <c r="A417" s="11"/>
      <c r="B417" s="510" t="s">
        <v>55</v>
      </c>
      <c r="C417" s="23" t="s">
        <v>423</v>
      </c>
      <c r="D417" s="10" t="s">
        <v>104</v>
      </c>
      <c r="E417" s="10" t="s">
        <v>52</v>
      </c>
      <c r="F417" s="668" t="s">
        <v>39</v>
      </c>
      <c r="G417" s="669" t="s">
        <v>45</v>
      </c>
      <c r="H417" s="669" t="s">
        <v>37</v>
      </c>
      <c r="I417" s="670" t="s">
        <v>284</v>
      </c>
      <c r="J417" s="10" t="s">
        <v>56</v>
      </c>
      <c r="K417" s="24">
        <v>92.9</v>
      </c>
      <c r="L417" s="24">
        <f>M417-K417</f>
        <v>0</v>
      </c>
      <c r="M417" s="24">
        <v>92.9</v>
      </c>
      <c r="N417" s="24">
        <v>92.9</v>
      </c>
    </row>
    <row r="418" spans="1:14" s="120" customFormat="1" ht="36" x14ac:dyDescent="0.35">
      <c r="A418" s="11"/>
      <c r="B418" s="517" t="s">
        <v>120</v>
      </c>
      <c r="C418" s="23" t="s">
        <v>423</v>
      </c>
      <c r="D418" s="10" t="s">
        <v>104</v>
      </c>
      <c r="E418" s="10" t="s">
        <v>52</v>
      </c>
      <c r="F418" s="668" t="s">
        <v>39</v>
      </c>
      <c r="G418" s="669" t="s">
        <v>45</v>
      </c>
      <c r="H418" s="669" t="s">
        <v>37</v>
      </c>
      <c r="I418" s="670" t="s">
        <v>284</v>
      </c>
      <c r="J418" s="10" t="s">
        <v>121</v>
      </c>
      <c r="K418" s="24">
        <v>6200</v>
      </c>
      <c r="L418" s="24">
        <f>M418-K418</f>
        <v>0</v>
      </c>
      <c r="M418" s="24">
        <v>6200</v>
      </c>
      <c r="N418" s="24">
        <v>6200</v>
      </c>
    </row>
    <row r="419" spans="1:14" s="122" customFormat="1" ht="18" x14ac:dyDescent="0.35">
      <c r="A419" s="11"/>
      <c r="B419" s="510"/>
      <c r="C419" s="23"/>
      <c r="D419" s="10"/>
      <c r="E419" s="10"/>
      <c r="F419" s="668"/>
      <c r="G419" s="669"/>
      <c r="H419" s="669"/>
      <c r="I419" s="670"/>
      <c r="J419" s="10"/>
      <c r="K419" s="24"/>
      <c r="L419" s="24"/>
      <c r="M419" s="24"/>
      <c r="N419" s="24"/>
    </row>
    <row r="420" spans="1:14" s="116" customFormat="1" ht="52.2" x14ac:dyDescent="0.3">
      <c r="A420" s="115">
        <v>6</v>
      </c>
      <c r="B420" s="580" t="s">
        <v>9</v>
      </c>
      <c r="C420" s="18" t="s">
        <v>314</v>
      </c>
      <c r="D420" s="19"/>
      <c r="E420" s="19"/>
      <c r="F420" s="20"/>
      <c r="G420" s="21"/>
      <c r="H420" s="21"/>
      <c r="I420" s="22"/>
      <c r="J420" s="19"/>
      <c r="K420" s="32">
        <f>K428+K446+K421</f>
        <v>96417.300000000017</v>
      </c>
      <c r="L420" s="32">
        <f>L428+L446+L421</f>
        <v>0</v>
      </c>
      <c r="M420" s="32">
        <f>M428+M446+M421</f>
        <v>96417.300000000017</v>
      </c>
      <c r="N420" s="32">
        <f>N428+N446+N421</f>
        <v>96420.2</v>
      </c>
    </row>
    <row r="421" spans="1:14" s="116" customFormat="1" ht="18" x14ac:dyDescent="0.35">
      <c r="A421" s="115"/>
      <c r="B421" s="510" t="s">
        <v>36</v>
      </c>
      <c r="C421" s="23" t="s">
        <v>314</v>
      </c>
      <c r="D421" s="28" t="s">
        <v>37</v>
      </c>
      <c r="E421" s="19"/>
      <c r="F421" s="20"/>
      <c r="G421" s="21"/>
      <c r="H421" s="21"/>
      <c r="I421" s="22"/>
      <c r="J421" s="19"/>
      <c r="K421" s="215">
        <f t="shared" ref="K421:M425" si="67">K422</f>
        <v>54.1</v>
      </c>
      <c r="L421" s="215">
        <f t="shared" si="67"/>
        <v>0</v>
      </c>
      <c r="M421" s="215">
        <f t="shared" si="67"/>
        <v>54.1</v>
      </c>
      <c r="N421" s="215">
        <f>N422</f>
        <v>54.1</v>
      </c>
    </row>
    <row r="422" spans="1:14" s="116" customFormat="1" ht="18" x14ac:dyDescent="0.35">
      <c r="A422" s="115"/>
      <c r="B422" s="510" t="s">
        <v>70</v>
      </c>
      <c r="C422" s="23" t="s">
        <v>314</v>
      </c>
      <c r="D422" s="28" t="s">
        <v>37</v>
      </c>
      <c r="E422" s="28" t="s">
        <v>71</v>
      </c>
      <c r="F422" s="20"/>
      <c r="G422" s="21"/>
      <c r="H422" s="21"/>
      <c r="I422" s="22"/>
      <c r="J422" s="19"/>
      <c r="K422" s="215">
        <f t="shared" ref="K422:N423" si="68">K423</f>
        <v>54.1</v>
      </c>
      <c r="L422" s="215">
        <f t="shared" si="68"/>
        <v>0</v>
      </c>
      <c r="M422" s="215">
        <f t="shared" si="68"/>
        <v>54.1</v>
      </c>
      <c r="N422" s="215">
        <f t="shared" si="68"/>
        <v>54.1</v>
      </c>
    </row>
    <row r="423" spans="1:14" s="116" customFormat="1" ht="54" x14ac:dyDescent="0.35">
      <c r="A423" s="115"/>
      <c r="B423" s="560" t="s">
        <v>213</v>
      </c>
      <c r="C423" s="23" t="s">
        <v>314</v>
      </c>
      <c r="D423" s="28" t="s">
        <v>37</v>
      </c>
      <c r="E423" s="28" t="s">
        <v>71</v>
      </c>
      <c r="F423" s="212" t="s">
        <v>63</v>
      </c>
      <c r="G423" s="213" t="s">
        <v>42</v>
      </c>
      <c r="H423" s="213" t="s">
        <v>43</v>
      </c>
      <c r="I423" s="214" t="s">
        <v>44</v>
      </c>
      <c r="J423" s="19"/>
      <c r="K423" s="215">
        <f t="shared" si="68"/>
        <v>54.1</v>
      </c>
      <c r="L423" s="215">
        <f t="shared" si="68"/>
        <v>0</v>
      </c>
      <c r="M423" s="215">
        <f t="shared" si="68"/>
        <v>54.1</v>
      </c>
      <c r="N423" s="215">
        <f t="shared" si="68"/>
        <v>54.1</v>
      </c>
    </row>
    <row r="424" spans="1:14" s="116" customFormat="1" ht="54" x14ac:dyDescent="0.35">
      <c r="A424" s="115"/>
      <c r="B424" s="510" t="s">
        <v>216</v>
      </c>
      <c r="C424" s="23" t="s">
        <v>314</v>
      </c>
      <c r="D424" s="28" t="s">
        <v>37</v>
      </c>
      <c r="E424" s="28" t="s">
        <v>71</v>
      </c>
      <c r="F424" s="212" t="s">
        <v>63</v>
      </c>
      <c r="G424" s="213" t="s">
        <v>30</v>
      </c>
      <c r="H424" s="213" t="s">
        <v>43</v>
      </c>
      <c r="I424" s="214" t="s">
        <v>44</v>
      </c>
      <c r="J424" s="19"/>
      <c r="K424" s="215">
        <f t="shared" si="67"/>
        <v>54.1</v>
      </c>
      <c r="L424" s="215">
        <f t="shared" si="67"/>
        <v>0</v>
      </c>
      <c r="M424" s="215">
        <f t="shared" si="67"/>
        <v>54.1</v>
      </c>
      <c r="N424" s="215">
        <f>N425</f>
        <v>54.1</v>
      </c>
    </row>
    <row r="425" spans="1:14" s="116" customFormat="1" ht="36" x14ac:dyDescent="0.35">
      <c r="A425" s="115"/>
      <c r="B425" s="510" t="s">
        <v>351</v>
      </c>
      <c r="C425" s="23" t="s">
        <v>314</v>
      </c>
      <c r="D425" s="28" t="s">
        <v>37</v>
      </c>
      <c r="E425" s="28" t="s">
        <v>71</v>
      </c>
      <c r="F425" s="212" t="s">
        <v>63</v>
      </c>
      <c r="G425" s="213" t="s">
        <v>30</v>
      </c>
      <c r="H425" s="213" t="s">
        <v>39</v>
      </c>
      <c r="I425" s="214" t="s">
        <v>44</v>
      </c>
      <c r="J425" s="19"/>
      <c r="K425" s="215">
        <f t="shared" si="67"/>
        <v>54.1</v>
      </c>
      <c r="L425" s="215">
        <f t="shared" si="67"/>
        <v>0</v>
      </c>
      <c r="M425" s="215">
        <f t="shared" si="67"/>
        <v>54.1</v>
      </c>
      <c r="N425" s="215">
        <f>N426</f>
        <v>54.1</v>
      </c>
    </row>
    <row r="426" spans="1:14" s="116" customFormat="1" ht="54" x14ac:dyDescent="0.35">
      <c r="A426" s="115"/>
      <c r="B426" s="510" t="s">
        <v>352</v>
      </c>
      <c r="C426" s="23" t="s">
        <v>314</v>
      </c>
      <c r="D426" s="28" t="s">
        <v>37</v>
      </c>
      <c r="E426" s="28" t="s">
        <v>71</v>
      </c>
      <c r="F426" s="212" t="s">
        <v>63</v>
      </c>
      <c r="G426" s="213" t="s">
        <v>30</v>
      </c>
      <c r="H426" s="213" t="s">
        <v>39</v>
      </c>
      <c r="I426" s="214" t="s">
        <v>105</v>
      </c>
      <c r="J426" s="19"/>
      <c r="K426" s="215">
        <f>K427</f>
        <v>54.1</v>
      </c>
      <c r="L426" s="215">
        <f>L427</f>
        <v>0</v>
      </c>
      <c r="M426" s="215">
        <f>M427</f>
        <v>54.1</v>
      </c>
      <c r="N426" s="215">
        <f>N427</f>
        <v>54.1</v>
      </c>
    </row>
    <row r="427" spans="1:14" s="116" customFormat="1" ht="54" x14ac:dyDescent="0.35">
      <c r="A427" s="115"/>
      <c r="B427" s="510" t="s">
        <v>55</v>
      </c>
      <c r="C427" s="23" t="s">
        <v>314</v>
      </c>
      <c r="D427" s="28" t="s">
        <v>37</v>
      </c>
      <c r="E427" s="28" t="s">
        <v>71</v>
      </c>
      <c r="F427" s="212" t="s">
        <v>63</v>
      </c>
      <c r="G427" s="213" t="s">
        <v>30</v>
      </c>
      <c r="H427" s="213" t="s">
        <v>39</v>
      </c>
      <c r="I427" s="214" t="s">
        <v>105</v>
      </c>
      <c r="J427" s="28" t="s">
        <v>56</v>
      </c>
      <c r="K427" s="215">
        <v>54.1</v>
      </c>
      <c r="L427" s="24">
        <f>M427-K427</f>
        <v>0</v>
      </c>
      <c r="M427" s="215">
        <v>54.1</v>
      </c>
      <c r="N427" s="215">
        <v>54.1</v>
      </c>
    </row>
    <row r="428" spans="1:14" s="7" customFormat="1" ht="18" x14ac:dyDescent="0.35">
      <c r="A428" s="11"/>
      <c r="B428" s="560" t="s">
        <v>179</v>
      </c>
      <c r="C428" s="23" t="s">
        <v>314</v>
      </c>
      <c r="D428" s="10" t="s">
        <v>224</v>
      </c>
      <c r="E428" s="10"/>
      <c r="F428" s="668"/>
      <c r="G428" s="669"/>
      <c r="H428" s="669"/>
      <c r="I428" s="670"/>
      <c r="J428" s="10"/>
      <c r="K428" s="24">
        <f>K429+K437</f>
        <v>60705.4</v>
      </c>
      <c r="L428" s="24">
        <f>L429+L437</f>
        <v>0</v>
      </c>
      <c r="M428" s="24">
        <f>M429+M437</f>
        <v>60705.4</v>
      </c>
      <c r="N428" s="24">
        <f>N429+N437</f>
        <v>60762.2</v>
      </c>
    </row>
    <row r="429" spans="1:14" s="116" customFormat="1" ht="18" x14ac:dyDescent="0.35">
      <c r="A429" s="11"/>
      <c r="B429" s="560" t="s">
        <v>349</v>
      </c>
      <c r="C429" s="23" t="s">
        <v>314</v>
      </c>
      <c r="D429" s="10" t="s">
        <v>224</v>
      </c>
      <c r="E429" s="10" t="s">
        <v>63</v>
      </c>
      <c r="F429" s="668"/>
      <c r="G429" s="669"/>
      <c r="H429" s="669"/>
      <c r="I429" s="670"/>
      <c r="J429" s="10"/>
      <c r="K429" s="24">
        <f t="shared" ref="K429:M430" si="69">K430</f>
        <v>60029.8</v>
      </c>
      <c r="L429" s="24">
        <f t="shared" si="69"/>
        <v>0</v>
      </c>
      <c r="M429" s="24">
        <f t="shared" si="69"/>
        <v>60029.8</v>
      </c>
      <c r="N429" s="24">
        <f>N430</f>
        <v>60086.6</v>
      </c>
    </row>
    <row r="430" spans="1:14" s="116" customFormat="1" ht="54" x14ac:dyDescent="0.35">
      <c r="A430" s="11"/>
      <c r="B430" s="560" t="s">
        <v>213</v>
      </c>
      <c r="C430" s="23" t="s">
        <v>314</v>
      </c>
      <c r="D430" s="10" t="s">
        <v>224</v>
      </c>
      <c r="E430" s="10" t="s">
        <v>63</v>
      </c>
      <c r="F430" s="668" t="s">
        <v>63</v>
      </c>
      <c r="G430" s="669" t="s">
        <v>42</v>
      </c>
      <c r="H430" s="669" t="s">
        <v>43</v>
      </c>
      <c r="I430" s="670" t="s">
        <v>44</v>
      </c>
      <c r="J430" s="10"/>
      <c r="K430" s="24">
        <f t="shared" si="69"/>
        <v>60029.8</v>
      </c>
      <c r="L430" s="24">
        <f t="shared" si="69"/>
        <v>0</v>
      </c>
      <c r="M430" s="24">
        <f t="shared" si="69"/>
        <v>60029.8</v>
      </c>
      <c r="N430" s="24">
        <f>N431</f>
        <v>60086.6</v>
      </c>
    </row>
    <row r="431" spans="1:14" s="116" customFormat="1" ht="72" x14ac:dyDescent="0.35">
      <c r="A431" s="11"/>
      <c r="B431" s="560" t="s">
        <v>214</v>
      </c>
      <c r="C431" s="23" t="s">
        <v>314</v>
      </c>
      <c r="D431" s="10" t="s">
        <v>224</v>
      </c>
      <c r="E431" s="10" t="s">
        <v>63</v>
      </c>
      <c r="F431" s="668" t="s">
        <v>63</v>
      </c>
      <c r="G431" s="669" t="s">
        <v>45</v>
      </c>
      <c r="H431" s="669" t="s">
        <v>43</v>
      </c>
      <c r="I431" s="670" t="s">
        <v>44</v>
      </c>
      <c r="J431" s="10"/>
      <c r="K431" s="24">
        <f t="shared" ref="K431:N433" si="70">K432</f>
        <v>60029.8</v>
      </c>
      <c r="L431" s="24">
        <f t="shared" si="70"/>
        <v>0</v>
      </c>
      <c r="M431" s="24">
        <f t="shared" si="70"/>
        <v>60029.8</v>
      </c>
      <c r="N431" s="24">
        <f t="shared" si="70"/>
        <v>60086.6</v>
      </c>
    </row>
    <row r="432" spans="1:14" s="116" customFormat="1" ht="36" x14ac:dyDescent="0.35">
      <c r="A432" s="11"/>
      <c r="B432" s="560" t="s">
        <v>276</v>
      </c>
      <c r="C432" s="23" t="s">
        <v>314</v>
      </c>
      <c r="D432" s="10" t="s">
        <v>224</v>
      </c>
      <c r="E432" s="10" t="s">
        <v>63</v>
      </c>
      <c r="F432" s="668" t="s">
        <v>63</v>
      </c>
      <c r="G432" s="669" t="s">
        <v>45</v>
      </c>
      <c r="H432" s="669" t="s">
        <v>37</v>
      </c>
      <c r="I432" s="670" t="s">
        <v>44</v>
      </c>
      <c r="J432" s="10"/>
      <c r="K432" s="24">
        <f>K433+K435</f>
        <v>60029.8</v>
      </c>
      <c r="L432" s="24">
        <f>L433+L435</f>
        <v>0</v>
      </c>
      <c r="M432" s="24">
        <f>M433+M435</f>
        <v>60029.8</v>
      </c>
      <c r="N432" s="24">
        <f>N433+N435</f>
        <v>60086.6</v>
      </c>
    </row>
    <row r="433" spans="1:14" s="116" customFormat="1" ht="36" x14ac:dyDescent="0.35">
      <c r="A433" s="11"/>
      <c r="B433" s="588" t="s">
        <v>464</v>
      </c>
      <c r="C433" s="23" t="s">
        <v>314</v>
      </c>
      <c r="D433" s="10" t="s">
        <v>224</v>
      </c>
      <c r="E433" s="10" t="s">
        <v>63</v>
      </c>
      <c r="F433" s="668" t="s">
        <v>63</v>
      </c>
      <c r="G433" s="669" t="s">
        <v>45</v>
      </c>
      <c r="H433" s="669" t="s">
        <v>37</v>
      </c>
      <c r="I433" s="670" t="s">
        <v>91</v>
      </c>
      <c r="J433" s="10"/>
      <c r="K433" s="24">
        <f t="shared" si="70"/>
        <v>54257</v>
      </c>
      <c r="L433" s="24">
        <f t="shared" si="70"/>
        <v>0</v>
      </c>
      <c r="M433" s="24">
        <f t="shared" si="70"/>
        <v>54257</v>
      </c>
      <c r="N433" s="24">
        <f t="shared" si="70"/>
        <v>54257.7</v>
      </c>
    </row>
    <row r="434" spans="1:14" s="7" customFormat="1" ht="54" x14ac:dyDescent="0.35">
      <c r="A434" s="11"/>
      <c r="B434" s="517" t="s">
        <v>76</v>
      </c>
      <c r="C434" s="23" t="s">
        <v>314</v>
      </c>
      <c r="D434" s="10" t="s">
        <v>224</v>
      </c>
      <c r="E434" s="10" t="s">
        <v>63</v>
      </c>
      <c r="F434" s="668" t="s">
        <v>63</v>
      </c>
      <c r="G434" s="669" t="s">
        <v>45</v>
      </c>
      <c r="H434" s="669" t="s">
        <v>37</v>
      </c>
      <c r="I434" s="670" t="s">
        <v>91</v>
      </c>
      <c r="J434" s="10" t="s">
        <v>77</v>
      </c>
      <c r="K434" s="24">
        <v>54257</v>
      </c>
      <c r="L434" s="24">
        <f>M434-K434</f>
        <v>0</v>
      </c>
      <c r="M434" s="24">
        <v>54257</v>
      </c>
      <c r="N434" s="24">
        <v>54257.7</v>
      </c>
    </row>
    <row r="435" spans="1:14" s="7" customFormat="1" ht="36" x14ac:dyDescent="0.35">
      <c r="A435" s="11"/>
      <c r="B435" s="517" t="s">
        <v>315</v>
      </c>
      <c r="C435" s="23" t="s">
        <v>314</v>
      </c>
      <c r="D435" s="10" t="s">
        <v>224</v>
      </c>
      <c r="E435" s="10" t="s">
        <v>63</v>
      </c>
      <c r="F435" s="668" t="s">
        <v>63</v>
      </c>
      <c r="G435" s="669" t="s">
        <v>45</v>
      </c>
      <c r="H435" s="669" t="s">
        <v>37</v>
      </c>
      <c r="I435" s="670" t="s">
        <v>316</v>
      </c>
      <c r="J435" s="10"/>
      <c r="K435" s="24">
        <f>K436</f>
        <v>5772.8</v>
      </c>
      <c r="L435" s="24">
        <f>L436</f>
        <v>0</v>
      </c>
      <c r="M435" s="24">
        <f>M436</f>
        <v>5772.8</v>
      </c>
      <c r="N435" s="24">
        <f>N436</f>
        <v>5828.9</v>
      </c>
    </row>
    <row r="436" spans="1:14" s="7" customFormat="1" ht="54" x14ac:dyDescent="0.35">
      <c r="A436" s="11"/>
      <c r="B436" s="517" t="s">
        <v>76</v>
      </c>
      <c r="C436" s="23" t="s">
        <v>314</v>
      </c>
      <c r="D436" s="10" t="s">
        <v>224</v>
      </c>
      <c r="E436" s="10" t="s">
        <v>63</v>
      </c>
      <c r="F436" s="668" t="s">
        <v>63</v>
      </c>
      <c r="G436" s="669" t="s">
        <v>45</v>
      </c>
      <c r="H436" s="669" t="s">
        <v>37</v>
      </c>
      <c r="I436" s="670" t="s">
        <v>316</v>
      </c>
      <c r="J436" s="10" t="s">
        <v>77</v>
      </c>
      <c r="K436" s="24">
        <v>5772.8</v>
      </c>
      <c r="L436" s="24">
        <f>M436-K436</f>
        <v>0</v>
      </c>
      <c r="M436" s="24">
        <v>5772.8</v>
      </c>
      <c r="N436" s="24">
        <v>5828.9</v>
      </c>
    </row>
    <row r="437" spans="1:14" s="7" customFormat="1" ht="18" x14ac:dyDescent="0.35">
      <c r="A437" s="11"/>
      <c r="B437" s="510" t="s">
        <v>186</v>
      </c>
      <c r="C437" s="23" t="s">
        <v>314</v>
      </c>
      <c r="D437" s="10" t="s">
        <v>224</v>
      </c>
      <c r="E437" s="10" t="s">
        <v>79</v>
      </c>
      <c r="F437" s="668"/>
      <c r="G437" s="669"/>
      <c r="H437" s="669"/>
      <c r="I437" s="670"/>
      <c r="J437" s="10"/>
      <c r="K437" s="24">
        <f t="shared" ref="K437:N441" si="71">K438</f>
        <v>675.6</v>
      </c>
      <c r="L437" s="24">
        <f t="shared" si="71"/>
        <v>0</v>
      </c>
      <c r="M437" s="24">
        <f t="shared" si="71"/>
        <v>675.6</v>
      </c>
      <c r="N437" s="24">
        <f t="shared" si="71"/>
        <v>675.6</v>
      </c>
    </row>
    <row r="438" spans="1:14" s="7" customFormat="1" ht="54" x14ac:dyDescent="0.35">
      <c r="A438" s="11"/>
      <c r="B438" s="560" t="s">
        <v>213</v>
      </c>
      <c r="C438" s="23" t="s">
        <v>314</v>
      </c>
      <c r="D438" s="10" t="s">
        <v>224</v>
      </c>
      <c r="E438" s="10" t="s">
        <v>79</v>
      </c>
      <c r="F438" s="668" t="s">
        <v>63</v>
      </c>
      <c r="G438" s="669" t="s">
        <v>42</v>
      </c>
      <c r="H438" s="669" t="s">
        <v>43</v>
      </c>
      <c r="I438" s="670" t="s">
        <v>44</v>
      </c>
      <c r="J438" s="10"/>
      <c r="K438" s="24">
        <f t="shared" si="71"/>
        <v>675.6</v>
      </c>
      <c r="L438" s="24">
        <f t="shared" si="71"/>
        <v>0</v>
      </c>
      <c r="M438" s="24">
        <f t="shared" si="71"/>
        <v>675.6</v>
      </c>
      <c r="N438" s="24">
        <f t="shared" si="71"/>
        <v>675.6</v>
      </c>
    </row>
    <row r="439" spans="1:14" s="7" customFormat="1" ht="72" x14ac:dyDescent="0.35">
      <c r="A439" s="11"/>
      <c r="B439" s="560" t="s">
        <v>214</v>
      </c>
      <c r="C439" s="23" t="s">
        <v>314</v>
      </c>
      <c r="D439" s="10" t="s">
        <v>224</v>
      </c>
      <c r="E439" s="10" t="s">
        <v>79</v>
      </c>
      <c r="F439" s="668" t="s">
        <v>63</v>
      </c>
      <c r="G439" s="669" t="s">
        <v>45</v>
      </c>
      <c r="H439" s="669" t="s">
        <v>43</v>
      </c>
      <c r="I439" s="670" t="s">
        <v>44</v>
      </c>
      <c r="J439" s="10"/>
      <c r="K439" s="24">
        <f t="shared" si="71"/>
        <v>675.6</v>
      </c>
      <c r="L439" s="24">
        <f t="shared" si="71"/>
        <v>0</v>
      </c>
      <c r="M439" s="24">
        <f t="shared" si="71"/>
        <v>675.6</v>
      </c>
      <c r="N439" s="24">
        <f t="shared" si="71"/>
        <v>675.6</v>
      </c>
    </row>
    <row r="440" spans="1:14" s="7" customFormat="1" ht="18" x14ac:dyDescent="0.35">
      <c r="A440" s="11"/>
      <c r="B440" s="517" t="s">
        <v>277</v>
      </c>
      <c r="C440" s="23" t="s">
        <v>314</v>
      </c>
      <c r="D440" s="10" t="s">
        <v>224</v>
      </c>
      <c r="E440" s="10" t="s">
        <v>79</v>
      </c>
      <c r="F440" s="668" t="s">
        <v>63</v>
      </c>
      <c r="G440" s="669" t="s">
        <v>45</v>
      </c>
      <c r="H440" s="669" t="s">
        <v>39</v>
      </c>
      <c r="I440" s="670" t="s">
        <v>44</v>
      </c>
      <c r="J440" s="10"/>
      <c r="K440" s="24">
        <f>K441+K443</f>
        <v>675.6</v>
      </c>
      <c r="L440" s="24">
        <f>L441+L443</f>
        <v>0</v>
      </c>
      <c r="M440" s="24">
        <f>M441+M443</f>
        <v>675.6</v>
      </c>
      <c r="N440" s="24">
        <f>N441+N443</f>
        <v>675.6</v>
      </c>
    </row>
    <row r="441" spans="1:14" s="7" customFormat="1" ht="36" x14ac:dyDescent="0.35">
      <c r="A441" s="11"/>
      <c r="B441" s="517" t="s">
        <v>211</v>
      </c>
      <c r="C441" s="23" t="s">
        <v>314</v>
      </c>
      <c r="D441" s="10" t="s">
        <v>224</v>
      </c>
      <c r="E441" s="10" t="s">
        <v>79</v>
      </c>
      <c r="F441" s="668" t="s">
        <v>63</v>
      </c>
      <c r="G441" s="669" t="s">
        <v>45</v>
      </c>
      <c r="H441" s="669" t="s">
        <v>39</v>
      </c>
      <c r="I441" s="670" t="s">
        <v>279</v>
      </c>
      <c r="J441" s="10"/>
      <c r="K441" s="24">
        <f t="shared" si="71"/>
        <v>375</v>
      </c>
      <c r="L441" s="24">
        <f t="shared" si="71"/>
        <v>0</v>
      </c>
      <c r="M441" s="24">
        <f t="shared" si="71"/>
        <v>375</v>
      </c>
      <c r="N441" s="24">
        <f t="shared" si="71"/>
        <v>375</v>
      </c>
    </row>
    <row r="442" spans="1:14" s="7" customFormat="1" ht="36" x14ac:dyDescent="0.35">
      <c r="A442" s="11"/>
      <c r="B442" s="517" t="s">
        <v>120</v>
      </c>
      <c r="C442" s="23" t="s">
        <v>314</v>
      </c>
      <c r="D442" s="10" t="s">
        <v>224</v>
      </c>
      <c r="E442" s="10" t="s">
        <v>79</v>
      </c>
      <c r="F442" s="668" t="s">
        <v>63</v>
      </c>
      <c r="G442" s="669" t="s">
        <v>45</v>
      </c>
      <c r="H442" s="669" t="s">
        <v>39</v>
      </c>
      <c r="I442" s="670" t="s">
        <v>279</v>
      </c>
      <c r="J442" s="10" t="s">
        <v>121</v>
      </c>
      <c r="K442" s="24">
        <v>375</v>
      </c>
      <c r="L442" s="24">
        <f>M442-K442</f>
        <v>0</v>
      </c>
      <c r="M442" s="24">
        <v>375</v>
      </c>
      <c r="N442" s="24">
        <v>375</v>
      </c>
    </row>
    <row r="443" spans="1:14" s="7" customFormat="1" ht="54" x14ac:dyDescent="0.35">
      <c r="A443" s="11"/>
      <c r="B443" s="517" t="s">
        <v>281</v>
      </c>
      <c r="C443" s="23" t="s">
        <v>314</v>
      </c>
      <c r="D443" s="10" t="s">
        <v>224</v>
      </c>
      <c r="E443" s="10" t="s">
        <v>79</v>
      </c>
      <c r="F443" s="668" t="s">
        <v>63</v>
      </c>
      <c r="G443" s="669" t="s">
        <v>45</v>
      </c>
      <c r="H443" s="669" t="s">
        <v>65</v>
      </c>
      <c r="I443" s="670" t="s">
        <v>44</v>
      </c>
      <c r="J443" s="10"/>
      <c r="K443" s="24">
        <f t="shared" ref="K443:M444" si="72">K444</f>
        <v>300.60000000000002</v>
      </c>
      <c r="L443" s="24">
        <f t="shared" si="72"/>
        <v>0</v>
      </c>
      <c r="M443" s="24">
        <f t="shared" si="72"/>
        <v>300.60000000000002</v>
      </c>
      <c r="N443" s="24">
        <f>N444</f>
        <v>300.60000000000002</v>
      </c>
    </row>
    <row r="444" spans="1:14" s="7" customFormat="1" ht="36" x14ac:dyDescent="0.35">
      <c r="A444" s="11"/>
      <c r="B444" s="517" t="s">
        <v>470</v>
      </c>
      <c r="C444" s="23" t="s">
        <v>314</v>
      </c>
      <c r="D444" s="10" t="s">
        <v>224</v>
      </c>
      <c r="E444" s="10" t="s">
        <v>79</v>
      </c>
      <c r="F444" s="668" t="s">
        <v>63</v>
      </c>
      <c r="G444" s="669" t="s">
        <v>45</v>
      </c>
      <c r="H444" s="669" t="s">
        <v>65</v>
      </c>
      <c r="I444" s="670" t="s">
        <v>469</v>
      </c>
      <c r="J444" s="10"/>
      <c r="K444" s="24">
        <f t="shared" si="72"/>
        <v>300.60000000000002</v>
      </c>
      <c r="L444" s="24">
        <f t="shared" si="72"/>
        <v>0</v>
      </c>
      <c r="M444" s="24">
        <f t="shared" si="72"/>
        <v>300.60000000000002</v>
      </c>
      <c r="N444" s="24">
        <f>N445</f>
        <v>300.60000000000002</v>
      </c>
    </row>
    <row r="445" spans="1:14" s="7" customFormat="1" ht="54" x14ac:dyDescent="0.35">
      <c r="A445" s="11"/>
      <c r="B445" s="517" t="s">
        <v>76</v>
      </c>
      <c r="C445" s="23" t="s">
        <v>314</v>
      </c>
      <c r="D445" s="10" t="s">
        <v>224</v>
      </c>
      <c r="E445" s="10" t="s">
        <v>79</v>
      </c>
      <c r="F445" s="668" t="s">
        <v>63</v>
      </c>
      <c r="G445" s="669" t="s">
        <v>45</v>
      </c>
      <c r="H445" s="669" t="s">
        <v>65</v>
      </c>
      <c r="I445" s="670" t="s">
        <v>469</v>
      </c>
      <c r="J445" s="10" t="s">
        <v>77</v>
      </c>
      <c r="K445" s="24">
        <v>300.60000000000002</v>
      </c>
      <c r="L445" s="24">
        <f>M445-K445</f>
        <v>0</v>
      </c>
      <c r="M445" s="24">
        <v>300.60000000000002</v>
      </c>
      <c r="N445" s="24">
        <v>300.60000000000002</v>
      </c>
    </row>
    <row r="446" spans="1:14" s="7" customFormat="1" ht="18" x14ac:dyDescent="0.35">
      <c r="A446" s="11"/>
      <c r="B446" s="510" t="s">
        <v>188</v>
      </c>
      <c r="C446" s="23" t="s">
        <v>314</v>
      </c>
      <c r="D446" s="10" t="s">
        <v>226</v>
      </c>
      <c r="E446" s="10"/>
      <c r="F446" s="668"/>
      <c r="G446" s="669"/>
      <c r="H446" s="669"/>
      <c r="I446" s="670"/>
      <c r="J446" s="10"/>
      <c r="K446" s="24">
        <f>K447+K464</f>
        <v>35657.800000000003</v>
      </c>
      <c r="L446" s="24">
        <f>L447+L464</f>
        <v>0</v>
      </c>
      <c r="M446" s="24">
        <f>M447+M464</f>
        <v>35657.800000000003</v>
      </c>
      <c r="N446" s="24">
        <f>N447+N464</f>
        <v>35603.899999999994</v>
      </c>
    </row>
    <row r="447" spans="1:14" s="7" customFormat="1" ht="18" x14ac:dyDescent="0.35">
      <c r="A447" s="11"/>
      <c r="B447" s="510" t="s">
        <v>190</v>
      </c>
      <c r="C447" s="23" t="s">
        <v>314</v>
      </c>
      <c r="D447" s="10" t="s">
        <v>226</v>
      </c>
      <c r="E447" s="10" t="s">
        <v>37</v>
      </c>
      <c r="F447" s="668"/>
      <c r="G447" s="669"/>
      <c r="H447" s="669"/>
      <c r="I447" s="670"/>
      <c r="J447" s="10"/>
      <c r="K447" s="24">
        <f>K448</f>
        <v>24215.8</v>
      </c>
      <c r="L447" s="24">
        <f>L448</f>
        <v>0</v>
      </c>
      <c r="M447" s="24">
        <f>M448</f>
        <v>24215.8</v>
      </c>
      <c r="N447" s="24">
        <f>N448</f>
        <v>24157.399999999998</v>
      </c>
    </row>
    <row r="448" spans="1:14" s="7" customFormat="1" ht="54" x14ac:dyDescent="0.35">
      <c r="A448" s="11"/>
      <c r="B448" s="560" t="s">
        <v>213</v>
      </c>
      <c r="C448" s="23" t="s">
        <v>314</v>
      </c>
      <c r="D448" s="10" t="s">
        <v>226</v>
      </c>
      <c r="E448" s="10" t="s">
        <v>37</v>
      </c>
      <c r="F448" s="668" t="s">
        <v>63</v>
      </c>
      <c r="G448" s="669" t="s">
        <v>42</v>
      </c>
      <c r="H448" s="669" t="s">
        <v>43</v>
      </c>
      <c r="I448" s="670" t="s">
        <v>44</v>
      </c>
      <c r="J448" s="10"/>
      <c r="K448" s="24">
        <f>K449+K458</f>
        <v>24215.8</v>
      </c>
      <c r="L448" s="24">
        <f>L449+L458</f>
        <v>0</v>
      </c>
      <c r="M448" s="24">
        <f>M449+M458</f>
        <v>24215.8</v>
      </c>
      <c r="N448" s="24">
        <f>N449+N458</f>
        <v>24157.399999999998</v>
      </c>
    </row>
    <row r="449" spans="1:14" s="7" customFormat="1" ht="72" x14ac:dyDescent="0.35">
      <c r="A449" s="11"/>
      <c r="B449" s="560" t="s">
        <v>214</v>
      </c>
      <c r="C449" s="23" t="s">
        <v>314</v>
      </c>
      <c r="D449" s="10" t="s">
        <v>226</v>
      </c>
      <c r="E449" s="10" t="s">
        <v>37</v>
      </c>
      <c r="F449" s="27" t="s">
        <v>63</v>
      </c>
      <c r="G449" s="93" t="s">
        <v>45</v>
      </c>
      <c r="H449" s="93" t="s">
        <v>43</v>
      </c>
      <c r="I449" s="94" t="s">
        <v>44</v>
      </c>
      <c r="J449" s="95"/>
      <c r="K449" s="24">
        <f>K450+K455</f>
        <v>23779.8</v>
      </c>
      <c r="L449" s="24">
        <f>L450+L455</f>
        <v>0</v>
      </c>
      <c r="M449" s="24">
        <f>M450+M455</f>
        <v>23779.8</v>
      </c>
      <c r="N449" s="24">
        <f>N450+N455</f>
        <v>23722.3</v>
      </c>
    </row>
    <row r="450" spans="1:14" s="7" customFormat="1" ht="18" x14ac:dyDescent="0.35">
      <c r="A450" s="11"/>
      <c r="B450" s="510" t="s">
        <v>317</v>
      </c>
      <c r="C450" s="23" t="s">
        <v>314</v>
      </c>
      <c r="D450" s="10" t="s">
        <v>226</v>
      </c>
      <c r="E450" s="10" t="s">
        <v>37</v>
      </c>
      <c r="F450" s="27" t="s">
        <v>63</v>
      </c>
      <c r="G450" s="93" t="s">
        <v>45</v>
      </c>
      <c r="H450" s="93" t="s">
        <v>63</v>
      </c>
      <c r="I450" s="94" t="s">
        <v>44</v>
      </c>
      <c r="J450" s="95"/>
      <c r="K450" s="24">
        <f>K451+K453</f>
        <v>12452.699999999999</v>
      </c>
      <c r="L450" s="24">
        <f>L451+L453</f>
        <v>0</v>
      </c>
      <c r="M450" s="24">
        <f>M451+M453</f>
        <v>12452.699999999999</v>
      </c>
      <c r="N450" s="24">
        <f>N451+N453</f>
        <v>12395</v>
      </c>
    </row>
    <row r="451" spans="1:14" s="7" customFormat="1" ht="36" x14ac:dyDescent="0.35">
      <c r="A451" s="11"/>
      <c r="B451" s="588" t="s">
        <v>464</v>
      </c>
      <c r="C451" s="23" t="s">
        <v>314</v>
      </c>
      <c r="D451" s="10" t="s">
        <v>226</v>
      </c>
      <c r="E451" s="10" t="s">
        <v>37</v>
      </c>
      <c r="F451" s="27" t="s">
        <v>63</v>
      </c>
      <c r="G451" s="93" t="s">
        <v>45</v>
      </c>
      <c r="H451" s="93" t="s">
        <v>63</v>
      </c>
      <c r="I451" s="94" t="s">
        <v>91</v>
      </c>
      <c r="J451" s="95"/>
      <c r="K451" s="24">
        <f t="shared" ref="K451:N451" si="73">K452</f>
        <v>11901.3</v>
      </c>
      <c r="L451" s="24">
        <f t="shared" si="73"/>
        <v>0</v>
      </c>
      <c r="M451" s="24">
        <f t="shared" si="73"/>
        <v>11901.3</v>
      </c>
      <c r="N451" s="24">
        <f t="shared" si="73"/>
        <v>11901.3</v>
      </c>
    </row>
    <row r="452" spans="1:14" s="7" customFormat="1" ht="54" x14ac:dyDescent="0.35">
      <c r="A452" s="11"/>
      <c r="B452" s="517" t="s">
        <v>76</v>
      </c>
      <c r="C452" s="23" t="s">
        <v>314</v>
      </c>
      <c r="D452" s="10" t="s">
        <v>226</v>
      </c>
      <c r="E452" s="10" t="s">
        <v>37</v>
      </c>
      <c r="F452" s="668" t="s">
        <v>63</v>
      </c>
      <c r="G452" s="669" t="s">
        <v>45</v>
      </c>
      <c r="H452" s="669" t="s">
        <v>63</v>
      </c>
      <c r="I452" s="670" t="s">
        <v>91</v>
      </c>
      <c r="J452" s="10" t="s">
        <v>77</v>
      </c>
      <c r="K452" s="24">
        <v>11901.3</v>
      </c>
      <c r="L452" s="24">
        <f>M452-K452</f>
        <v>0</v>
      </c>
      <c r="M452" s="24">
        <v>11901.3</v>
      </c>
      <c r="N452" s="24">
        <v>11901.3</v>
      </c>
    </row>
    <row r="453" spans="1:14" s="7" customFormat="1" ht="18" x14ac:dyDescent="0.35">
      <c r="A453" s="11"/>
      <c r="B453" s="517" t="s">
        <v>568</v>
      </c>
      <c r="C453" s="23" t="s">
        <v>314</v>
      </c>
      <c r="D453" s="10" t="s">
        <v>226</v>
      </c>
      <c r="E453" s="10" t="s">
        <v>37</v>
      </c>
      <c r="F453" s="668" t="s">
        <v>63</v>
      </c>
      <c r="G453" s="669" t="s">
        <v>45</v>
      </c>
      <c r="H453" s="669" t="s">
        <v>63</v>
      </c>
      <c r="I453" s="670" t="s">
        <v>567</v>
      </c>
      <c r="J453" s="10"/>
      <c r="K453" s="24">
        <f>K454</f>
        <v>551.4</v>
      </c>
      <c r="L453" s="24">
        <f>L454</f>
        <v>0</v>
      </c>
      <c r="M453" s="24">
        <f>M454</f>
        <v>551.4</v>
      </c>
      <c r="N453" s="24">
        <f>N454</f>
        <v>493.7</v>
      </c>
    </row>
    <row r="454" spans="1:14" s="7" customFormat="1" ht="54" x14ac:dyDescent="0.35">
      <c r="A454" s="11"/>
      <c r="B454" s="517" t="s">
        <v>76</v>
      </c>
      <c r="C454" s="23" t="s">
        <v>314</v>
      </c>
      <c r="D454" s="10" t="s">
        <v>226</v>
      </c>
      <c r="E454" s="10" t="s">
        <v>37</v>
      </c>
      <c r="F454" s="668" t="s">
        <v>63</v>
      </c>
      <c r="G454" s="669" t="s">
        <v>45</v>
      </c>
      <c r="H454" s="669" t="s">
        <v>63</v>
      </c>
      <c r="I454" s="670" t="s">
        <v>567</v>
      </c>
      <c r="J454" s="10" t="s">
        <v>77</v>
      </c>
      <c r="K454" s="24">
        <f>496.2+55.2</f>
        <v>551.4</v>
      </c>
      <c r="L454" s="24">
        <f>M454-K454</f>
        <v>0</v>
      </c>
      <c r="M454" s="24">
        <f>496.2+55.2</f>
        <v>551.4</v>
      </c>
      <c r="N454" s="24">
        <f>444.3+49.4</f>
        <v>493.7</v>
      </c>
    </row>
    <row r="455" spans="1:14" s="7" customFormat="1" ht="36" x14ac:dyDescent="0.35">
      <c r="A455" s="11"/>
      <c r="B455" s="517" t="s">
        <v>319</v>
      </c>
      <c r="C455" s="23" t="s">
        <v>314</v>
      </c>
      <c r="D455" s="10" t="s">
        <v>226</v>
      </c>
      <c r="E455" s="10" t="s">
        <v>37</v>
      </c>
      <c r="F455" s="27" t="s">
        <v>63</v>
      </c>
      <c r="G455" s="93" t="s">
        <v>45</v>
      </c>
      <c r="H455" s="93" t="s">
        <v>52</v>
      </c>
      <c r="I455" s="670" t="s">
        <v>44</v>
      </c>
      <c r="J455" s="10"/>
      <c r="K455" s="24">
        <f t="shared" ref="K455:N456" si="74">K456</f>
        <v>11327.1</v>
      </c>
      <c r="L455" s="24">
        <f t="shared" si="74"/>
        <v>0</v>
      </c>
      <c r="M455" s="24">
        <f t="shared" si="74"/>
        <v>11327.1</v>
      </c>
      <c r="N455" s="24">
        <f t="shared" si="74"/>
        <v>11327.3</v>
      </c>
    </row>
    <row r="456" spans="1:14" s="7" customFormat="1" ht="36" x14ac:dyDescent="0.35">
      <c r="A456" s="11"/>
      <c r="B456" s="588" t="s">
        <v>464</v>
      </c>
      <c r="C456" s="23" t="s">
        <v>314</v>
      </c>
      <c r="D456" s="10" t="s">
        <v>226</v>
      </c>
      <c r="E456" s="10" t="s">
        <v>37</v>
      </c>
      <c r="F456" s="27" t="s">
        <v>63</v>
      </c>
      <c r="G456" s="93" t="s">
        <v>45</v>
      </c>
      <c r="H456" s="93" t="s">
        <v>52</v>
      </c>
      <c r="I456" s="94" t="s">
        <v>91</v>
      </c>
      <c r="J456" s="95"/>
      <c r="K456" s="24">
        <f t="shared" si="74"/>
        <v>11327.1</v>
      </c>
      <c r="L456" s="24">
        <f t="shared" si="74"/>
        <v>0</v>
      </c>
      <c r="M456" s="24">
        <f t="shared" si="74"/>
        <v>11327.1</v>
      </c>
      <c r="N456" s="24">
        <f t="shared" si="74"/>
        <v>11327.3</v>
      </c>
    </row>
    <row r="457" spans="1:14" s="7" customFormat="1" ht="108" x14ac:dyDescent="0.35">
      <c r="A457" s="11"/>
      <c r="B457" s="510" t="s">
        <v>49</v>
      </c>
      <c r="C457" s="23" t="s">
        <v>314</v>
      </c>
      <c r="D457" s="10" t="s">
        <v>226</v>
      </c>
      <c r="E457" s="10" t="s">
        <v>37</v>
      </c>
      <c r="F457" s="668" t="s">
        <v>63</v>
      </c>
      <c r="G457" s="669" t="s">
        <v>45</v>
      </c>
      <c r="H457" s="669" t="s">
        <v>52</v>
      </c>
      <c r="I457" s="670" t="s">
        <v>91</v>
      </c>
      <c r="J457" s="10" t="s">
        <v>50</v>
      </c>
      <c r="K457" s="24">
        <v>11327.1</v>
      </c>
      <c r="L457" s="24">
        <f>M457-K457</f>
        <v>0</v>
      </c>
      <c r="M457" s="24">
        <v>11327.1</v>
      </c>
      <c r="N457" s="24">
        <v>11327.3</v>
      </c>
    </row>
    <row r="458" spans="1:14" s="7" customFormat="1" ht="54" x14ac:dyDescent="0.35">
      <c r="A458" s="11"/>
      <c r="B458" s="510" t="s">
        <v>327</v>
      </c>
      <c r="C458" s="23" t="s">
        <v>314</v>
      </c>
      <c r="D458" s="10" t="s">
        <v>226</v>
      </c>
      <c r="E458" s="10" t="s">
        <v>37</v>
      </c>
      <c r="F458" s="27" t="s">
        <v>63</v>
      </c>
      <c r="G458" s="93" t="s">
        <v>89</v>
      </c>
      <c r="H458" s="93" t="s">
        <v>43</v>
      </c>
      <c r="I458" s="670" t="s">
        <v>44</v>
      </c>
      <c r="J458" s="10"/>
      <c r="K458" s="24">
        <f>K459</f>
        <v>436</v>
      </c>
      <c r="L458" s="24">
        <f>L459</f>
        <v>0</v>
      </c>
      <c r="M458" s="24">
        <f>M459</f>
        <v>436</v>
      </c>
      <c r="N458" s="24">
        <f>N459</f>
        <v>435.1</v>
      </c>
    </row>
    <row r="459" spans="1:14" s="7" customFormat="1" ht="90" x14ac:dyDescent="0.35">
      <c r="A459" s="11"/>
      <c r="B459" s="517" t="s">
        <v>320</v>
      </c>
      <c r="C459" s="23" t="s">
        <v>314</v>
      </c>
      <c r="D459" s="10" t="s">
        <v>226</v>
      </c>
      <c r="E459" s="10" t="s">
        <v>37</v>
      </c>
      <c r="F459" s="27" t="s">
        <v>63</v>
      </c>
      <c r="G459" s="93" t="s">
        <v>89</v>
      </c>
      <c r="H459" s="93" t="s">
        <v>63</v>
      </c>
      <c r="I459" s="670" t="s">
        <v>44</v>
      </c>
      <c r="J459" s="10"/>
      <c r="K459" s="24">
        <f>K462+K460</f>
        <v>436</v>
      </c>
      <c r="L459" s="24">
        <f>L462+L460</f>
        <v>0</v>
      </c>
      <c r="M459" s="24">
        <f>M462+M460</f>
        <v>436</v>
      </c>
      <c r="N459" s="24">
        <f>N462+N460</f>
        <v>435.1</v>
      </c>
    </row>
    <row r="460" spans="1:14" s="7" customFormat="1" ht="36" x14ac:dyDescent="0.35">
      <c r="A460" s="11"/>
      <c r="B460" s="517" t="s">
        <v>315</v>
      </c>
      <c r="C460" s="23" t="s">
        <v>314</v>
      </c>
      <c r="D460" s="10" t="s">
        <v>226</v>
      </c>
      <c r="E460" s="10" t="s">
        <v>37</v>
      </c>
      <c r="F460" s="27" t="s">
        <v>63</v>
      </c>
      <c r="G460" s="93" t="s">
        <v>89</v>
      </c>
      <c r="H460" s="93" t="s">
        <v>63</v>
      </c>
      <c r="I460" s="670" t="s">
        <v>316</v>
      </c>
      <c r="J460" s="10"/>
      <c r="K460" s="24">
        <f>K461</f>
        <v>393.9</v>
      </c>
      <c r="L460" s="24">
        <f>L461</f>
        <v>0</v>
      </c>
      <c r="M460" s="24">
        <f>M461</f>
        <v>393.9</v>
      </c>
      <c r="N460" s="24">
        <f>N461</f>
        <v>393</v>
      </c>
    </row>
    <row r="461" spans="1:14" s="7" customFormat="1" ht="54" x14ac:dyDescent="0.35">
      <c r="A461" s="11"/>
      <c r="B461" s="510" t="s">
        <v>55</v>
      </c>
      <c r="C461" s="23" t="s">
        <v>314</v>
      </c>
      <c r="D461" s="10" t="s">
        <v>226</v>
      </c>
      <c r="E461" s="10" t="s">
        <v>37</v>
      </c>
      <c r="F461" s="27" t="s">
        <v>63</v>
      </c>
      <c r="G461" s="93" t="s">
        <v>89</v>
      </c>
      <c r="H461" s="93" t="s">
        <v>63</v>
      </c>
      <c r="I461" s="670" t="s">
        <v>316</v>
      </c>
      <c r="J461" s="10" t="s">
        <v>56</v>
      </c>
      <c r="K461" s="24">
        <f>393+0.9</f>
        <v>393.9</v>
      </c>
      <c r="L461" s="24">
        <f>M461-K461</f>
        <v>0</v>
      </c>
      <c r="M461" s="24">
        <f>393+0.9</f>
        <v>393.9</v>
      </c>
      <c r="N461" s="24">
        <v>393</v>
      </c>
    </row>
    <row r="462" spans="1:14" s="7" customFormat="1" ht="54" x14ac:dyDescent="0.35">
      <c r="A462" s="11"/>
      <c r="B462" s="517" t="s">
        <v>410</v>
      </c>
      <c r="C462" s="23" t="s">
        <v>314</v>
      </c>
      <c r="D462" s="10" t="s">
        <v>226</v>
      </c>
      <c r="E462" s="10" t="s">
        <v>37</v>
      </c>
      <c r="F462" s="668" t="s">
        <v>63</v>
      </c>
      <c r="G462" s="669" t="s">
        <v>89</v>
      </c>
      <c r="H462" s="669" t="s">
        <v>63</v>
      </c>
      <c r="I462" s="670" t="s">
        <v>411</v>
      </c>
      <c r="J462" s="10"/>
      <c r="K462" s="24">
        <f>K463</f>
        <v>42.1</v>
      </c>
      <c r="L462" s="24">
        <f>L463</f>
        <v>0</v>
      </c>
      <c r="M462" s="24">
        <f>M463</f>
        <v>42.1</v>
      </c>
      <c r="N462" s="24">
        <f>N463</f>
        <v>42.1</v>
      </c>
    </row>
    <row r="463" spans="1:14" s="7" customFormat="1" ht="54" x14ac:dyDescent="0.35">
      <c r="A463" s="11"/>
      <c r="B463" s="517" t="s">
        <v>76</v>
      </c>
      <c r="C463" s="23" t="s">
        <v>314</v>
      </c>
      <c r="D463" s="10" t="s">
        <v>226</v>
      </c>
      <c r="E463" s="10" t="s">
        <v>37</v>
      </c>
      <c r="F463" s="668" t="s">
        <v>63</v>
      </c>
      <c r="G463" s="669" t="s">
        <v>89</v>
      </c>
      <c r="H463" s="669" t="s">
        <v>63</v>
      </c>
      <c r="I463" s="670" t="s">
        <v>411</v>
      </c>
      <c r="J463" s="10" t="s">
        <v>77</v>
      </c>
      <c r="K463" s="24">
        <f>40+2.1</f>
        <v>42.1</v>
      </c>
      <c r="L463" s="24">
        <f>M463-K463</f>
        <v>0</v>
      </c>
      <c r="M463" s="24">
        <f>40+2.1</f>
        <v>42.1</v>
      </c>
      <c r="N463" s="24">
        <f>40+2.1</f>
        <v>42.1</v>
      </c>
    </row>
    <row r="464" spans="1:14" s="7" customFormat="1" ht="36" x14ac:dyDescent="0.35">
      <c r="A464" s="11"/>
      <c r="B464" s="510" t="s">
        <v>321</v>
      </c>
      <c r="C464" s="23" t="s">
        <v>314</v>
      </c>
      <c r="D464" s="10" t="s">
        <v>226</v>
      </c>
      <c r="E464" s="10" t="s">
        <v>52</v>
      </c>
      <c r="F464" s="27"/>
      <c r="G464" s="93"/>
      <c r="H464" s="93"/>
      <c r="I464" s="94"/>
      <c r="J464" s="95"/>
      <c r="K464" s="24">
        <f t="shared" ref="K464:N466" si="75">K465</f>
        <v>11442</v>
      </c>
      <c r="L464" s="24">
        <f t="shared" si="75"/>
        <v>0</v>
      </c>
      <c r="M464" s="24">
        <f t="shared" si="75"/>
        <v>11442</v>
      </c>
      <c r="N464" s="24">
        <f t="shared" si="75"/>
        <v>11446.5</v>
      </c>
    </row>
    <row r="465" spans="1:14" s="7" customFormat="1" ht="54" x14ac:dyDescent="0.35">
      <c r="A465" s="11"/>
      <c r="B465" s="560" t="s">
        <v>213</v>
      </c>
      <c r="C465" s="23" t="s">
        <v>314</v>
      </c>
      <c r="D465" s="10" t="s">
        <v>226</v>
      </c>
      <c r="E465" s="10" t="s">
        <v>52</v>
      </c>
      <c r="F465" s="27" t="s">
        <v>63</v>
      </c>
      <c r="G465" s="93" t="s">
        <v>42</v>
      </c>
      <c r="H465" s="93" t="s">
        <v>43</v>
      </c>
      <c r="I465" s="94" t="s">
        <v>44</v>
      </c>
      <c r="J465" s="95"/>
      <c r="K465" s="24">
        <f t="shared" si="75"/>
        <v>11442</v>
      </c>
      <c r="L465" s="24">
        <f t="shared" si="75"/>
        <v>0</v>
      </c>
      <c r="M465" s="24">
        <f t="shared" si="75"/>
        <v>11442</v>
      </c>
      <c r="N465" s="24">
        <f t="shared" si="75"/>
        <v>11446.5</v>
      </c>
    </row>
    <row r="466" spans="1:14" s="7" customFormat="1" ht="54" x14ac:dyDescent="0.35">
      <c r="A466" s="11"/>
      <c r="B466" s="510" t="s">
        <v>216</v>
      </c>
      <c r="C466" s="23" t="s">
        <v>314</v>
      </c>
      <c r="D466" s="10" t="s">
        <v>226</v>
      </c>
      <c r="E466" s="10" t="s">
        <v>52</v>
      </c>
      <c r="F466" s="668" t="s">
        <v>63</v>
      </c>
      <c r="G466" s="669" t="s">
        <v>30</v>
      </c>
      <c r="H466" s="669" t="s">
        <v>43</v>
      </c>
      <c r="I466" s="670" t="s">
        <v>44</v>
      </c>
      <c r="J466" s="10"/>
      <c r="K466" s="24">
        <f t="shared" si="75"/>
        <v>11442</v>
      </c>
      <c r="L466" s="24">
        <f t="shared" si="75"/>
        <v>0</v>
      </c>
      <c r="M466" s="24">
        <f t="shared" si="75"/>
        <v>11442</v>
      </c>
      <c r="N466" s="24">
        <f t="shared" si="75"/>
        <v>11446.5</v>
      </c>
    </row>
    <row r="467" spans="1:14" s="7" customFormat="1" ht="36" x14ac:dyDescent="0.35">
      <c r="A467" s="11"/>
      <c r="B467" s="510" t="s">
        <v>282</v>
      </c>
      <c r="C467" s="23" t="s">
        <v>314</v>
      </c>
      <c r="D467" s="10" t="s">
        <v>226</v>
      </c>
      <c r="E467" s="10" t="s">
        <v>52</v>
      </c>
      <c r="F467" s="668" t="s">
        <v>63</v>
      </c>
      <c r="G467" s="669" t="s">
        <v>30</v>
      </c>
      <c r="H467" s="669" t="s">
        <v>37</v>
      </c>
      <c r="I467" s="670" t="s">
        <v>44</v>
      </c>
      <c r="J467" s="10"/>
      <c r="K467" s="24">
        <f>K468+K472</f>
        <v>11442</v>
      </c>
      <c r="L467" s="24">
        <f>L468+L472</f>
        <v>0</v>
      </c>
      <c r="M467" s="24">
        <f>M468+M472</f>
        <v>11442</v>
      </c>
      <c r="N467" s="24">
        <f>N468+N472</f>
        <v>11446.5</v>
      </c>
    </row>
    <row r="468" spans="1:14" s="7" customFormat="1" ht="36" x14ac:dyDescent="0.35">
      <c r="A468" s="11"/>
      <c r="B468" s="510" t="s">
        <v>47</v>
      </c>
      <c r="C468" s="23" t="s">
        <v>314</v>
      </c>
      <c r="D468" s="10" t="s">
        <v>226</v>
      </c>
      <c r="E468" s="10" t="s">
        <v>52</v>
      </c>
      <c r="F468" s="668" t="s">
        <v>63</v>
      </c>
      <c r="G468" s="669" t="s">
        <v>30</v>
      </c>
      <c r="H468" s="669" t="s">
        <v>37</v>
      </c>
      <c r="I468" s="670" t="s">
        <v>48</v>
      </c>
      <c r="J468" s="95"/>
      <c r="K468" s="24">
        <f>K469+K470+K471</f>
        <v>3511.3</v>
      </c>
      <c r="L468" s="24">
        <f>L469+L470+L471</f>
        <v>0</v>
      </c>
      <c r="M468" s="24">
        <f>M469+M470+M471</f>
        <v>3511.3</v>
      </c>
      <c r="N468" s="24">
        <f>N469+N470+N471</f>
        <v>3512.3</v>
      </c>
    </row>
    <row r="469" spans="1:14" s="7" customFormat="1" ht="108" x14ac:dyDescent="0.35">
      <c r="A469" s="11"/>
      <c r="B469" s="510" t="s">
        <v>49</v>
      </c>
      <c r="C469" s="23" t="s">
        <v>314</v>
      </c>
      <c r="D469" s="10" t="s">
        <v>226</v>
      </c>
      <c r="E469" s="10" t="s">
        <v>52</v>
      </c>
      <c r="F469" s="668" t="s">
        <v>63</v>
      </c>
      <c r="G469" s="669" t="s">
        <v>30</v>
      </c>
      <c r="H469" s="669" t="s">
        <v>37</v>
      </c>
      <c r="I469" s="670" t="s">
        <v>48</v>
      </c>
      <c r="J469" s="95" t="s">
        <v>50</v>
      </c>
      <c r="K469" s="24">
        <v>3251.8</v>
      </c>
      <c r="L469" s="24">
        <f>M469-K469</f>
        <v>0</v>
      </c>
      <c r="M469" s="24">
        <v>3251.8</v>
      </c>
      <c r="N469" s="24">
        <v>3251.8</v>
      </c>
    </row>
    <row r="470" spans="1:14" s="7" customFormat="1" ht="54" x14ac:dyDescent="0.35">
      <c r="A470" s="11"/>
      <c r="B470" s="510" t="s">
        <v>55</v>
      </c>
      <c r="C470" s="23" t="s">
        <v>314</v>
      </c>
      <c r="D470" s="10" t="s">
        <v>226</v>
      </c>
      <c r="E470" s="10" t="s">
        <v>52</v>
      </c>
      <c r="F470" s="668" t="s">
        <v>63</v>
      </c>
      <c r="G470" s="669" t="s">
        <v>30</v>
      </c>
      <c r="H470" s="669" t="s">
        <v>37</v>
      </c>
      <c r="I470" s="670" t="s">
        <v>48</v>
      </c>
      <c r="J470" s="95" t="s">
        <v>56</v>
      </c>
      <c r="K470" s="24">
        <v>251</v>
      </c>
      <c r="L470" s="24">
        <f>M470-K470</f>
        <v>0</v>
      </c>
      <c r="M470" s="24">
        <v>251</v>
      </c>
      <c r="N470" s="24">
        <v>252</v>
      </c>
    </row>
    <row r="471" spans="1:14" s="7" customFormat="1" ht="18" x14ac:dyDescent="0.35">
      <c r="A471" s="11"/>
      <c r="B471" s="510" t="s">
        <v>57</v>
      </c>
      <c r="C471" s="23" t="s">
        <v>314</v>
      </c>
      <c r="D471" s="10" t="s">
        <v>226</v>
      </c>
      <c r="E471" s="10" t="s">
        <v>52</v>
      </c>
      <c r="F471" s="668" t="s">
        <v>63</v>
      </c>
      <c r="G471" s="669" t="s">
        <v>30</v>
      </c>
      <c r="H471" s="669" t="s">
        <v>37</v>
      </c>
      <c r="I471" s="670" t="s">
        <v>48</v>
      </c>
      <c r="J471" s="10" t="s">
        <v>58</v>
      </c>
      <c r="K471" s="24">
        <v>8.5</v>
      </c>
      <c r="L471" s="24">
        <f>M471-K471</f>
        <v>0</v>
      </c>
      <c r="M471" s="24">
        <v>8.5</v>
      </c>
      <c r="N471" s="24">
        <v>8.5</v>
      </c>
    </row>
    <row r="472" spans="1:14" s="7" customFormat="1" ht="36" x14ac:dyDescent="0.35">
      <c r="A472" s="11"/>
      <c r="B472" s="588" t="s">
        <v>464</v>
      </c>
      <c r="C472" s="23" t="s">
        <v>314</v>
      </c>
      <c r="D472" s="10" t="s">
        <v>226</v>
      </c>
      <c r="E472" s="10" t="s">
        <v>52</v>
      </c>
      <c r="F472" s="668" t="s">
        <v>63</v>
      </c>
      <c r="G472" s="669" t="s">
        <v>30</v>
      </c>
      <c r="H472" s="669" t="s">
        <v>37</v>
      </c>
      <c r="I472" s="670" t="s">
        <v>91</v>
      </c>
      <c r="J472" s="10"/>
      <c r="K472" s="24">
        <f>K473+K474+K475</f>
        <v>7930.7</v>
      </c>
      <c r="L472" s="24">
        <f>L473+L474+L475</f>
        <v>0</v>
      </c>
      <c r="M472" s="24">
        <f>M473+M474+M475</f>
        <v>7930.7</v>
      </c>
      <c r="N472" s="24">
        <f>N473+N474+N475</f>
        <v>7934.2</v>
      </c>
    </row>
    <row r="473" spans="1:14" s="7" customFormat="1" ht="108" x14ac:dyDescent="0.35">
      <c r="A473" s="11"/>
      <c r="B473" s="510" t="s">
        <v>49</v>
      </c>
      <c r="C473" s="148" t="s">
        <v>314</v>
      </c>
      <c r="D473" s="95" t="s">
        <v>226</v>
      </c>
      <c r="E473" s="95" t="s">
        <v>52</v>
      </c>
      <c r="F473" s="668" t="s">
        <v>63</v>
      </c>
      <c r="G473" s="669" t="s">
        <v>30</v>
      </c>
      <c r="H473" s="669" t="s">
        <v>37</v>
      </c>
      <c r="I473" s="670" t="s">
        <v>91</v>
      </c>
      <c r="J473" s="95" t="s">
        <v>50</v>
      </c>
      <c r="K473" s="24">
        <v>7499.9</v>
      </c>
      <c r="L473" s="24">
        <f>M473-K473</f>
        <v>0</v>
      </c>
      <c r="M473" s="24">
        <v>7499.9</v>
      </c>
      <c r="N473" s="24">
        <v>7499.9</v>
      </c>
    </row>
    <row r="474" spans="1:14" s="7" customFormat="1" ht="54" x14ac:dyDescent="0.35">
      <c r="A474" s="11"/>
      <c r="B474" s="510" t="s">
        <v>55</v>
      </c>
      <c r="C474" s="148" t="s">
        <v>314</v>
      </c>
      <c r="D474" s="95" t="s">
        <v>226</v>
      </c>
      <c r="E474" s="95" t="s">
        <v>52</v>
      </c>
      <c r="F474" s="668" t="s">
        <v>63</v>
      </c>
      <c r="G474" s="669" t="s">
        <v>30</v>
      </c>
      <c r="H474" s="669" t="s">
        <v>37</v>
      </c>
      <c r="I474" s="670" t="s">
        <v>91</v>
      </c>
      <c r="J474" s="95" t="s">
        <v>56</v>
      </c>
      <c r="K474" s="24">
        <v>429.2</v>
      </c>
      <c r="L474" s="24">
        <f>M474-K474</f>
        <v>0</v>
      </c>
      <c r="M474" s="24">
        <v>429.2</v>
      </c>
      <c r="N474" s="24">
        <v>432.8</v>
      </c>
    </row>
    <row r="475" spans="1:14" s="7" customFormat="1" ht="18" x14ac:dyDescent="0.35">
      <c r="A475" s="11"/>
      <c r="B475" s="510" t="s">
        <v>57</v>
      </c>
      <c r="C475" s="148" t="s">
        <v>314</v>
      </c>
      <c r="D475" s="95" t="s">
        <v>226</v>
      </c>
      <c r="E475" s="95" t="s">
        <v>52</v>
      </c>
      <c r="F475" s="668" t="s">
        <v>63</v>
      </c>
      <c r="G475" s="669" t="s">
        <v>30</v>
      </c>
      <c r="H475" s="669" t="s">
        <v>37</v>
      </c>
      <c r="I475" s="670" t="s">
        <v>91</v>
      </c>
      <c r="J475" s="10" t="s">
        <v>58</v>
      </c>
      <c r="K475" s="24">
        <v>1.6</v>
      </c>
      <c r="L475" s="24">
        <f>M475-K475</f>
        <v>0</v>
      </c>
      <c r="M475" s="24">
        <v>1.6</v>
      </c>
      <c r="N475" s="24">
        <v>1.5</v>
      </c>
    </row>
    <row r="476" spans="1:14" s="121" customFormat="1" ht="18" x14ac:dyDescent="0.35">
      <c r="A476" s="11"/>
      <c r="B476" s="510"/>
      <c r="C476" s="148"/>
      <c r="D476" s="95"/>
      <c r="E476" s="95"/>
      <c r="F476" s="668"/>
      <c r="G476" s="669"/>
      <c r="H476" s="669"/>
      <c r="I476" s="670"/>
      <c r="J476" s="10"/>
      <c r="K476" s="24"/>
      <c r="L476" s="24"/>
      <c r="M476" s="24"/>
      <c r="N476" s="24"/>
    </row>
    <row r="477" spans="1:14" s="116" customFormat="1" ht="52.2" x14ac:dyDescent="0.3">
      <c r="A477" s="115">
        <v>7</v>
      </c>
      <c r="B477" s="557" t="s">
        <v>10</v>
      </c>
      <c r="C477" s="18" t="s">
        <v>290</v>
      </c>
      <c r="D477" s="19"/>
      <c r="E477" s="19"/>
      <c r="F477" s="20"/>
      <c r="G477" s="21"/>
      <c r="H477" s="21"/>
      <c r="I477" s="22"/>
      <c r="J477" s="19"/>
      <c r="K477" s="32">
        <f>K478+K485</f>
        <v>68487.199999999983</v>
      </c>
      <c r="L477" s="32">
        <f>L478+L485</f>
        <v>-357.19999999999982</v>
      </c>
      <c r="M477" s="32">
        <f>M478+M485</f>
        <v>68129.999999999985</v>
      </c>
      <c r="N477" s="32">
        <f>N478+N485</f>
        <v>38662.9</v>
      </c>
    </row>
    <row r="478" spans="1:14" s="116" customFormat="1" ht="18" x14ac:dyDescent="0.35">
      <c r="A478" s="115"/>
      <c r="B478" s="507" t="s">
        <v>36</v>
      </c>
      <c r="C478" s="220" t="s">
        <v>290</v>
      </c>
      <c r="D478" s="28" t="s">
        <v>37</v>
      </c>
      <c r="E478" s="28"/>
      <c r="F478" s="212"/>
      <c r="G478" s="213"/>
      <c r="H478" s="213"/>
      <c r="I478" s="214"/>
      <c r="J478" s="28"/>
      <c r="K478" s="215">
        <f t="shared" ref="K478:M482" si="76">K479</f>
        <v>38.4</v>
      </c>
      <c r="L478" s="215">
        <f>L479</f>
        <v>0</v>
      </c>
      <c r="M478" s="215">
        <f t="shared" si="76"/>
        <v>38.4</v>
      </c>
      <c r="N478" s="215">
        <f t="shared" ref="N478:N483" si="77">N479</f>
        <v>38.4</v>
      </c>
    </row>
    <row r="479" spans="1:14" s="116" customFormat="1" ht="18" x14ac:dyDescent="0.35">
      <c r="A479" s="115"/>
      <c r="B479" s="507" t="s">
        <v>70</v>
      </c>
      <c r="C479" s="220" t="s">
        <v>290</v>
      </c>
      <c r="D479" s="28" t="s">
        <v>37</v>
      </c>
      <c r="E479" s="28" t="s">
        <v>71</v>
      </c>
      <c r="F479" s="212"/>
      <c r="G479" s="213"/>
      <c r="H479" s="213"/>
      <c r="I479" s="214"/>
      <c r="J479" s="28"/>
      <c r="K479" s="215">
        <f t="shared" si="76"/>
        <v>38.4</v>
      </c>
      <c r="L479" s="215">
        <f t="shared" si="76"/>
        <v>0</v>
      </c>
      <c r="M479" s="215">
        <f t="shared" si="76"/>
        <v>38.4</v>
      </c>
      <c r="N479" s="215">
        <f t="shared" si="77"/>
        <v>38.4</v>
      </c>
    </row>
    <row r="480" spans="1:14" s="116" customFormat="1" ht="54" x14ac:dyDescent="0.35">
      <c r="A480" s="115"/>
      <c r="B480" s="507" t="s">
        <v>217</v>
      </c>
      <c r="C480" s="220" t="s">
        <v>290</v>
      </c>
      <c r="D480" s="28" t="s">
        <v>37</v>
      </c>
      <c r="E480" s="28" t="s">
        <v>71</v>
      </c>
      <c r="F480" s="212" t="s">
        <v>52</v>
      </c>
      <c r="G480" s="213" t="s">
        <v>42</v>
      </c>
      <c r="H480" s="213" t="s">
        <v>43</v>
      </c>
      <c r="I480" s="214" t="s">
        <v>44</v>
      </c>
      <c r="J480" s="28"/>
      <c r="K480" s="215">
        <f t="shared" si="76"/>
        <v>38.4</v>
      </c>
      <c r="L480" s="215">
        <f t="shared" si="76"/>
        <v>0</v>
      </c>
      <c r="M480" s="215">
        <f t="shared" si="76"/>
        <v>38.4</v>
      </c>
      <c r="N480" s="215">
        <f t="shared" si="77"/>
        <v>38.4</v>
      </c>
    </row>
    <row r="481" spans="1:14" s="116" customFormat="1" ht="36" x14ac:dyDescent="0.35">
      <c r="A481" s="115"/>
      <c r="B481" s="507" t="s">
        <v>220</v>
      </c>
      <c r="C481" s="220" t="s">
        <v>290</v>
      </c>
      <c r="D481" s="28" t="s">
        <v>37</v>
      </c>
      <c r="E481" s="28" t="s">
        <v>71</v>
      </c>
      <c r="F481" s="212" t="s">
        <v>52</v>
      </c>
      <c r="G481" s="213" t="s">
        <v>89</v>
      </c>
      <c r="H481" s="213" t="s">
        <v>43</v>
      </c>
      <c r="I481" s="214" t="s">
        <v>44</v>
      </c>
      <c r="J481" s="28"/>
      <c r="K481" s="215">
        <f t="shared" si="76"/>
        <v>38.4</v>
      </c>
      <c r="L481" s="215">
        <f t="shared" si="76"/>
        <v>0</v>
      </c>
      <c r="M481" s="215">
        <f t="shared" si="76"/>
        <v>38.4</v>
      </c>
      <c r="N481" s="215">
        <f t="shared" si="77"/>
        <v>38.4</v>
      </c>
    </row>
    <row r="482" spans="1:14" s="116" customFormat="1" ht="36" x14ac:dyDescent="0.35">
      <c r="A482" s="115"/>
      <c r="B482" s="507" t="s">
        <v>351</v>
      </c>
      <c r="C482" s="220" t="s">
        <v>290</v>
      </c>
      <c r="D482" s="28" t="s">
        <v>37</v>
      </c>
      <c r="E482" s="28" t="s">
        <v>71</v>
      </c>
      <c r="F482" s="212" t="s">
        <v>52</v>
      </c>
      <c r="G482" s="213" t="s">
        <v>89</v>
      </c>
      <c r="H482" s="213" t="s">
        <v>63</v>
      </c>
      <c r="I482" s="214" t="s">
        <v>44</v>
      </c>
      <c r="J482" s="28"/>
      <c r="K482" s="215">
        <f t="shared" si="76"/>
        <v>38.4</v>
      </c>
      <c r="L482" s="215">
        <f t="shared" si="76"/>
        <v>0</v>
      </c>
      <c r="M482" s="215">
        <f t="shared" si="76"/>
        <v>38.4</v>
      </c>
      <c r="N482" s="215">
        <f t="shared" si="77"/>
        <v>38.4</v>
      </c>
    </row>
    <row r="483" spans="1:14" s="116" customFormat="1" ht="54" x14ac:dyDescent="0.35">
      <c r="A483" s="115"/>
      <c r="B483" s="507" t="s">
        <v>352</v>
      </c>
      <c r="C483" s="220" t="s">
        <v>290</v>
      </c>
      <c r="D483" s="28" t="s">
        <v>37</v>
      </c>
      <c r="E483" s="28" t="s">
        <v>71</v>
      </c>
      <c r="F483" s="212" t="s">
        <v>52</v>
      </c>
      <c r="G483" s="213" t="s">
        <v>89</v>
      </c>
      <c r="H483" s="213" t="s">
        <v>63</v>
      </c>
      <c r="I483" s="214" t="s">
        <v>105</v>
      </c>
      <c r="J483" s="28"/>
      <c r="K483" s="215">
        <f>K484</f>
        <v>38.4</v>
      </c>
      <c r="L483" s="215">
        <f>L484</f>
        <v>0</v>
      </c>
      <c r="M483" s="215">
        <f>M484</f>
        <v>38.4</v>
      </c>
      <c r="N483" s="215">
        <f t="shared" si="77"/>
        <v>38.4</v>
      </c>
    </row>
    <row r="484" spans="1:14" s="7" customFormat="1" ht="54" x14ac:dyDescent="0.35">
      <c r="A484" s="11"/>
      <c r="B484" s="546" t="s">
        <v>55</v>
      </c>
      <c r="C484" s="220" t="s">
        <v>290</v>
      </c>
      <c r="D484" s="28" t="s">
        <v>37</v>
      </c>
      <c r="E484" s="28" t="s">
        <v>71</v>
      </c>
      <c r="F484" s="212" t="s">
        <v>52</v>
      </c>
      <c r="G484" s="213" t="s">
        <v>89</v>
      </c>
      <c r="H484" s="213" t="s">
        <v>63</v>
      </c>
      <c r="I484" s="214" t="s">
        <v>105</v>
      </c>
      <c r="J484" s="28" t="s">
        <v>56</v>
      </c>
      <c r="K484" s="215">
        <v>38.4</v>
      </c>
      <c r="L484" s="24">
        <f>M484-K484</f>
        <v>0</v>
      </c>
      <c r="M484" s="215">
        <v>38.4</v>
      </c>
      <c r="N484" s="24">
        <v>38.4</v>
      </c>
    </row>
    <row r="485" spans="1:14" s="7" customFormat="1" ht="18" x14ac:dyDescent="0.35">
      <c r="A485" s="11"/>
      <c r="B485" s="546" t="s">
        <v>322</v>
      </c>
      <c r="C485" s="220" t="s">
        <v>290</v>
      </c>
      <c r="D485" s="28" t="s">
        <v>67</v>
      </c>
      <c r="E485" s="28"/>
      <c r="F485" s="212"/>
      <c r="G485" s="213"/>
      <c r="H485" s="213"/>
      <c r="I485" s="214"/>
      <c r="J485" s="28"/>
      <c r="K485" s="215">
        <f>K486+K496+K524+K506</f>
        <v>68448.799999999988</v>
      </c>
      <c r="L485" s="215">
        <f>L486+L496+L524+L506</f>
        <v>-357.19999999999982</v>
      </c>
      <c r="M485" s="215">
        <f>M486+M496+M524+M506</f>
        <v>68091.599999999991</v>
      </c>
      <c r="N485" s="215">
        <f>N486+N496+N524+N506</f>
        <v>38624.5</v>
      </c>
    </row>
    <row r="486" spans="1:14" s="116" customFormat="1" ht="18" x14ac:dyDescent="0.35">
      <c r="A486" s="11"/>
      <c r="B486" s="560" t="s">
        <v>360</v>
      </c>
      <c r="C486" s="23" t="s">
        <v>290</v>
      </c>
      <c r="D486" s="10" t="s">
        <v>67</v>
      </c>
      <c r="E486" s="10" t="s">
        <v>37</v>
      </c>
      <c r="F486" s="668"/>
      <c r="G486" s="669"/>
      <c r="H486" s="669"/>
      <c r="I486" s="670"/>
      <c r="J486" s="10"/>
      <c r="K486" s="24">
        <f>K487</f>
        <v>3606.9000000000005</v>
      </c>
      <c r="L486" s="24">
        <f>L487</f>
        <v>0</v>
      </c>
      <c r="M486" s="24">
        <f>M487</f>
        <v>3606.9000000000005</v>
      </c>
      <c r="N486" s="24">
        <f>N487</f>
        <v>3622.8</v>
      </c>
    </row>
    <row r="487" spans="1:14" s="116" customFormat="1" ht="54" x14ac:dyDescent="0.35">
      <c r="A487" s="11"/>
      <c r="B487" s="510" t="s">
        <v>217</v>
      </c>
      <c r="C487" s="23" t="s">
        <v>290</v>
      </c>
      <c r="D487" s="10" t="s">
        <v>67</v>
      </c>
      <c r="E487" s="10" t="s">
        <v>37</v>
      </c>
      <c r="F487" s="668" t="s">
        <v>52</v>
      </c>
      <c r="G487" s="669" t="s">
        <v>42</v>
      </c>
      <c r="H487" s="669" t="s">
        <v>43</v>
      </c>
      <c r="I487" s="670" t="s">
        <v>44</v>
      </c>
      <c r="J487" s="10"/>
      <c r="K487" s="24">
        <f t="shared" ref="K487:N488" si="78">K488</f>
        <v>3606.9000000000005</v>
      </c>
      <c r="L487" s="24">
        <f t="shared" si="78"/>
        <v>0</v>
      </c>
      <c r="M487" s="24">
        <f t="shared" si="78"/>
        <v>3606.9000000000005</v>
      </c>
      <c r="N487" s="24">
        <f t="shared" si="78"/>
        <v>3622.8</v>
      </c>
    </row>
    <row r="488" spans="1:14" s="7" customFormat="1" ht="36" x14ac:dyDescent="0.35">
      <c r="A488" s="11"/>
      <c r="B488" s="510" t="s">
        <v>220</v>
      </c>
      <c r="C488" s="23" t="s">
        <v>290</v>
      </c>
      <c r="D488" s="10" t="s">
        <v>67</v>
      </c>
      <c r="E488" s="10" t="s">
        <v>37</v>
      </c>
      <c r="F488" s="668" t="s">
        <v>52</v>
      </c>
      <c r="G488" s="669" t="s">
        <v>89</v>
      </c>
      <c r="H488" s="669" t="s">
        <v>43</v>
      </c>
      <c r="I488" s="670" t="s">
        <v>44</v>
      </c>
      <c r="J488" s="10"/>
      <c r="K488" s="24">
        <f t="shared" si="78"/>
        <v>3606.9000000000005</v>
      </c>
      <c r="L488" s="24">
        <f t="shared" si="78"/>
        <v>0</v>
      </c>
      <c r="M488" s="24">
        <f t="shared" si="78"/>
        <v>3606.9000000000005</v>
      </c>
      <c r="N488" s="24">
        <f t="shared" si="78"/>
        <v>3622.8</v>
      </c>
    </row>
    <row r="489" spans="1:14" s="116" customFormat="1" ht="36" x14ac:dyDescent="0.35">
      <c r="A489" s="11"/>
      <c r="B489" s="510" t="s">
        <v>564</v>
      </c>
      <c r="C489" s="23" t="s">
        <v>290</v>
      </c>
      <c r="D489" s="10" t="s">
        <v>67</v>
      </c>
      <c r="E489" s="10" t="s">
        <v>37</v>
      </c>
      <c r="F489" s="668" t="s">
        <v>52</v>
      </c>
      <c r="G489" s="669" t="s">
        <v>89</v>
      </c>
      <c r="H489" s="669" t="s">
        <v>52</v>
      </c>
      <c r="I489" s="670" t="s">
        <v>44</v>
      </c>
      <c r="J489" s="10"/>
      <c r="K489" s="24">
        <f>K490+K494</f>
        <v>3606.9000000000005</v>
      </c>
      <c r="L489" s="24">
        <f>L490+L494</f>
        <v>0</v>
      </c>
      <c r="M489" s="24">
        <f>M490+M494</f>
        <v>3606.9000000000005</v>
      </c>
      <c r="N489" s="24">
        <f>N490+N494</f>
        <v>3622.8</v>
      </c>
    </row>
    <row r="490" spans="1:14" s="116" customFormat="1" ht="36" x14ac:dyDescent="0.35">
      <c r="A490" s="11"/>
      <c r="B490" s="510" t="s">
        <v>464</v>
      </c>
      <c r="C490" s="23" t="s">
        <v>290</v>
      </c>
      <c r="D490" s="10" t="s">
        <v>67</v>
      </c>
      <c r="E490" s="10" t="s">
        <v>37</v>
      </c>
      <c r="F490" s="668" t="s">
        <v>52</v>
      </c>
      <c r="G490" s="669" t="s">
        <v>89</v>
      </c>
      <c r="H490" s="669" t="s">
        <v>52</v>
      </c>
      <c r="I490" s="670" t="s">
        <v>91</v>
      </c>
      <c r="J490" s="10"/>
      <c r="K490" s="24">
        <f>SUM(K491:K493)</f>
        <v>2687.1000000000004</v>
      </c>
      <c r="L490" s="24">
        <f>SUM(L491:L493)</f>
        <v>0</v>
      </c>
      <c r="M490" s="24">
        <f>SUM(M491:M493)</f>
        <v>2687.1000000000004</v>
      </c>
      <c r="N490" s="24">
        <f>SUM(N491:N493)</f>
        <v>2703</v>
      </c>
    </row>
    <row r="491" spans="1:14" s="116" customFormat="1" ht="108" x14ac:dyDescent="0.35">
      <c r="A491" s="11"/>
      <c r="B491" s="510" t="s">
        <v>49</v>
      </c>
      <c r="C491" s="23" t="s">
        <v>290</v>
      </c>
      <c r="D491" s="10" t="s">
        <v>67</v>
      </c>
      <c r="E491" s="10" t="s">
        <v>37</v>
      </c>
      <c r="F491" s="668" t="s">
        <v>52</v>
      </c>
      <c r="G491" s="669" t="s">
        <v>89</v>
      </c>
      <c r="H491" s="669" t="s">
        <v>52</v>
      </c>
      <c r="I491" s="670" t="s">
        <v>91</v>
      </c>
      <c r="J491" s="10" t="s">
        <v>50</v>
      </c>
      <c r="K491" s="24">
        <v>2045</v>
      </c>
      <c r="L491" s="24">
        <f>M491-K491</f>
        <v>0</v>
      </c>
      <c r="M491" s="24">
        <v>2045</v>
      </c>
      <c r="N491" s="259">
        <v>2045</v>
      </c>
    </row>
    <row r="492" spans="1:14" s="116" customFormat="1" ht="54" x14ac:dyDescent="0.35">
      <c r="A492" s="11"/>
      <c r="B492" s="510" t="s">
        <v>55</v>
      </c>
      <c r="C492" s="23" t="s">
        <v>290</v>
      </c>
      <c r="D492" s="10" t="s">
        <v>67</v>
      </c>
      <c r="E492" s="10" t="s">
        <v>37</v>
      </c>
      <c r="F492" s="668" t="s">
        <v>52</v>
      </c>
      <c r="G492" s="669" t="s">
        <v>89</v>
      </c>
      <c r="H492" s="669" t="s">
        <v>52</v>
      </c>
      <c r="I492" s="670" t="s">
        <v>91</v>
      </c>
      <c r="J492" s="10" t="s">
        <v>56</v>
      </c>
      <c r="K492" s="24">
        <v>634.29999999999995</v>
      </c>
      <c r="L492" s="24">
        <f>M492-K492</f>
        <v>0</v>
      </c>
      <c r="M492" s="24">
        <v>634.29999999999995</v>
      </c>
      <c r="N492" s="259">
        <v>651</v>
      </c>
    </row>
    <row r="493" spans="1:14" s="116" customFormat="1" ht="18" x14ac:dyDescent="0.35">
      <c r="A493" s="11"/>
      <c r="B493" s="510" t="s">
        <v>57</v>
      </c>
      <c r="C493" s="23" t="s">
        <v>290</v>
      </c>
      <c r="D493" s="10" t="s">
        <v>67</v>
      </c>
      <c r="E493" s="10" t="s">
        <v>37</v>
      </c>
      <c r="F493" s="668" t="s">
        <v>52</v>
      </c>
      <c r="G493" s="669" t="s">
        <v>89</v>
      </c>
      <c r="H493" s="669" t="s">
        <v>52</v>
      </c>
      <c r="I493" s="670" t="s">
        <v>91</v>
      </c>
      <c r="J493" s="10" t="s">
        <v>58</v>
      </c>
      <c r="K493" s="24">
        <v>7.8</v>
      </c>
      <c r="L493" s="24">
        <f>M493-K493</f>
        <v>0</v>
      </c>
      <c r="M493" s="24">
        <v>7.8</v>
      </c>
      <c r="N493" s="259">
        <v>7</v>
      </c>
    </row>
    <row r="494" spans="1:14" s="116" customFormat="1" ht="54" x14ac:dyDescent="0.35">
      <c r="A494" s="11"/>
      <c r="B494" s="510" t="s">
        <v>219</v>
      </c>
      <c r="C494" s="23" t="s">
        <v>290</v>
      </c>
      <c r="D494" s="10" t="s">
        <v>67</v>
      </c>
      <c r="E494" s="10" t="s">
        <v>37</v>
      </c>
      <c r="F494" s="668" t="s">
        <v>52</v>
      </c>
      <c r="G494" s="669" t="s">
        <v>89</v>
      </c>
      <c r="H494" s="669" t="s">
        <v>52</v>
      </c>
      <c r="I494" s="670" t="s">
        <v>292</v>
      </c>
      <c r="J494" s="10"/>
      <c r="K494" s="24">
        <f>K495</f>
        <v>919.8</v>
      </c>
      <c r="L494" s="24">
        <f>L495</f>
        <v>0</v>
      </c>
      <c r="M494" s="24">
        <f>M495</f>
        <v>919.8</v>
      </c>
      <c r="N494" s="259">
        <f>N495</f>
        <v>919.8</v>
      </c>
    </row>
    <row r="495" spans="1:14" s="116" customFormat="1" ht="54" x14ac:dyDescent="0.35">
      <c r="A495" s="11"/>
      <c r="B495" s="510" t="s">
        <v>55</v>
      </c>
      <c r="C495" s="23" t="s">
        <v>290</v>
      </c>
      <c r="D495" s="10" t="s">
        <v>67</v>
      </c>
      <c r="E495" s="10" t="s">
        <v>37</v>
      </c>
      <c r="F495" s="668" t="s">
        <v>52</v>
      </c>
      <c r="G495" s="669" t="s">
        <v>89</v>
      </c>
      <c r="H495" s="669" t="s">
        <v>52</v>
      </c>
      <c r="I495" s="670" t="s">
        <v>292</v>
      </c>
      <c r="J495" s="10" t="s">
        <v>56</v>
      </c>
      <c r="K495" s="24">
        <v>919.8</v>
      </c>
      <c r="L495" s="24">
        <f>M495-K495</f>
        <v>0</v>
      </c>
      <c r="M495" s="24">
        <v>919.8</v>
      </c>
      <c r="N495" s="259">
        <v>919.8</v>
      </c>
    </row>
    <row r="496" spans="1:14" s="116" customFormat="1" ht="18" x14ac:dyDescent="0.35">
      <c r="A496" s="11"/>
      <c r="B496" s="510" t="s">
        <v>197</v>
      </c>
      <c r="C496" s="23" t="s">
        <v>290</v>
      </c>
      <c r="D496" s="10" t="s">
        <v>67</v>
      </c>
      <c r="E496" s="10" t="s">
        <v>39</v>
      </c>
      <c r="F496" s="668"/>
      <c r="G496" s="669"/>
      <c r="H496" s="669"/>
      <c r="I496" s="670"/>
      <c r="J496" s="10"/>
      <c r="K496" s="24">
        <f>K497</f>
        <v>30481.200000000001</v>
      </c>
      <c r="L496" s="24">
        <f>L497</f>
        <v>0</v>
      </c>
      <c r="M496" s="24">
        <f>M497</f>
        <v>30481.200000000001</v>
      </c>
      <c r="N496" s="259">
        <f>N497</f>
        <v>629.70000000000005</v>
      </c>
    </row>
    <row r="497" spans="1:14" s="116" customFormat="1" ht="54" x14ac:dyDescent="0.35">
      <c r="A497" s="11"/>
      <c r="B497" s="510" t="s">
        <v>217</v>
      </c>
      <c r="C497" s="23" t="s">
        <v>290</v>
      </c>
      <c r="D497" s="10" t="s">
        <v>67</v>
      </c>
      <c r="E497" s="10" t="s">
        <v>39</v>
      </c>
      <c r="F497" s="668" t="s">
        <v>52</v>
      </c>
      <c r="G497" s="669" t="s">
        <v>42</v>
      </c>
      <c r="H497" s="669" t="s">
        <v>43</v>
      </c>
      <c r="I497" s="670" t="s">
        <v>44</v>
      </c>
      <c r="J497" s="10"/>
      <c r="K497" s="24">
        <f>K498+K502</f>
        <v>30481.200000000001</v>
      </c>
      <c r="L497" s="24">
        <f>L498+L502</f>
        <v>0</v>
      </c>
      <c r="M497" s="24">
        <f>M498+M502</f>
        <v>30481.200000000001</v>
      </c>
      <c r="N497" s="24">
        <f t="shared" ref="N497" si="79">N498+N502</f>
        <v>629.70000000000005</v>
      </c>
    </row>
    <row r="498" spans="1:14" s="116" customFormat="1" ht="36" x14ac:dyDescent="0.35">
      <c r="A498" s="11"/>
      <c r="B498" s="560" t="s">
        <v>218</v>
      </c>
      <c r="C498" s="23" t="s">
        <v>290</v>
      </c>
      <c r="D498" s="10" t="s">
        <v>67</v>
      </c>
      <c r="E498" s="10" t="s">
        <v>39</v>
      </c>
      <c r="F498" s="668" t="s">
        <v>52</v>
      </c>
      <c r="G498" s="669" t="s">
        <v>45</v>
      </c>
      <c r="H498" s="669" t="s">
        <v>43</v>
      </c>
      <c r="I498" s="670" t="s">
        <v>44</v>
      </c>
      <c r="J498" s="10"/>
      <c r="K498" s="24">
        <f t="shared" ref="K498:N500" si="80">K499</f>
        <v>629.70000000000005</v>
      </c>
      <c r="L498" s="24">
        <f t="shared" si="80"/>
        <v>0</v>
      </c>
      <c r="M498" s="24">
        <f t="shared" si="80"/>
        <v>629.70000000000005</v>
      </c>
      <c r="N498" s="24">
        <f t="shared" si="80"/>
        <v>629.70000000000005</v>
      </c>
    </row>
    <row r="499" spans="1:14" s="116" customFormat="1" ht="54" x14ac:dyDescent="0.35">
      <c r="A499" s="11"/>
      <c r="B499" s="510" t="s">
        <v>291</v>
      </c>
      <c r="C499" s="23" t="s">
        <v>290</v>
      </c>
      <c r="D499" s="10" t="s">
        <v>67</v>
      </c>
      <c r="E499" s="10" t="s">
        <v>39</v>
      </c>
      <c r="F499" s="668" t="s">
        <v>52</v>
      </c>
      <c r="G499" s="669" t="s">
        <v>45</v>
      </c>
      <c r="H499" s="669" t="s">
        <v>39</v>
      </c>
      <c r="I499" s="670" t="s">
        <v>44</v>
      </c>
      <c r="J499" s="10"/>
      <c r="K499" s="24">
        <f t="shared" si="80"/>
        <v>629.70000000000005</v>
      </c>
      <c r="L499" s="24">
        <f t="shared" si="80"/>
        <v>0</v>
      </c>
      <c r="M499" s="24">
        <f t="shared" si="80"/>
        <v>629.70000000000005</v>
      </c>
      <c r="N499" s="24">
        <f t="shared" si="80"/>
        <v>629.70000000000005</v>
      </c>
    </row>
    <row r="500" spans="1:14" s="116" customFormat="1" ht="54" x14ac:dyDescent="0.35">
      <c r="A500" s="11"/>
      <c r="B500" s="510" t="s">
        <v>219</v>
      </c>
      <c r="C500" s="23" t="s">
        <v>290</v>
      </c>
      <c r="D500" s="10" t="s">
        <v>67</v>
      </c>
      <c r="E500" s="10" t="s">
        <v>39</v>
      </c>
      <c r="F500" s="668" t="s">
        <v>52</v>
      </c>
      <c r="G500" s="669" t="s">
        <v>45</v>
      </c>
      <c r="H500" s="669" t="s">
        <v>39</v>
      </c>
      <c r="I500" s="670" t="s">
        <v>292</v>
      </c>
      <c r="J500" s="10"/>
      <c r="K500" s="24">
        <f t="shared" si="80"/>
        <v>629.70000000000005</v>
      </c>
      <c r="L500" s="24">
        <f t="shared" si="80"/>
        <v>0</v>
      </c>
      <c r="M500" s="24">
        <f t="shared" si="80"/>
        <v>629.70000000000005</v>
      </c>
      <c r="N500" s="24">
        <f t="shared" si="80"/>
        <v>629.70000000000005</v>
      </c>
    </row>
    <row r="501" spans="1:14" s="116" customFormat="1" ht="54" x14ac:dyDescent="0.35">
      <c r="A501" s="11"/>
      <c r="B501" s="510" t="s">
        <v>55</v>
      </c>
      <c r="C501" s="23" t="s">
        <v>290</v>
      </c>
      <c r="D501" s="10" t="s">
        <v>67</v>
      </c>
      <c r="E501" s="10" t="s">
        <v>39</v>
      </c>
      <c r="F501" s="668" t="s">
        <v>52</v>
      </c>
      <c r="G501" s="669" t="s">
        <v>45</v>
      </c>
      <c r="H501" s="669" t="s">
        <v>39</v>
      </c>
      <c r="I501" s="670" t="s">
        <v>292</v>
      </c>
      <c r="J501" s="10" t="s">
        <v>56</v>
      </c>
      <c r="K501" s="24">
        <v>629.70000000000005</v>
      </c>
      <c r="L501" s="24">
        <f>M501-K501</f>
        <v>0</v>
      </c>
      <c r="M501" s="24">
        <v>629.70000000000005</v>
      </c>
      <c r="N501" s="499">
        <v>629.70000000000005</v>
      </c>
    </row>
    <row r="502" spans="1:14" s="116" customFormat="1" ht="36" x14ac:dyDescent="0.35">
      <c r="A502" s="11"/>
      <c r="B502" s="510" t="s">
        <v>220</v>
      </c>
      <c r="C502" s="23" t="s">
        <v>290</v>
      </c>
      <c r="D502" s="10" t="s">
        <v>67</v>
      </c>
      <c r="E502" s="10" t="s">
        <v>39</v>
      </c>
      <c r="F502" s="668" t="s">
        <v>52</v>
      </c>
      <c r="G502" s="669" t="s">
        <v>89</v>
      </c>
      <c r="H502" s="669" t="s">
        <v>43</v>
      </c>
      <c r="I502" s="670" t="s">
        <v>44</v>
      </c>
      <c r="J502" s="10"/>
      <c r="K502" s="24">
        <f t="shared" ref="K502:N504" si="81">K503</f>
        <v>29851.5</v>
      </c>
      <c r="L502" s="24">
        <f t="shared" si="81"/>
        <v>0</v>
      </c>
      <c r="M502" s="24">
        <f t="shared" si="81"/>
        <v>29851.5</v>
      </c>
      <c r="N502" s="499">
        <f t="shared" si="81"/>
        <v>0</v>
      </c>
    </row>
    <row r="503" spans="1:14" s="116" customFormat="1" ht="18" x14ac:dyDescent="0.35">
      <c r="A503" s="11"/>
      <c r="B503" s="510" t="s">
        <v>361</v>
      </c>
      <c r="C503" s="23" t="s">
        <v>290</v>
      </c>
      <c r="D503" s="10" t="s">
        <v>67</v>
      </c>
      <c r="E503" s="10" t="s">
        <v>39</v>
      </c>
      <c r="F503" s="668" t="s">
        <v>52</v>
      </c>
      <c r="G503" s="669" t="s">
        <v>89</v>
      </c>
      <c r="H503" s="669" t="s">
        <v>39</v>
      </c>
      <c r="I503" s="670" t="s">
        <v>44</v>
      </c>
      <c r="J503" s="10"/>
      <c r="K503" s="24">
        <f t="shared" si="81"/>
        <v>29851.5</v>
      </c>
      <c r="L503" s="24">
        <f t="shared" si="81"/>
        <v>0</v>
      </c>
      <c r="M503" s="24">
        <f t="shared" si="81"/>
        <v>29851.5</v>
      </c>
      <c r="N503" s="499">
        <f t="shared" si="81"/>
        <v>0</v>
      </c>
    </row>
    <row r="504" spans="1:14" s="116" customFormat="1" ht="90" x14ac:dyDescent="0.35">
      <c r="A504" s="11"/>
      <c r="B504" s="510" t="s">
        <v>738</v>
      </c>
      <c r="C504" s="23" t="s">
        <v>290</v>
      </c>
      <c r="D504" s="10" t="s">
        <v>67</v>
      </c>
      <c r="E504" s="10" t="s">
        <v>39</v>
      </c>
      <c r="F504" s="668" t="s">
        <v>52</v>
      </c>
      <c r="G504" s="669" t="s">
        <v>89</v>
      </c>
      <c r="H504" s="669" t="s">
        <v>39</v>
      </c>
      <c r="I504" s="670" t="s">
        <v>737</v>
      </c>
      <c r="J504" s="10"/>
      <c r="K504" s="24">
        <f t="shared" si="81"/>
        <v>29851.5</v>
      </c>
      <c r="L504" s="24">
        <f t="shared" si="81"/>
        <v>0</v>
      </c>
      <c r="M504" s="24">
        <f t="shared" si="81"/>
        <v>29851.5</v>
      </c>
      <c r="N504" s="499">
        <f t="shared" si="81"/>
        <v>0</v>
      </c>
    </row>
    <row r="505" spans="1:14" s="116" customFormat="1" ht="54" x14ac:dyDescent="0.35">
      <c r="A505" s="11"/>
      <c r="B505" s="510" t="s">
        <v>55</v>
      </c>
      <c r="C505" s="23" t="s">
        <v>290</v>
      </c>
      <c r="D505" s="10" t="s">
        <v>67</v>
      </c>
      <c r="E505" s="10" t="s">
        <v>39</v>
      </c>
      <c r="F505" s="668" t="s">
        <v>52</v>
      </c>
      <c r="G505" s="669" t="s">
        <v>89</v>
      </c>
      <c r="H505" s="669" t="s">
        <v>39</v>
      </c>
      <c r="I505" s="670" t="s">
        <v>737</v>
      </c>
      <c r="J505" s="10" t="s">
        <v>56</v>
      </c>
      <c r="K505" s="24">
        <v>29851.5</v>
      </c>
      <c r="L505" s="24">
        <f>M505-K505</f>
        <v>0</v>
      </c>
      <c r="M505" s="24">
        <v>29851.5</v>
      </c>
      <c r="N505" s="499">
        <v>0</v>
      </c>
    </row>
    <row r="506" spans="1:14" s="116" customFormat="1" ht="18" x14ac:dyDescent="0.35">
      <c r="A506" s="11"/>
      <c r="B506" s="510" t="s">
        <v>706</v>
      </c>
      <c r="C506" s="23" t="s">
        <v>290</v>
      </c>
      <c r="D506" s="10" t="s">
        <v>67</v>
      </c>
      <c r="E506" s="10" t="s">
        <v>63</v>
      </c>
      <c r="F506" s="668"/>
      <c r="G506" s="669"/>
      <c r="H506" s="669"/>
      <c r="I506" s="670"/>
      <c r="J506" s="10"/>
      <c r="K506" s="24">
        <f>K507</f>
        <v>31302</v>
      </c>
      <c r="L506" s="24">
        <f>L507</f>
        <v>-357.19999999999982</v>
      </c>
      <c r="M506" s="24">
        <f>M507</f>
        <v>30944.799999999999</v>
      </c>
      <c r="N506" s="24">
        <f>N507</f>
        <v>31312.2</v>
      </c>
    </row>
    <row r="507" spans="1:14" s="116" customFormat="1" ht="54" x14ac:dyDescent="0.35">
      <c r="A507" s="11"/>
      <c r="B507" s="510" t="s">
        <v>217</v>
      </c>
      <c r="C507" s="23" t="s">
        <v>290</v>
      </c>
      <c r="D507" s="10" t="s">
        <v>67</v>
      </c>
      <c r="E507" s="10" t="s">
        <v>63</v>
      </c>
      <c r="F507" s="668" t="s">
        <v>52</v>
      </c>
      <c r="G507" s="669" t="s">
        <v>42</v>
      </c>
      <c r="H507" s="669" t="s">
        <v>43</v>
      </c>
      <c r="I507" s="670" t="s">
        <v>44</v>
      </c>
      <c r="J507" s="10"/>
      <c r="K507" s="24">
        <f>K508+K512</f>
        <v>31302</v>
      </c>
      <c r="L507" s="24">
        <f>L508+L512</f>
        <v>-357.19999999999982</v>
      </c>
      <c r="M507" s="24">
        <f>M508+M512</f>
        <v>30944.799999999999</v>
      </c>
      <c r="N507" s="24">
        <f>N508+N512</f>
        <v>31312.2</v>
      </c>
    </row>
    <row r="508" spans="1:14" s="116" customFormat="1" ht="36" x14ac:dyDescent="0.35">
      <c r="A508" s="11"/>
      <c r="B508" s="560" t="s">
        <v>218</v>
      </c>
      <c r="C508" s="23" t="s">
        <v>290</v>
      </c>
      <c r="D508" s="10" t="s">
        <v>67</v>
      </c>
      <c r="E508" s="10" t="s">
        <v>63</v>
      </c>
      <c r="F508" s="668" t="s">
        <v>52</v>
      </c>
      <c r="G508" s="669" t="s">
        <v>45</v>
      </c>
      <c r="H508" s="669" t="s">
        <v>43</v>
      </c>
      <c r="I508" s="670" t="s">
        <v>44</v>
      </c>
      <c r="J508" s="10"/>
      <c r="K508" s="24">
        <f>K509</f>
        <v>450</v>
      </c>
      <c r="L508" s="24">
        <f>L509</f>
        <v>0</v>
      </c>
      <c r="M508" s="24">
        <f>M509</f>
        <v>450</v>
      </c>
      <c r="N508" s="24">
        <f>N509</f>
        <v>450</v>
      </c>
    </row>
    <row r="509" spans="1:14" s="116" customFormat="1" ht="18" x14ac:dyDescent="0.35">
      <c r="A509" s="11"/>
      <c r="B509" s="510" t="s">
        <v>277</v>
      </c>
      <c r="C509" s="23" t="s">
        <v>290</v>
      </c>
      <c r="D509" s="10" t="s">
        <v>67</v>
      </c>
      <c r="E509" s="10" t="s">
        <v>63</v>
      </c>
      <c r="F509" s="668" t="s">
        <v>52</v>
      </c>
      <c r="G509" s="669" t="s">
        <v>45</v>
      </c>
      <c r="H509" s="669" t="s">
        <v>37</v>
      </c>
      <c r="I509" s="670" t="s">
        <v>44</v>
      </c>
      <c r="J509" s="10"/>
      <c r="K509" s="24">
        <f t="shared" ref="K509:N510" si="82">K510</f>
        <v>450</v>
      </c>
      <c r="L509" s="24">
        <f t="shared" si="82"/>
        <v>0</v>
      </c>
      <c r="M509" s="24">
        <f t="shared" si="82"/>
        <v>450</v>
      </c>
      <c r="N509" s="24">
        <f t="shared" si="82"/>
        <v>450</v>
      </c>
    </row>
    <row r="510" spans="1:14" s="116" customFormat="1" ht="36" x14ac:dyDescent="0.35">
      <c r="A510" s="11"/>
      <c r="B510" s="510" t="s">
        <v>278</v>
      </c>
      <c r="C510" s="23" t="s">
        <v>290</v>
      </c>
      <c r="D510" s="10" t="s">
        <v>67</v>
      </c>
      <c r="E510" s="10" t="s">
        <v>63</v>
      </c>
      <c r="F510" s="668" t="s">
        <v>52</v>
      </c>
      <c r="G510" s="669" t="s">
        <v>45</v>
      </c>
      <c r="H510" s="669" t="s">
        <v>37</v>
      </c>
      <c r="I510" s="670" t="s">
        <v>279</v>
      </c>
      <c r="J510" s="10"/>
      <c r="K510" s="24">
        <f t="shared" si="82"/>
        <v>450</v>
      </c>
      <c r="L510" s="24">
        <f t="shared" si="82"/>
        <v>0</v>
      </c>
      <c r="M510" s="24">
        <f t="shared" si="82"/>
        <v>450</v>
      </c>
      <c r="N510" s="24">
        <f t="shared" si="82"/>
        <v>450</v>
      </c>
    </row>
    <row r="511" spans="1:14" s="116" customFormat="1" ht="36" x14ac:dyDescent="0.35">
      <c r="A511" s="11"/>
      <c r="B511" s="510" t="s">
        <v>120</v>
      </c>
      <c r="C511" s="23" t="s">
        <v>290</v>
      </c>
      <c r="D511" s="10" t="s">
        <v>67</v>
      </c>
      <c r="E511" s="10" t="s">
        <v>63</v>
      </c>
      <c r="F511" s="668" t="s">
        <v>52</v>
      </c>
      <c r="G511" s="669" t="s">
        <v>45</v>
      </c>
      <c r="H511" s="669" t="s">
        <v>37</v>
      </c>
      <c r="I511" s="670" t="s">
        <v>279</v>
      </c>
      <c r="J511" s="10" t="s">
        <v>121</v>
      </c>
      <c r="K511" s="24">
        <f>450</f>
        <v>450</v>
      </c>
      <c r="L511" s="24">
        <f>M511-K511</f>
        <v>0</v>
      </c>
      <c r="M511" s="24">
        <f>450</f>
        <v>450</v>
      </c>
      <c r="N511" s="24">
        <v>450</v>
      </c>
    </row>
    <row r="512" spans="1:14" s="116" customFormat="1" ht="36" x14ac:dyDescent="0.35">
      <c r="A512" s="11"/>
      <c r="B512" s="510" t="s">
        <v>220</v>
      </c>
      <c r="C512" s="23" t="s">
        <v>290</v>
      </c>
      <c r="D512" s="10" t="s">
        <v>67</v>
      </c>
      <c r="E512" s="10" t="s">
        <v>63</v>
      </c>
      <c r="F512" s="668" t="s">
        <v>52</v>
      </c>
      <c r="G512" s="669" t="s">
        <v>89</v>
      </c>
      <c r="H512" s="669" t="s">
        <v>43</v>
      </c>
      <c r="I512" s="670" t="s">
        <v>44</v>
      </c>
      <c r="J512" s="10"/>
      <c r="K512" s="24">
        <f t="shared" ref="K512:N512" si="83">K513</f>
        <v>30852</v>
      </c>
      <c r="L512" s="24">
        <f>L513</f>
        <v>-357.19999999999982</v>
      </c>
      <c r="M512" s="24">
        <f t="shared" si="83"/>
        <v>30494.799999999999</v>
      </c>
      <c r="N512" s="24">
        <f t="shared" si="83"/>
        <v>30862.2</v>
      </c>
    </row>
    <row r="513" spans="1:14" s="116" customFormat="1" ht="18" x14ac:dyDescent="0.35">
      <c r="A513" s="11"/>
      <c r="B513" s="510" t="s">
        <v>361</v>
      </c>
      <c r="C513" s="23" t="s">
        <v>290</v>
      </c>
      <c r="D513" s="10" t="s">
        <v>67</v>
      </c>
      <c r="E513" s="10" t="s">
        <v>63</v>
      </c>
      <c r="F513" s="668" t="s">
        <v>52</v>
      </c>
      <c r="G513" s="669" t="s">
        <v>89</v>
      </c>
      <c r="H513" s="669" t="s">
        <v>39</v>
      </c>
      <c r="I513" s="670" t="s">
        <v>44</v>
      </c>
      <c r="J513" s="10"/>
      <c r="K513" s="24">
        <f>K514+K520+K518+K522</f>
        <v>30852</v>
      </c>
      <c r="L513" s="24">
        <f>L514+L520+L518+L522</f>
        <v>-357.19999999999982</v>
      </c>
      <c r="M513" s="24">
        <f>M514+M520+M518+M522</f>
        <v>30494.799999999999</v>
      </c>
      <c r="N513" s="24">
        <f>N514+N520+N518+N522</f>
        <v>30862.2</v>
      </c>
    </row>
    <row r="514" spans="1:14" s="116" customFormat="1" ht="36" x14ac:dyDescent="0.35">
      <c r="A514" s="11"/>
      <c r="B514" s="588" t="s">
        <v>464</v>
      </c>
      <c r="C514" s="23" t="s">
        <v>290</v>
      </c>
      <c r="D514" s="10" t="s">
        <v>67</v>
      </c>
      <c r="E514" s="10" t="s">
        <v>63</v>
      </c>
      <c r="F514" s="668" t="s">
        <v>52</v>
      </c>
      <c r="G514" s="669" t="s">
        <v>89</v>
      </c>
      <c r="H514" s="669" t="s">
        <v>39</v>
      </c>
      <c r="I514" s="670" t="s">
        <v>91</v>
      </c>
      <c r="J514" s="10"/>
      <c r="K514" s="24">
        <f>K515+K516+K517</f>
        <v>24324.5</v>
      </c>
      <c r="L514" s="24">
        <f>L515+L516+L517</f>
        <v>-357.19999999999982</v>
      </c>
      <c r="M514" s="24">
        <f>M515+M516+M517</f>
        <v>23967.3</v>
      </c>
      <c r="N514" s="24">
        <f>N515+N516+N517</f>
        <v>24334.7</v>
      </c>
    </row>
    <row r="515" spans="1:14" s="116" customFormat="1" ht="108" x14ac:dyDescent="0.35">
      <c r="A515" s="11"/>
      <c r="B515" s="510" t="s">
        <v>49</v>
      </c>
      <c r="C515" s="23" t="s">
        <v>290</v>
      </c>
      <c r="D515" s="10" t="s">
        <v>67</v>
      </c>
      <c r="E515" s="10" t="s">
        <v>63</v>
      </c>
      <c r="F515" s="668" t="s">
        <v>52</v>
      </c>
      <c r="G515" s="669" t="s">
        <v>89</v>
      </c>
      <c r="H515" s="669" t="s">
        <v>39</v>
      </c>
      <c r="I515" s="670" t="s">
        <v>91</v>
      </c>
      <c r="J515" s="10" t="s">
        <v>50</v>
      </c>
      <c r="K515" s="24">
        <v>20027.900000000001</v>
      </c>
      <c r="L515" s="24">
        <f>M515-K515</f>
        <v>0</v>
      </c>
      <c r="M515" s="24">
        <v>20027.900000000001</v>
      </c>
      <c r="N515" s="24">
        <v>20027.900000000001</v>
      </c>
    </row>
    <row r="516" spans="1:14" s="116" customFormat="1" ht="54" x14ac:dyDescent="0.35">
      <c r="A516" s="11"/>
      <c r="B516" s="510" t="s">
        <v>55</v>
      </c>
      <c r="C516" s="23" t="s">
        <v>290</v>
      </c>
      <c r="D516" s="10" t="s">
        <v>67</v>
      </c>
      <c r="E516" s="10" t="s">
        <v>63</v>
      </c>
      <c r="F516" s="668" t="s">
        <v>52</v>
      </c>
      <c r="G516" s="669" t="s">
        <v>89</v>
      </c>
      <c r="H516" s="669" t="s">
        <v>39</v>
      </c>
      <c r="I516" s="670" t="s">
        <v>91</v>
      </c>
      <c r="J516" s="10" t="s">
        <v>56</v>
      </c>
      <c r="K516" s="24">
        <f>4250.6-12.5-0.1</f>
        <v>4238</v>
      </c>
      <c r="L516" s="24">
        <f>M516-K516</f>
        <v>-357.19999999999982</v>
      </c>
      <c r="M516" s="24">
        <f>4250.6-12.5-0.1-357.2</f>
        <v>3880.8</v>
      </c>
      <c r="N516" s="24">
        <f>4262.7-12.5</f>
        <v>4250.2</v>
      </c>
    </row>
    <row r="517" spans="1:14" s="116" customFormat="1" ht="18" x14ac:dyDescent="0.35">
      <c r="A517" s="11"/>
      <c r="B517" s="510" t="s">
        <v>57</v>
      </c>
      <c r="C517" s="23" t="s">
        <v>290</v>
      </c>
      <c r="D517" s="10" t="s">
        <v>67</v>
      </c>
      <c r="E517" s="10" t="s">
        <v>63</v>
      </c>
      <c r="F517" s="668" t="s">
        <v>52</v>
      </c>
      <c r="G517" s="669" t="s">
        <v>89</v>
      </c>
      <c r="H517" s="669" t="s">
        <v>39</v>
      </c>
      <c r="I517" s="670" t="s">
        <v>91</v>
      </c>
      <c r="J517" s="10" t="s">
        <v>58</v>
      </c>
      <c r="K517" s="24">
        <v>58.6</v>
      </c>
      <c r="L517" s="24">
        <f>M517-K517</f>
        <v>0</v>
      </c>
      <c r="M517" s="24">
        <v>58.6</v>
      </c>
      <c r="N517" s="24">
        <v>56.6</v>
      </c>
    </row>
    <row r="518" spans="1:14" s="116" customFormat="1" ht="54" x14ac:dyDescent="0.35">
      <c r="A518" s="11"/>
      <c r="B518" s="510" t="s">
        <v>219</v>
      </c>
      <c r="C518" s="23" t="s">
        <v>290</v>
      </c>
      <c r="D518" s="10" t="s">
        <v>67</v>
      </c>
      <c r="E518" s="10" t="s">
        <v>63</v>
      </c>
      <c r="F518" s="668" t="s">
        <v>52</v>
      </c>
      <c r="G518" s="669" t="s">
        <v>89</v>
      </c>
      <c r="H518" s="669" t="s">
        <v>39</v>
      </c>
      <c r="I518" s="670" t="s">
        <v>292</v>
      </c>
      <c r="J518" s="10"/>
      <c r="K518" s="24">
        <f>K519</f>
        <v>4225.2</v>
      </c>
      <c r="L518" s="24">
        <f>L519</f>
        <v>0</v>
      </c>
      <c r="M518" s="24">
        <f>M519</f>
        <v>4225.2</v>
      </c>
      <c r="N518" s="24">
        <f>N519</f>
        <v>4225.2</v>
      </c>
    </row>
    <row r="519" spans="1:14" s="116" customFormat="1" ht="54" x14ac:dyDescent="0.35">
      <c r="A519" s="11"/>
      <c r="B519" s="510" t="s">
        <v>55</v>
      </c>
      <c r="C519" s="23" t="s">
        <v>290</v>
      </c>
      <c r="D519" s="10" t="s">
        <v>67</v>
      </c>
      <c r="E519" s="10" t="s">
        <v>63</v>
      </c>
      <c r="F519" s="668" t="s">
        <v>52</v>
      </c>
      <c r="G519" s="669" t="s">
        <v>89</v>
      </c>
      <c r="H519" s="669" t="s">
        <v>39</v>
      </c>
      <c r="I519" s="670" t="s">
        <v>292</v>
      </c>
      <c r="J519" s="10" t="s">
        <v>56</v>
      </c>
      <c r="K519" s="24">
        <v>4225.2</v>
      </c>
      <c r="L519" s="24">
        <f>M519-K519</f>
        <v>0</v>
      </c>
      <c r="M519" s="24">
        <v>4225.2</v>
      </c>
      <c r="N519" s="24">
        <v>4225.2</v>
      </c>
    </row>
    <row r="520" spans="1:14" s="116" customFormat="1" ht="180" x14ac:dyDescent="0.35">
      <c r="A520" s="11"/>
      <c r="B520" s="510" t="s">
        <v>435</v>
      </c>
      <c r="C520" s="23" t="s">
        <v>290</v>
      </c>
      <c r="D520" s="10" t="s">
        <v>67</v>
      </c>
      <c r="E520" s="10" t="s">
        <v>63</v>
      </c>
      <c r="F520" s="668" t="s">
        <v>52</v>
      </c>
      <c r="G520" s="669" t="s">
        <v>89</v>
      </c>
      <c r="H520" s="669" t="s">
        <v>39</v>
      </c>
      <c r="I520" s="670" t="s">
        <v>388</v>
      </c>
      <c r="J520" s="10"/>
      <c r="K520" s="24">
        <f>K521</f>
        <v>187.5</v>
      </c>
      <c r="L520" s="24">
        <f>L521</f>
        <v>0</v>
      </c>
      <c r="M520" s="24">
        <f>M521</f>
        <v>187.5</v>
      </c>
      <c r="N520" s="24">
        <f>N521</f>
        <v>187.5</v>
      </c>
    </row>
    <row r="521" spans="1:14" s="116" customFormat="1" ht="108" x14ac:dyDescent="0.35">
      <c r="A521" s="11"/>
      <c r="B521" s="510" t="s">
        <v>49</v>
      </c>
      <c r="C521" s="23" t="s">
        <v>290</v>
      </c>
      <c r="D521" s="10" t="s">
        <v>67</v>
      </c>
      <c r="E521" s="10" t="s">
        <v>63</v>
      </c>
      <c r="F521" s="668" t="s">
        <v>52</v>
      </c>
      <c r="G521" s="669" t="s">
        <v>89</v>
      </c>
      <c r="H521" s="669" t="s">
        <v>39</v>
      </c>
      <c r="I521" s="670" t="s">
        <v>388</v>
      </c>
      <c r="J521" s="10" t="s">
        <v>50</v>
      </c>
      <c r="K521" s="24">
        <v>187.5</v>
      </c>
      <c r="L521" s="24">
        <f>M521-K521</f>
        <v>0</v>
      </c>
      <c r="M521" s="24">
        <v>187.5</v>
      </c>
      <c r="N521" s="259">
        <v>187.5</v>
      </c>
    </row>
    <row r="522" spans="1:14" s="116" customFormat="1" ht="54" x14ac:dyDescent="0.35">
      <c r="A522" s="11"/>
      <c r="B522" s="510" t="s">
        <v>437</v>
      </c>
      <c r="C522" s="23" t="s">
        <v>290</v>
      </c>
      <c r="D522" s="10" t="s">
        <v>67</v>
      </c>
      <c r="E522" s="10" t="s">
        <v>63</v>
      </c>
      <c r="F522" s="668" t="s">
        <v>52</v>
      </c>
      <c r="G522" s="669" t="s">
        <v>89</v>
      </c>
      <c r="H522" s="669" t="s">
        <v>39</v>
      </c>
      <c r="I522" s="670" t="s">
        <v>408</v>
      </c>
      <c r="J522" s="10"/>
      <c r="K522" s="24">
        <f>K523</f>
        <v>2114.8000000000002</v>
      </c>
      <c r="L522" s="24">
        <f>L523</f>
        <v>0</v>
      </c>
      <c r="M522" s="24">
        <f>M523</f>
        <v>2114.8000000000002</v>
      </c>
      <c r="N522" s="24">
        <f>N523</f>
        <v>2114.8000000000002</v>
      </c>
    </row>
    <row r="523" spans="1:14" s="116" customFormat="1" ht="108" x14ac:dyDescent="0.35">
      <c r="A523" s="11"/>
      <c r="B523" s="510" t="s">
        <v>49</v>
      </c>
      <c r="C523" s="23" t="s">
        <v>290</v>
      </c>
      <c r="D523" s="10" t="s">
        <v>67</v>
      </c>
      <c r="E523" s="10" t="s">
        <v>63</v>
      </c>
      <c r="F523" s="668" t="s">
        <v>52</v>
      </c>
      <c r="G523" s="669" t="s">
        <v>89</v>
      </c>
      <c r="H523" s="669" t="s">
        <v>39</v>
      </c>
      <c r="I523" s="670" t="s">
        <v>408</v>
      </c>
      <c r="J523" s="10" t="s">
        <v>50</v>
      </c>
      <c r="K523" s="24">
        <f>1790.4+199+125.4</f>
        <v>2114.8000000000002</v>
      </c>
      <c r="L523" s="24">
        <f>M523-K523</f>
        <v>0</v>
      </c>
      <c r="M523" s="24">
        <f>1790.4+199+125.4</f>
        <v>2114.8000000000002</v>
      </c>
      <c r="N523" s="259">
        <f>1790.4+199+125.4</f>
        <v>2114.8000000000002</v>
      </c>
    </row>
    <row r="524" spans="1:14" s="7" customFormat="1" ht="36" x14ac:dyDescent="0.35">
      <c r="A524" s="11"/>
      <c r="B524" s="560" t="s">
        <v>199</v>
      </c>
      <c r="C524" s="23" t="s">
        <v>290</v>
      </c>
      <c r="D524" s="10" t="s">
        <v>67</v>
      </c>
      <c r="E524" s="10" t="s">
        <v>65</v>
      </c>
      <c r="F524" s="668"/>
      <c r="G524" s="669"/>
      <c r="H524" s="669"/>
      <c r="I524" s="670"/>
      <c r="J524" s="10"/>
      <c r="K524" s="24">
        <f t="shared" ref="K524:N527" si="84">K525</f>
        <v>3058.7000000000003</v>
      </c>
      <c r="L524" s="24">
        <f t="shared" si="84"/>
        <v>0</v>
      </c>
      <c r="M524" s="24">
        <f t="shared" si="84"/>
        <v>3058.7000000000003</v>
      </c>
      <c r="N524" s="24">
        <f t="shared" si="84"/>
        <v>3059.7999999999997</v>
      </c>
    </row>
    <row r="525" spans="1:14" s="7" customFormat="1" ht="54" x14ac:dyDescent="0.35">
      <c r="A525" s="11"/>
      <c r="B525" s="510" t="s">
        <v>217</v>
      </c>
      <c r="C525" s="23" t="s">
        <v>290</v>
      </c>
      <c r="D525" s="10" t="s">
        <v>67</v>
      </c>
      <c r="E525" s="10" t="s">
        <v>65</v>
      </c>
      <c r="F525" s="668" t="s">
        <v>52</v>
      </c>
      <c r="G525" s="669" t="s">
        <v>42</v>
      </c>
      <c r="H525" s="669" t="s">
        <v>43</v>
      </c>
      <c r="I525" s="670" t="s">
        <v>44</v>
      </c>
      <c r="J525" s="10"/>
      <c r="K525" s="24">
        <f t="shared" si="84"/>
        <v>3058.7000000000003</v>
      </c>
      <c r="L525" s="24">
        <f t="shared" si="84"/>
        <v>0</v>
      </c>
      <c r="M525" s="24">
        <f t="shared" si="84"/>
        <v>3058.7000000000003</v>
      </c>
      <c r="N525" s="24">
        <f t="shared" si="84"/>
        <v>3059.7999999999997</v>
      </c>
    </row>
    <row r="526" spans="1:14" s="7" customFormat="1" ht="36" x14ac:dyDescent="0.35">
      <c r="A526" s="11"/>
      <c r="B526" s="517" t="s">
        <v>220</v>
      </c>
      <c r="C526" s="23" t="s">
        <v>290</v>
      </c>
      <c r="D526" s="10" t="s">
        <v>67</v>
      </c>
      <c r="E526" s="10" t="s">
        <v>65</v>
      </c>
      <c r="F526" s="668" t="s">
        <v>52</v>
      </c>
      <c r="G526" s="669" t="s">
        <v>89</v>
      </c>
      <c r="H526" s="669" t="s">
        <v>43</v>
      </c>
      <c r="I526" s="670" t="s">
        <v>44</v>
      </c>
      <c r="J526" s="10"/>
      <c r="K526" s="24">
        <f t="shared" si="84"/>
        <v>3058.7000000000003</v>
      </c>
      <c r="L526" s="24">
        <f t="shared" si="84"/>
        <v>0</v>
      </c>
      <c r="M526" s="24">
        <f t="shared" si="84"/>
        <v>3058.7000000000003</v>
      </c>
      <c r="N526" s="24">
        <f t="shared" si="84"/>
        <v>3059.7999999999997</v>
      </c>
    </row>
    <row r="527" spans="1:14" s="7" customFormat="1" ht="36" x14ac:dyDescent="0.35">
      <c r="A527" s="11"/>
      <c r="B527" s="510" t="s">
        <v>282</v>
      </c>
      <c r="C527" s="23" t="s">
        <v>290</v>
      </c>
      <c r="D527" s="10" t="s">
        <v>67</v>
      </c>
      <c r="E527" s="10" t="s">
        <v>65</v>
      </c>
      <c r="F527" s="668" t="s">
        <v>52</v>
      </c>
      <c r="G527" s="669" t="s">
        <v>89</v>
      </c>
      <c r="H527" s="669" t="s">
        <v>37</v>
      </c>
      <c r="I527" s="670" t="s">
        <v>44</v>
      </c>
      <c r="J527" s="10"/>
      <c r="K527" s="24">
        <f t="shared" si="84"/>
        <v>3058.7000000000003</v>
      </c>
      <c r="L527" s="24">
        <f t="shared" si="84"/>
        <v>0</v>
      </c>
      <c r="M527" s="24">
        <f t="shared" si="84"/>
        <v>3058.7000000000003</v>
      </c>
      <c r="N527" s="24">
        <f t="shared" si="84"/>
        <v>3059.7999999999997</v>
      </c>
    </row>
    <row r="528" spans="1:14" s="7" customFormat="1" ht="36" x14ac:dyDescent="0.35">
      <c r="A528" s="11"/>
      <c r="B528" s="510" t="s">
        <v>47</v>
      </c>
      <c r="C528" s="23" t="s">
        <v>290</v>
      </c>
      <c r="D528" s="10" t="s">
        <v>67</v>
      </c>
      <c r="E528" s="10" t="s">
        <v>65</v>
      </c>
      <c r="F528" s="668" t="s">
        <v>52</v>
      </c>
      <c r="G528" s="669" t="s">
        <v>89</v>
      </c>
      <c r="H528" s="669" t="s">
        <v>37</v>
      </c>
      <c r="I528" s="670" t="s">
        <v>48</v>
      </c>
      <c r="J528" s="10"/>
      <c r="K528" s="24">
        <f>K529+K530+K531</f>
        <v>3058.7000000000003</v>
      </c>
      <c r="L528" s="24">
        <f>L529+L530+L531</f>
        <v>0</v>
      </c>
      <c r="M528" s="24">
        <f>M529+M530+M531</f>
        <v>3058.7000000000003</v>
      </c>
      <c r="N528" s="24">
        <f>N529+N530+N531</f>
        <v>3059.7999999999997</v>
      </c>
    </row>
    <row r="529" spans="1:14" s="7" customFormat="1" ht="108" x14ac:dyDescent="0.35">
      <c r="A529" s="11"/>
      <c r="B529" s="510" t="s">
        <v>49</v>
      </c>
      <c r="C529" s="23" t="s">
        <v>290</v>
      </c>
      <c r="D529" s="10" t="s">
        <v>67</v>
      </c>
      <c r="E529" s="10" t="s">
        <v>65</v>
      </c>
      <c r="F529" s="668" t="s">
        <v>52</v>
      </c>
      <c r="G529" s="669" t="s">
        <v>89</v>
      </c>
      <c r="H529" s="669" t="s">
        <v>37</v>
      </c>
      <c r="I529" s="670" t="s">
        <v>48</v>
      </c>
      <c r="J529" s="10" t="s">
        <v>50</v>
      </c>
      <c r="K529" s="24">
        <v>2997.5</v>
      </c>
      <c r="L529" s="24">
        <f>M529-K529</f>
        <v>0</v>
      </c>
      <c r="M529" s="24">
        <v>2997.5</v>
      </c>
      <c r="N529" s="24">
        <v>2997.5</v>
      </c>
    </row>
    <row r="530" spans="1:14" s="7" customFormat="1" ht="54" x14ac:dyDescent="0.35">
      <c r="A530" s="11"/>
      <c r="B530" s="510" t="s">
        <v>55</v>
      </c>
      <c r="C530" s="23" t="s">
        <v>290</v>
      </c>
      <c r="D530" s="10" t="s">
        <v>67</v>
      </c>
      <c r="E530" s="10" t="s">
        <v>65</v>
      </c>
      <c r="F530" s="668" t="s">
        <v>52</v>
      </c>
      <c r="G530" s="669" t="s">
        <v>89</v>
      </c>
      <c r="H530" s="669" t="s">
        <v>37</v>
      </c>
      <c r="I530" s="670" t="s">
        <v>48</v>
      </c>
      <c r="J530" s="10" t="s">
        <v>56</v>
      </c>
      <c r="K530" s="24">
        <v>59.4</v>
      </c>
      <c r="L530" s="24">
        <f>M530-K530</f>
        <v>0</v>
      </c>
      <c r="M530" s="24">
        <v>59.4</v>
      </c>
      <c r="N530" s="24">
        <v>60.6</v>
      </c>
    </row>
    <row r="531" spans="1:14" s="7" customFormat="1" ht="18" x14ac:dyDescent="0.35">
      <c r="A531" s="11"/>
      <c r="B531" s="510" t="s">
        <v>57</v>
      </c>
      <c r="C531" s="23" t="s">
        <v>290</v>
      </c>
      <c r="D531" s="10" t="s">
        <v>67</v>
      </c>
      <c r="E531" s="10" t="s">
        <v>65</v>
      </c>
      <c r="F531" s="668" t="s">
        <v>52</v>
      </c>
      <c r="G531" s="669" t="s">
        <v>89</v>
      </c>
      <c r="H531" s="669" t="s">
        <v>37</v>
      </c>
      <c r="I531" s="670" t="s">
        <v>48</v>
      </c>
      <c r="J531" s="10" t="s">
        <v>58</v>
      </c>
      <c r="K531" s="24">
        <v>1.8</v>
      </c>
      <c r="L531" s="24">
        <f>M531-K531</f>
        <v>0</v>
      </c>
      <c r="M531" s="24">
        <v>1.8</v>
      </c>
      <c r="N531" s="24">
        <v>1.7</v>
      </c>
    </row>
    <row r="532" spans="1:14" s="7" customFormat="1" ht="18" x14ac:dyDescent="0.35">
      <c r="A532" s="11"/>
      <c r="B532" s="510"/>
      <c r="C532" s="23"/>
      <c r="D532" s="10"/>
      <c r="E532" s="10"/>
      <c r="F532" s="668"/>
      <c r="G532" s="669"/>
      <c r="H532" s="669"/>
      <c r="I532" s="670"/>
      <c r="J532" s="10"/>
      <c r="K532" s="24"/>
      <c r="L532" s="24"/>
      <c r="M532" s="24"/>
      <c r="N532" s="24"/>
    </row>
    <row r="533" spans="1:14" s="116" customFormat="1" ht="52.2" x14ac:dyDescent="0.3">
      <c r="A533" s="115">
        <v>8</v>
      </c>
      <c r="B533" s="557" t="s">
        <v>11</v>
      </c>
      <c r="C533" s="18" t="s">
        <v>286</v>
      </c>
      <c r="D533" s="19"/>
      <c r="E533" s="19"/>
      <c r="F533" s="20"/>
      <c r="G533" s="21"/>
      <c r="H533" s="21"/>
      <c r="I533" s="22"/>
      <c r="J533" s="19"/>
      <c r="K533" s="32">
        <f>K547+K534</f>
        <v>7587.0999999999995</v>
      </c>
      <c r="L533" s="32">
        <f>L547+L534</f>
        <v>0</v>
      </c>
      <c r="M533" s="32">
        <f>M547+M534</f>
        <v>7587.0999999999995</v>
      </c>
      <c r="N533" s="32">
        <f>N547+N534</f>
        <v>7592.7999999999993</v>
      </c>
    </row>
    <row r="534" spans="1:14" s="116" customFormat="1" ht="18" x14ac:dyDescent="0.35">
      <c r="A534" s="115"/>
      <c r="B534" s="510" t="s">
        <v>36</v>
      </c>
      <c r="C534" s="23" t="s">
        <v>286</v>
      </c>
      <c r="D534" s="10" t="s">
        <v>37</v>
      </c>
      <c r="E534" s="10"/>
      <c r="F534" s="668"/>
      <c r="G534" s="669"/>
      <c r="H534" s="669"/>
      <c r="I534" s="670"/>
      <c r="J534" s="10"/>
      <c r="K534" s="215">
        <f t="shared" ref="K534:N536" si="85">K535</f>
        <v>126.9</v>
      </c>
      <c r="L534" s="215">
        <f t="shared" si="85"/>
        <v>0</v>
      </c>
      <c r="M534" s="215">
        <f t="shared" si="85"/>
        <v>126.9</v>
      </c>
      <c r="N534" s="215">
        <f t="shared" si="85"/>
        <v>126.9</v>
      </c>
    </row>
    <row r="535" spans="1:14" s="116" customFormat="1" ht="18" x14ac:dyDescent="0.35">
      <c r="A535" s="115"/>
      <c r="B535" s="510" t="s">
        <v>70</v>
      </c>
      <c r="C535" s="23" t="s">
        <v>286</v>
      </c>
      <c r="D535" s="10" t="s">
        <v>37</v>
      </c>
      <c r="E535" s="10" t="s">
        <v>71</v>
      </c>
      <c r="F535" s="668"/>
      <c r="G535" s="669"/>
      <c r="H535" s="669"/>
      <c r="I535" s="670"/>
      <c r="J535" s="10"/>
      <c r="K535" s="215">
        <f t="shared" si="85"/>
        <v>126.9</v>
      </c>
      <c r="L535" s="215">
        <f t="shared" si="85"/>
        <v>0</v>
      </c>
      <c r="M535" s="215">
        <f t="shared" si="85"/>
        <v>126.9</v>
      </c>
      <c r="N535" s="215">
        <f t="shared" si="85"/>
        <v>126.9</v>
      </c>
    </row>
    <row r="536" spans="1:14" s="116" customFormat="1" ht="54" x14ac:dyDescent="0.35">
      <c r="A536" s="115"/>
      <c r="B536" s="510" t="s">
        <v>221</v>
      </c>
      <c r="C536" s="23" t="s">
        <v>286</v>
      </c>
      <c r="D536" s="10" t="s">
        <v>37</v>
      </c>
      <c r="E536" s="10" t="s">
        <v>71</v>
      </c>
      <c r="F536" s="668" t="s">
        <v>65</v>
      </c>
      <c r="G536" s="669" t="s">
        <v>42</v>
      </c>
      <c r="H536" s="669" t="s">
        <v>43</v>
      </c>
      <c r="I536" s="670" t="s">
        <v>44</v>
      </c>
      <c r="J536" s="10"/>
      <c r="K536" s="215">
        <f t="shared" si="85"/>
        <v>126.9</v>
      </c>
      <c r="L536" s="215">
        <f t="shared" si="85"/>
        <v>0</v>
      </c>
      <c r="M536" s="215">
        <f t="shared" si="85"/>
        <v>126.9</v>
      </c>
      <c r="N536" s="215">
        <f t="shared" si="85"/>
        <v>126.9</v>
      </c>
    </row>
    <row r="537" spans="1:14" s="116" customFormat="1" ht="36" x14ac:dyDescent="0.35">
      <c r="A537" s="115"/>
      <c r="B537" s="510" t="s">
        <v>220</v>
      </c>
      <c r="C537" s="23" t="s">
        <v>286</v>
      </c>
      <c r="D537" s="10" t="s">
        <v>37</v>
      </c>
      <c r="E537" s="10" t="s">
        <v>71</v>
      </c>
      <c r="F537" s="668" t="s">
        <v>65</v>
      </c>
      <c r="G537" s="669" t="s">
        <v>89</v>
      </c>
      <c r="H537" s="669" t="s">
        <v>43</v>
      </c>
      <c r="I537" s="670" t="s">
        <v>44</v>
      </c>
      <c r="J537" s="10"/>
      <c r="K537" s="215">
        <f>K538+K541+K544</f>
        <v>126.9</v>
      </c>
      <c r="L537" s="215">
        <f>L538+L541+L544</f>
        <v>0</v>
      </c>
      <c r="M537" s="215">
        <f>M538+M541+M544</f>
        <v>126.9</v>
      </c>
      <c r="N537" s="215">
        <f>N538+N541+N544</f>
        <v>126.9</v>
      </c>
    </row>
    <row r="538" spans="1:14" s="116" customFormat="1" ht="36" x14ac:dyDescent="0.35">
      <c r="A538" s="115"/>
      <c r="B538" s="583" t="s">
        <v>351</v>
      </c>
      <c r="C538" s="23" t="s">
        <v>286</v>
      </c>
      <c r="D538" s="10" t="s">
        <v>37</v>
      </c>
      <c r="E538" s="10" t="s">
        <v>71</v>
      </c>
      <c r="F538" s="668" t="s">
        <v>65</v>
      </c>
      <c r="G538" s="669" t="s">
        <v>89</v>
      </c>
      <c r="H538" s="669" t="s">
        <v>39</v>
      </c>
      <c r="I538" s="670" t="s">
        <v>44</v>
      </c>
      <c r="J538" s="10"/>
      <c r="K538" s="215">
        <f t="shared" ref="K538:N539" si="86">K539</f>
        <v>67.900000000000006</v>
      </c>
      <c r="L538" s="215">
        <f t="shared" si="86"/>
        <v>0</v>
      </c>
      <c r="M538" s="215">
        <f t="shared" si="86"/>
        <v>67.900000000000006</v>
      </c>
      <c r="N538" s="215">
        <f t="shared" si="86"/>
        <v>67.900000000000006</v>
      </c>
    </row>
    <row r="539" spans="1:14" s="116" customFormat="1" ht="54" x14ac:dyDescent="0.35">
      <c r="A539" s="115"/>
      <c r="B539" s="583" t="s">
        <v>352</v>
      </c>
      <c r="C539" s="23" t="s">
        <v>286</v>
      </c>
      <c r="D539" s="10" t="s">
        <v>37</v>
      </c>
      <c r="E539" s="10" t="s">
        <v>71</v>
      </c>
      <c r="F539" s="668" t="s">
        <v>65</v>
      </c>
      <c r="G539" s="669" t="s">
        <v>89</v>
      </c>
      <c r="H539" s="669" t="s">
        <v>39</v>
      </c>
      <c r="I539" s="670" t="s">
        <v>105</v>
      </c>
      <c r="J539" s="10"/>
      <c r="K539" s="215">
        <f t="shared" si="86"/>
        <v>67.900000000000006</v>
      </c>
      <c r="L539" s="215">
        <f t="shared" si="86"/>
        <v>0</v>
      </c>
      <c r="M539" s="215">
        <f t="shared" si="86"/>
        <v>67.900000000000006</v>
      </c>
      <c r="N539" s="215">
        <f t="shared" si="86"/>
        <v>67.900000000000006</v>
      </c>
    </row>
    <row r="540" spans="1:14" s="116" customFormat="1" ht="54" x14ac:dyDescent="0.35">
      <c r="A540" s="115"/>
      <c r="B540" s="583" t="s">
        <v>55</v>
      </c>
      <c r="C540" s="23" t="s">
        <v>286</v>
      </c>
      <c r="D540" s="10" t="s">
        <v>37</v>
      </c>
      <c r="E540" s="10" t="s">
        <v>71</v>
      </c>
      <c r="F540" s="668" t="s">
        <v>65</v>
      </c>
      <c r="G540" s="669" t="s">
        <v>89</v>
      </c>
      <c r="H540" s="669" t="s">
        <v>39</v>
      </c>
      <c r="I540" s="670" t="s">
        <v>105</v>
      </c>
      <c r="J540" s="10" t="s">
        <v>56</v>
      </c>
      <c r="K540" s="215">
        <v>67.900000000000006</v>
      </c>
      <c r="L540" s="24">
        <f>M540-K540</f>
        <v>0</v>
      </c>
      <c r="M540" s="215">
        <v>67.900000000000006</v>
      </c>
      <c r="N540" s="215">
        <v>67.900000000000006</v>
      </c>
    </row>
    <row r="541" spans="1:14" s="116" customFormat="1" ht="36" x14ac:dyDescent="0.35">
      <c r="A541" s="115"/>
      <c r="B541" s="510" t="s">
        <v>468</v>
      </c>
      <c r="C541" s="23" t="s">
        <v>286</v>
      </c>
      <c r="D541" s="10" t="s">
        <v>37</v>
      </c>
      <c r="E541" s="10" t="s">
        <v>71</v>
      </c>
      <c r="F541" s="668" t="s">
        <v>65</v>
      </c>
      <c r="G541" s="669" t="s">
        <v>89</v>
      </c>
      <c r="H541" s="669" t="s">
        <v>63</v>
      </c>
      <c r="I541" s="670" t="s">
        <v>44</v>
      </c>
      <c r="J541" s="10"/>
      <c r="K541" s="215">
        <f t="shared" ref="K541:N542" si="87">K542</f>
        <v>14.8</v>
      </c>
      <c r="L541" s="215">
        <f t="shared" si="87"/>
        <v>0</v>
      </c>
      <c r="M541" s="215">
        <f t="shared" si="87"/>
        <v>14.8</v>
      </c>
      <c r="N541" s="215">
        <f t="shared" si="87"/>
        <v>14.8</v>
      </c>
    </row>
    <row r="542" spans="1:14" s="116" customFormat="1" ht="18" x14ac:dyDescent="0.35">
      <c r="A542" s="115"/>
      <c r="B542" s="510" t="s">
        <v>466</v>
      </c>
      <c r="C542" s="23" t="s">
        <v>286</v>
      </c>
      <c r="D542" s="10" t="s">
        <v>37</v>
      </c>
      <c r="E542" s="10" t="s">
        <v>71</v>
      </c>
      <c r="F542" s="668" t="s">
        <v>65</v>
      </c>
      <c r="G542" s="669" t="s">
        <v>89</v>
      </c>
      <c r="H542" s="669" t="s">
        <v>63</v>
      </c>
      <c r="I542" s="670" t="s">
        <v>467</v>
      </c>
      <c r="J542" s="10"/>
      <c r="K542" s="215">
        <f t="shared" si="87"/>
        <v>14.8</v>
      </c>
      <c r="L542" s="215">
        <f t="shared" si="87"/>
        <v>0</v>
      </c>
      <c r="M542" s="215">
        <f t="shared" si="87"/>
        <v>14.8</v>
      </c>
      <c r="N542" s="215">
        <f t="shared" si="87"/>
        <v>14.8</v>
      </c>
    </row>
    <row r="543" spans="1:14" s="116" customFormat="1" ht="54" x14ac:dyDescent="0.35">
      <c r="A543" s="115"/>
      <c r="B543" s="583" t="s">
        <v>55</v>
      </c>
      <c r="C543" s="23" t="s">
        <v>286</v>
      </c>
      <c r="D543" s="10" t="s">
        <v>37</v>
      </c>
      <c r="E543" s="10" t="s">
        <v>71</v>
      </c>
      <c r="F543" s="668" t="s">
        <v>65</v>
      </c>
      <c r="G543" s="669" t="s">
        <v>89</v>
      </c>
      <c r="H543" s="669" t="s">
        <v>63</v>
      </c>
      <c r="I543" s="670" t="s">
        <v>467</v>
      </c>
      <c r="J543" s="28" t="s">
        <v>56</v>
      </c>
      <c r="K543" s="215">
        <v>14.8</v>
      </c>
      <c r="L543" s="24">
        <f>M543-K543</f>
        <v>0</v>
      </c>
      <c r="M543" s="215">
        <v>14.8</v>
      </c>
      <c r="N543" s="215">
        <v>14.8</v>
      </c>
    </row>
    <row r="544" spans="1:14" s="116" customFormat="1" ht="36" x14ac:dyDescent="0.35">
      <c r="A544" s="115"/>
      <c r="B544" s="583" t="s">
        <v>471</v>
      </c>
      <c r="C544" s="23" t="s">
        <v>286</v>
      </c>
      <c r="D544" s="10" t="s">
        <v>37</v>
      </c>
      <c r="E544" s="10" t="s">
        <v>71</v>
      </c>
      <c r="F544" s="668" t="s">
        <v>65</v>
      </c>
      <c r="G544" s="669" t="s">
        <v>89</v>
      </c>
      <c r="H544" s="669" t="s">
        <v>52</v>
      </c>
      <c r="I544" s="670" t="s">
        <v>44</v>
      </c>
      <c r="J544" s="19"/>
      <c r="K544" s="215">
        <f t="shared" ref="K544:N545" si="88">K545</f>
        <v>44.2</v>
      </c>
      <c r="L544" s="215">
        <f t="shared" si="88"/>
        <v>0</v>
      </c>
      <c r="M544" s="215">
        <f t="shared" si="88"/>
        <v>44.2</v>
      </c>
      <c r="N544" s="215">
        <f t="shared" si="88"/>
        <v>44.2</v>
      </c>
    </row>
    <row r="545" spans="1:14" s="116" customFormat="1" ht="36" x14ac:dyDescent="0.35">
      <c r="A545" s="115"/>
      <c r="B545" s="584" t="s">
        <v>127</v>
      </c>
      <c r="C545" s="23" t="s">
        <v>286</v>
      </c>
      <c r="D545" s="10" t="s">
        <v>37</v>
      </c>
      <c r="E545" s="10" t="s">
        <v>71</v>
      </c>
      <c r="F545" s="668" t="s">
        <v>65</v>
      </c>
      <c r="G545" s="669" t="s">
        <v>89</v>
      </c>
      <c r="H545" s="669" t="s">
        <v>52</v>
      </c>
      <c r="I545" s="670" t="s">
        <v>90</v>
      </c>
      <c r="J545" s="19"/>
      <c r="K545" s="215">
        <f t="shared" si="88"/>
        <v>44.2</v>
      </c>
      <c r="L545" s="215">
        <f t="shared" si="88"/>
        <v>0</v>
      </c>
      <c r="M545" s="215">
        <f t="shared" si="88"/>
        <v>44.2</v>
      </c>
      <c r="N545" s="215">
        <f t="shared" si="88"/>
        <v>44.2</v>
      </c>
    </row>
    <row r="546" spans="1:14" s="116" customFormat="1" ht="54" x14ac:dyDescent="0.35">
      <c r="A546" s="115"/>
      <c r="B546" s="583" t="s">
        <v>55</v>
      </c>
      <c r="C546" s="23" t="s">
        <v>286</v>
      </c>
      <c r="D546" s="10" t="s">
        <v>37</v>
      </c>
      <c r="E546" s="10" t="s">
        <v>71</v>
      </c>
      <c r="F546" s="668" t="s">
        <v>65</v>
      </c>
      <c r="G546" s="669" t="s">
        <v>89</v>
      </c>
      <c r="H546" s="669" t="s">
        <v>52</v>
      </c>
      <c r="I546" s="670" t="s">
        <v>90</v>
      </c>
      <c r="J546" s="28" t="s">
        <v>56</v>
      </c>
      <c r="K546" s="215">
        <v>44.2</v>
      </c>
      <c r="L546" s="24">
        <f>M546-K546</f>
        <v>0</v>
      </c>
      <c r="M546" s="215">
        <v>44.2</v>
      </c>
      <c r="N546" s="215">
        <v>44.2</v>
      </c>
    </row>
    <row r="547" spans="1:14" s="7" customFormat="1" ht="18" x14ac:dyDescent="0.35">
      <c r="A547" s="115"/>
      <c r="B547" s="510" t="s">
        <v>179</v>
      </c>
      <c r="C547" s="23" t="s">
        <v>286</v>
      </c>
      <c r="D547" s="10" t="s">
        <v>224</v>
      </c>
      <c r="E547" s="10"/>
      <c r="F547" s="668"/>
      <c r="G547" s="669"/>
      <c r="H547" s="669"/>
      <c r="I547" s="670"/>
      <c r="J547" s="10"/>
      <c r="K547" s="24">
        <f>K548+K556</f>
        <v>7460.2</v>
      </c>
      <c r="L547" s="24">
        <f>L548+L556</f>
        <v>0</v>
      </c>
      <c r="M547" s="24">
        <f>M548+M556</f>
        <v>7460.2</v>
      </c>
      <c r="N547" s="24">
        <f>N548+N556</f>
        <v>7465.9</v>
      </c>
    </row>
    <row r="548" spans="1:14" s="116" customFormat="1" ht="18" x14ac:dyDescent="0.35">
      <c r="A548" s="115"/>
      <c r="B548" s="510" t="s">
        <v>350</v>
      </c>
      <c r="C548" s="23" t="s">
        <v>286</v>
      </c>
      <c r="D548" s="10" t="s">
        <v>224</v>
      </c>
      <c r="E548" s="10" t="s">
        <v>224</v>
      </c>
      <c r="F548" s="668"/>
      <c r="G548" s="669"/>
      <c r="H548" s="669"/>
      <c r="I548" s="670"/>
      <c r="J548" s="10"/>
      <c r="K548" s="24">
        <f>K549</f>
        <v>3836.5</v>
      </c>
      <c r="L548" s="24">
        <f>L549</f>
        <v>0</v>
      </c>
      <c r="M548" s="24">
        <f>M549</f>
        <v>3836.5</v>
      </c>
      <c r="N548" s="24">
        <f>N549</f>
        <v>3836.5</v>
      </c>
    </row>
    <row r="549" spans="1:14" s="116" customFormat="1" ht="54" x14ac:dyDescent="0.35">
      <c r="A549" s="115"/>
      <c r="B549" s="510" t="s">
        <v>221</v>
      </c>
      <c r="C549" s="23" t="s">
        <v>286</v>
      </c>
      <c r="D549" s="10" t="s">
        <v>224</v>
      </c>
      <c r="E549" s="10" t="s">
        <v>224</v>
      </c>
      <c r="F549" s="668" t="s">
        <v>65</v>
      </c>
      <c r="G549" s="669" t="s">
        <v>42</v>
      </c>
      <c r="H549" s="669" t="s">
        <v>43</v>
      </c>
      <c r="I549" s="670" t="s">
        <v>44</v>
      </c>
      <c r="J549" s="10"/>
      <c r="K549" s="24">
        <f t="shared" ref="K549:N551" si="89">K550</f>
        <v>3836.5</v>
      </c>
      <c r="L549" s="24">
        <f t="shared" si="89"/>
        <v>0</v>
      </c>
      <c r="M549" s="24">
        <f t="shared" si="89"/>
        <v>3836.5</v>
      </c>
      <c r="N549" s="24">
        <f t="shared" si="89"/>
        <v>3836.5</v>
      </c>
    </row>
    <row r="550" spans="1:14" s="116" customFormat="1" ht="18" x14ac:dyDescent="0.35">
      <c r="A550" s="115"/>
      <c r="B550" s="510" t="s">
        <v>222</v>
      </c>
      <c r="C550" s="23" t="s">
        <v>286</v>
      </c>
      <c r="D550" s="10" t="s">
        <v>224</v>
      </c>
      <c r="E550" s="10" t="s">
        <v>224</v>
      </c>
      <c r="F550" s="668" t="s">
        <v>65</v>
      </c>
      <c r="G550" s="669" t="s">
        <v>45</v>
      </c>
      <c r="H550" s="669" t="s">
        <v>43</v>
      </c>
      <c r="I550" s="670" t="s">
        <v>44</v>
      </c>
      <c r="J550" s="10"/>
      <c r="K550" s="24">
        <f t="shared" si="89"/>
        <v>3836.5</v>
      </c>
      <c r="L550" s="24">
        <f t="shared" si="89"/>
        <v>0</v>
      </c>
      <c r="M550" s="24">
        <f t="shared" si="89"/>
        <v>3836.5</v>
      </c>
      <c r="N550" s="24">
        <f t="shared" si="89"/>
        <v>3836.5</v>
      </c>
    </row>
    <row r="551" spans="1:14" s="116" customFormat="1" ht="72" x14ac:dyDescent="0.35">
      <c r="A551" s="115"/>
      <c r="B551" s="510" t="s">
        <v>287</v>
      </c>
      <c r="C551" s="23" t="s">
        <v>286</v>
      </c>
      <c r="D551" s="10" t="s">
        <v>224</v>
      </c>
      <c r="E551" s="10" t="s">
        <v>224</v>
      </c>
      <c r="F551" s="668" t="s">
        <v>65</v>
      </c>
      <c r="G551" s="669" t="s">
        <v>45</v>
      </c>
      <c r="H551" s="669" t="s">
        <v>37</v>
      </c>
      <c r="I551" s="670" t="s">
        <v>44</v>
      </c>
      <c r="J551" s="10"/>
      <c r="K551" s="24">
        <f t="shared" si="89"/>
        <v>3836.5</v>
      </c>
      <c r="L551" s="24">
        <f t="shared" si="89"/>
        <v>0</v>
      </c>
      <c r="M551" s="24">
        <f t="shared" si="89"/>
        <v>3836.5</v>
      </c>
      <c r="N551" s="24">
        <f t="shared" si="89"/>
        <v>3836.5</v>
      </c>
    </row>
    <row r="552" spans="1:14" s="116" customFormat="1" ht="36" x14ac:dyDescent="0.35">
      <c r="A552" s="115"/>
      <c r="B552" s="588" t="s">
        <v>464</v>
      </c>
      <c r="C552" s="23" t="s">
        <v>286</v>
      </c>
      <c r="D552" s="10" t="s">
        <v>224</v>
      </c>
      <c r="E552" s="10" t="s">
        <v>224</v>
      </c>
      <c r="F552" s="668" t="s">
        <v>65</v>
      </c>
      <c r="G552" s="669" t="s">
        <v>45</v>
      </c>
      <c r="H552" s="669" t="s">
        <v>37</v>
      </c>
      <c r="I552" s="670" t="s">
        <v>91</v>
      </c>
      <c r="J552" s="10"/>
      <c r="K552" s="24">
        <f>K553+K554+K555</f>
        <v>3836.5</v>
      </c>
      <c r="L552" s="24">
        <f>L553+L554+L555</f>
        <v>0</v>
      </c>
      <c r="M552" s="24">
        <f>M553+M554+M555</f>
        <v>3836.5</v>
      </c>
      <c r="N552" s="24">
        <f>N553+N554+N555</f>
        <v>3836.5</v>
      </c>
    </row>
    <row r="553" spans="1:14" s="116" customFormat="1" ht="108" x14ac:dyDescent="0.35">
      <c r="A553" s="11"/>
      <c r="B553" s="510" t="s">
        <v>49</v>
      </c>
      <c r="C553" s="23" t="s">
        <v>286</v>
      </c>
      <c r="D553" s="10" t="s">
        <v>224</v>
      </c>
      <c r="E553" s="10" t="s">
        <v>224</v>
      </c>
      <c r="F553" s="668" t="s">
        <v>65</v>
      </c>
      <c r="G553" s="669" t="s">
        <v>45</v>
      </c>
      <c r="H553" s="669" t="s">
        <v>37</v>
      </c>
      <c r="I553" s="670" t="s">
        <v>91</v>
      </c>
      <c r="J553" s="10" t="s">
        <v>50</v>
      </c>
      <c r="K553" s="24">
        <v>3509.5</v>
      </c>
      <c r="L553" s="24">
        <f>M553-K553</f>
        <v>0</v>
      </c>
      <c r="M553" s="24">
        <v>3509.5</v>
      </c>
      <c r="N553" s="24">
        <v>3509.5</v>
      </c>
    </row>
    <row r="554" spans="1:14" s="7" customFormat="1" ht="54" x14ac:dyDescent="0.35">
      <c r="A554" s="11"/>
      <c r="B554" s="510" t="s">
        <v>55</v>
      </c>
      <c r="C554" s="23" t="s">
        <v>286</v>
      </c>
      <c r="D554" s="10" t="s">
        <v>224</v>
      </c>
      <c r="E554" s="10" t="s">
        <v>224</v>
      </c>
      <c r="F554" s="668" t="s">
        <v>65</v>
      </c>
      <c r="G554" s="669" t="s">
        <v>45</v>
      </c>
      <c r="H554" s="669" t="s">
        <v>37</v>
      </c>
      <c r="I554" s="670" t="s">
        <v>91</v>
      </c>
      <c r="J554" s="10" t="s">
        <v>56</v>
      </c>
      <c r="K554" s="24">
        <v>324.3</v>
      </c>
      <c r="L554" s="24">
        <f>M554-K554</f>
        <v>0</v>
      </c>
      <c r="M554" s="24">
        <v>324.3</v>
      </c>
      <c r="N554" s="24">
        <v>324.3</v>
      </c>
    </row>
    <row r="555" spans="1:14" s="7" customFormat="1" ht="18" x14ac:dyDescent="0.35">
      <c r="A555" s="11"/>
      <c r="B555" s="510" t="s">
        <v>57</v>
      </c>
      <c r="C555" s="23" t="s">
        <v>286</v>
      </c>
      <c r="D555" s="10" t="s">
        <v>224</v>
      </c>
      <c r="E555" s="10" t="s">
        <v>224</v>
      </c>
      <c r="F555" s="668" t="s">
        <v>65</v>
      </c>
      <c r="G555" s="669" t="s">
        <v>45</v>
      </c>
      <c r="H555" s="669" t="s">
        <v>37</v>
      </c>
      <c r="I555" s="670" t="s">
        <v>91</v>
      </c>
      <c r="J555" s="10" t="s">
        <v>58</v>
      </c>
      <c r="K555" s="24">
        <v>2.7</v>
      </c>
      <c r="L555" s="24">
        <f>M555-K555</f>
        <v>0</v>
      </c>
      <c r="M555" s="24">
        <v>2.7</v>
      </c>
      <c r="N555" s="24">
        <v>2.7</v>
      </c>
    </row>
    <row r="556" spans="1:14" s="7" customFormat="1" ht="18" x14ac:dyDescent="0.35">
      <c r="A556" s="11"/>
      <c r="B556" s="510" t="s">
        <v>186</v>
      </c>
      <c r="C556" s="148" t="s">
        <v>286</v>
      </c>
      <c r="D556" s="10" t="s">
        <v>224</v>
      </c>
      <c r="E556" s="10" t="s">
        <v>79</v>
      </c>
      <c r="F556" s="668"/>
      <c r="G556" s="669"/>
      <c r="H556" s="669"/>
      <c r="I556" s="670"/>
      <c r="J556" s="10"/>
      <c r="K556" s="24">
        <f t="shared" ref="K556:N559" si="90">K557</f>
        <v>3623.7</v>
      </c>
      <c r="L556" s="24">
        <f t="shared" si="90"/>
        <v>0</v>
      </c>
      <c r="M556" s="24">
        <f t="shared" si="90"/>
        <v>3623.7</v>
      </c>
      <c r="N556" s="24">
        <f t="shared" si="90"/>
        <v>3629.3999999999996</v>
      </c>
    </row>
    <row r="557" spans="1:14" s="7" customFormat="1" ht="54" x14ac:dyDescent="0.35">
      <c r="A557" s="11"/>
      <c r="B557" s="510" t="s">
        <v>221</v>
      </c>
      <c r="C557" s="148" t="s">
        <v>286</v>
      </c>
      <c r="D557" s="10" t="s">
        <v>224</v>
      </c>
      <c r="E557" s="10" t="s">
        <v>79</v>
      </c>
      <c r="F557" s="668" t="s">
        <v>65</v>
      </c>
      <c r="G557" s="669" t="s">
        <v>42</v>
      </c>
      <c r="H557" s="669" t="s">
        <v>43</v>
      </c>
      <c r="I557" s="670" t="s">
        <v>44</v>
      </c>
      <c r="J557" s="10"/>
      <c r="K557" s="24">
        <f t="shared" si="90"/>
        <v>3623.7</v>
      </c>
      <c r="L557" s="24">
        <f t="shared" si="90"/>
        <v>0</v>
      </c>
      <c r="M557" s="24">
        <f t="shared" si="90"/>
        <v>3623.7</v>
      </c>
      <c r="N557" s="24">
        <f t="shared" si="90"/>
        <v>3629.3999999999996</v>
      </c>
    </row>
    <row r="558" spans="1:14" s="7" customFormat="1" ht="36" x14ac:dyDescent="0.35">
      <c r="A558" s="11"/>
      <c r="B558" s="510" t="s">
        <v>220</v>
      </c>
      <c r="C558" s="23" t="s">
        <v>286</v>
      </c>
      <c r="D558" s="10" t="s">
        <v>224</v>
      </c>
      <c r="E558" s="10" t="s">
        <v>79</v>
      </c>
      <c r="F558" s="668" t="s">
        <v>65</v>
      </c>
      <c r="G558" s="669" t="s">
        <v>89</v>
      </c>
      <c r="H558" s="669" t="s">
        <v>43</v>
      </c>
      <c r="I558" s="670" t="s">
        <v>44</v>
      </c>
      <c r="J558" s="10"/>
      <c r="K558" s="24">
        <f t="shared" si="90"/>
        <v>3623.7</v>
      </c>
      <c r="L558" s="24">
        <f t="shared" si="90"/>
        <v>0</v>
      </c>
      <c r="M558" s="24">
        <f t="shared" si="90"/>
        <v>3623.7</v>
      </c>
      <c r="N558" s="24">
        <f t="shared" si="90"/>
        <v>3629.3999999999996</v>
      </c>
    </row>
    <row r="559" spans="1:14" s="116" customFormat="1" ht="36" x14ac:dyDescent="0.35">
      <c r="A559" s="11"/>
      <c r="B559" s="510" t="s">
        <v>282</v>
      </c>
      <c r="C559" s="23" t="s">
        <v>286</v>
      </c>
      <c r="D559" s="10" t="s">
        <v>224</v>
      </c>
      <c r="E559" s="10" t="s">
        <v>79</v>
      </c>
      <c r="F559" s="668" t="s">
        <v>65</v>
      </c>
      <c r="G559" s="669" t="s">
        <v>89</v>
      </c>
      <c r="H559" s="669" t="s">
        <v>37</v>
      </c>
      <c r="I559" s="670" t="s">
        <v>44</v>
      </c>
      <c r="J559" s="10"/>
      <c r="K559" s="24">
        <f t="shared" si="90"/>
        <v>3623.7</v>
      </c>
      <c r="L559" s="24">
        <f t="shared" si="90"/>
        <v>0</v>
      </c>
      <c r="M559" s="24">
        <f t="shared" si="90"/>
        <v>3623.7</v>
      </c>
      <c r="N559" s="24">
        <f t="shared" si="90"/>
        <v>3629.3999999999996</v>
      </c>
    </row>
    <row r="560" spans="1:14" s="7" customFormat="1" ht="36" x14ac:dyDescent="0.35">
      <c r="A560" s="11"/>
      <c r="B560" s="510" t="s">
        <v>47</v>
      </c>
      <c r="C560" s="23" t="s">
        <v>286</v>
      </c>
      <c r="D560" s="10" t="s">
        <v>224</v>
      </c>
      <c r="E560" s="10" t="s">
        <v>79</v>
      </c>
      <c r="F560" s="668" t="s">
        <v>65</v>
      </c>
      <c r="G560" s="669" t="s">
        <v>89</v>
      </c>
      <c r="H560" s="669" t="s">
        <v>37</v>
      </c>
      <c r="I560" s="670" t="s">
        <v>48</v>
      </c>
      <c r="J560" s="10"/>
      <c r="K560" s="24">
        <f>K561+K562+K563</f>
        <v>3623.7</v>
      </c>
      <c r="L560" s="24">
        <f>L561+L562+L563</f>
        <v>0</v>
      </c>
      <c r="M560" s="24">
        <f>M561+M562+M563</f>
        <v>3623.7</v>
      </c>
      <c r="N560" s="24">
        <f>N561+N562+N563</f>
        <v>3629.3999999999996</v>
      </c>
    </row>
    <row r="561" spans="1:14" s="7" customFormat="1" ht="108" x14ac:dyDescent="0.35">
      <c r="A561" s="11"/>
      <c r="B561" s="510" t="s">
        <v>49</v>
      </c>
      <c r="C561" s="23" t="s">
        <v>286</v>
      </c>
      <c r="D561" s="10" t="s">
        <v>224</v>
      </c>
      <c r="E561" s="10" t="s">
        <v>79</v>
      </c>
      <c r="F561" s="668" t="s">
        <v>65</v>
      </c>
      <c r="G561" s="669" t="s">
        <v>89</v>
      </c>
      <c r="H561" s="669" t="s">
        <v>37</v>
      </c>
      <c r="I561" s="670" t="s">
        <v>48</v>
      </c>
      <c r="J561" s="10" t="s">
        <v>50</v>
      </c>
      <c r="K561" s="24">
        <v>3261.7</v>
      </c>
      <c r="L561" s="24">
        <f>M561-K561</f>
        <v>0</v>
      </c>
      <c r="M561" s="24">
        <v>3261.7</v>
      </c>
      <c r="N561" s="24">
        <v>3261.7</v>
      </c>
    </row>
    <row r="562" spans="1:14" s="7" customFormat="1" ht="54" x14ac:dyDescent="0.35">
      <c r="A562" s="11"/>
      <c r="B562" s="510" t="s">
        <v>55</v>
      </c>
      <c r="C562" s="148" t="s">
        <v>286</v>
      </c>
      <c r="D562" s="95" t="s">
        <v>224</v>
      </c>
      <c r="E562" s="95" t="s">
        <v>79</v>
      </c>
      <c r="F562" s="668" t="s">
        <v>65</v>
      </c>
      <c r="G562" s="669" t="s">
        <v>89</v>
      </c>
      <c r="H562" s="669" t="s">
        <v>37</v>
      </c>
      <c r="I562" s="670" t="s">
        <v>48</v>
      </c>
      <c r="J562" s="10" t="s">
        <v>56</v>
      </c>
      <c r="K562" s="24">
        <v>360.8</v>
      </c>
      <c r="L562" s="24">
        <f>M562-K562</f>
        <v>0</v>
      </c>
      <c r="M562" s="24">
        <v>360.8</v>
      </c>
      <c r="N562" s="24">
        <v>366.5</v>
      </c>
    </row>
    <row r="563" spans="1:14" s="7" customFormat="1" ht="18" x14ac:dyDescent="0.35">
      <c r="A563" s="11"/>
      <c r="B563" s="510" t="s">
        <v>57</v>
      </c>
      <c r="C563" s="148" t="s">
        <v>286</v>
      </c>
      <c r="D563" s="95" t="s">
        <v>224</v>
      </c>
      <c r="E563" s="95" t="s">
        <v>79</v>
      </c>
      <c r="F563" s="668" t="s">
        <v>65</v>
      </c>
      <c r="G563" s="669" t="s">
        <v>89</v>
      </c>
      <c r="H563" s="669" t="s">
        <v>37</v>
      </c>
      <c r="I563" s="670" t="s">
        <v>48</v>
      </c>
      <c r="J563" s="10" t="s">
        <v>58</v>
      </c>
      <c r="K563" s="24">
        <v>1.2</v>
      </c>
      <c r="L563" s="24">
        <f>M563-K563</f>
        <v>0</v>
      </c>
      <c r="M563" s="24">
        <v>1.2</v>
      </c>
      <c r="N563" s="24">
        <v>1.2</v>
      </c>
    </row>
    <row r="564" spans="1:14" s="7" customFormat="1" ht="18" x14ac:dyDescent="0.35">
      <c r="A564" s="11"/>
      <c r="B564" s="510"/>
      <c r="C564" s="148"/>
      <c r="D564" s="95"/>
      <c r="E564" s="95"/>
      <c r="F564" s="668"/>
      <c r="G564" s="669"/>
      <c r="H564" s="669"/>
      <c r="I564" s="670"/>
      <c r="J564" s="10"/>
      <c r="K564" s="24"/>
      <c r="L564" s="24"/>
      <c r="M564" s="24"/>
      <c r="N564" s="24"/>
    </row>
    <row r="565" spans="1:14" s="116" customFormat="1" ht="52.2" x14ac:dyDescent="0.3">
      <c r="A565" s="115">
        <v>9</v>
      </c>
      <c r="B565" s="557" t="s">
        <v>12</v>
      </c>
      <c r="C565" s="18" t="s">
        <v>294</v>
      </c>
      <c r="D565" s="19"/>
      <c r="E565" s="19"/>
      <c r="F565" s="20"/>
      <c r="G565" s="21"/>
      <c r="H565" s="21"/>
      <c r="I565" s="22"/>
      <c r="J565" s="19"/>
      <c r="K565" s="32">
        <f>K566</f>
        <v>73608.299999999988</v>
      </c>
      <c r="L565" s="32">
        <f>L566</f>
        <v>119.9</v>
      </c>
      <c r="M565" s="32">
        <f>M566</f>
        <v>73728.2</v>
      </c>
      <c r="N565" s="32">
        <f>N566</f>
        <v>75230</v>
      </c>
    </row>
    <row r="566" spans="1:14" s="7" customFormat="1" ht="18" x14ac:dyDescent="0.35">
      <c r="A566" s="11"/>
      <c r="B566" s="560" t="s">
        <v>119</v>
      </c>
      <c r="C566" s="23" t="s">
        <v>294</v>
      </c>
      <c r="D566" s="10" t="s">
        <v>104</v>
      </c>
      <c r="E566" s="10"/>
      <c r="F566" s="668"/>
      <c r="G566" s="669"/>
      <c r="H566" s="669"/>
      <c r="I566" s="670"/>
      <c r="J566" s="10"/>
      <c r="K566" s="24">
        <f>K567+K588</f>
        <v>73608.299999999988</v>
      </c>
      <c r="L566" s="24">
        <f>L567+L588</f>
        <v>119.9</v>
      </c>
      <c r="M566" s="24">
        <f>M567+M588</f>
        <v>73728.2</v>
      </c>
      <c r="N566" s="24">
        <f>N567+N588</f>
        <v>75230</v>
      </c>
    </row>
    <row r="567" spans="1:14" s="7" customFormat="1" ht="18" x14ac:dyDescent="0.35">
      <c r="A567" s="11"/>
      <c r="B567" s="510" t="s">
        <v>193</v>
      </c>
      <c r="C567" s="23" t="s">
        <v>294</v>
      </c>
      <c r="D567" s="10" t="s">
        <v>104</v>
      </c>
      <c r="E567" s="10" t="s">
        <v>52</v>
      </c>
      <c r="F567" s="668"/>
      <c r="G567" s="669"/>
      <c r="H567" s="669"/>
      <c r="I567" s="670"/>
      <c r="J567" s="10"/>
      <c r="K567" s="24">
        <f t="shared" ref="K567:N568" si="91">K568</f>
        <v>64675.099999999991</v>
      </c>
      <c r="L567" s="24">
        <f t="shared" si="91"/>
        <v>119.9</v>
      </c>
      <c r="M567" s="24">
        <f t="shared" si="91"/>
        <v>64794.999999999993</v>
      </c>
      <c r="N567" s="24">
        <f t="shared" si="91"/>
        <v>66296.800000000003</v>
      </c>
    </row>
    <row r="568" spans="1:14" s="7" customFormat="1" ht="54" x14ac:dyDescent="0.35">
      <c r="A568" s="11"/>
      <c r="B568" s="517" t="s">
        <v>230</v>
      </c>
      <c r="C568" s="23" t="s">
        <v>294</v>
      </c>
      <c r="D568" s="10" t="s">
        <v>104</v>
      </c>
      <c r="E568" s="10" t="s">
        <v>52</v>
      </c>
      <c r="F568" s="668" t="s">
        <v>79</v>
      </c>
      <c r="G568" s="669" t="s">
        <v>42</v>
      </c>
      <c r="H568" s="669" t="s">
        <v>43</v>
      </c>
      <c r="I568" s="670" t="s">
        <v>44</v>
      </c>
      <c r="J568" s="10"/>
      <c r="K568" s="24">
        <f t="shared" si="91"/>
        <v>64675.099999999991</v>
      </c>
      <c r="L568" s="24">
        <f t="shared" si="91"/>
        <v>119.9</v>
      </c>
      <c r="M568" s="24">
        <f t="shared" si="91"/>
        <v>64794.999999999993</v>
      </c>
      <c r="N568" s="24">
        <f t="shared" si="91"/>
        <v>66296.800000000003</v>
      </c>
    </row>
    <row r="569" spans="1:14" s="7" customFormat="1" ht="36" x14ac:dyDescent="0.35">
      <c r="A569" s="11"/>
      <c r="B569" s="510" t="s">
        <v>339</v>
      </c>
      <c r="C569" s="23" t="s">
        <v>294</v>
      </c>
      <c r="D569" s="10" t="s">
        <v>104</v>
      </c>
      <c r="E569" s="10" t="s">
        <v>52</v>
      </c>
      <c r="F569" s="668" t="s">
        <v>79</v>
      </c>
      <c r="G569" s="669" t="s">
        <v>45</v>
      </c>
      <c r="H569" s="669" t="s">
        <v>43</v>
      </c>
      <c r="I569" s="670" t="s">
        <v>44</v>
      </c>
      <c r="J569" s="10"/>
      <c r="K569" s="24">
        <f>K570+K585</f>
        <v>64675.099999999991</v>
      </c>
      <c r="L569" s="24">
        <f>L570+L585</f>
        <v>119.9</v>
      </c>
      <c r="M569" s="24">
        <f>M570+M585</f>
        <v>64794.999999999993</v>
      </c>
      <c r="N569" s="24">
        <f>N570+N585</f>
        <v>66296.800000000003</v>
      </c>
    </row>
    <row r="570" spans="1:14" s="116" customFormat="1" ht="36" x14ac:dyDescent="0.35">
      <c r="A570" s="11"/>
      <c r="B570" s="510" t="s">
        <v>285</v>
      </c>
      <c r="C570" s="23" t="s">
        <v>294</v>
      </c>
      <c r="D570" s="10" t="s">
        <v>104</v>
      </c>
      <c r="E570" s="10" t="s">
        <v>52</v>
      </c>
      <c r="F570" s="668" t="s">
        <v>79</v>
      </c>
      <c r="G570" s="669" t="s">
        <v>45</v>
      </c>
      <c r="H570" s="669" t="s">
        <v>37</v>
      </c>
      <c r="I570" s="670" t="s">
        <v>44</v>
      </c>
      <c r="J570" s="10"/>
      <c r="K570" s="24">
        <f>K571+K574+K579+K582</f>
        <v>64669.899999999994</v>
      </c>
      <c r="L570" s="24">
        <f>L571+L574+L579+L582+L577</f>
        <v>119.9</v>
      </c>
      <c r="M570" s="24">
        <f t="shared" ref="M570:N570" si="92">M571+M574+M579+M582+M577</f>
        <v>64789.799999999996</v>
      </c>
      <c r="N570" s="24">
        <f t="shared" si="92"/>
        <v>66291.600000000006</v>
      </c>
    </row>
    <row r="571" spans="1:14" s="116" customFormat="1" ht="144" x14ac:dyDescent="0.35">
      <c r="A571" s="11"/>
      <c r="B571" s="585" t="s">
        <v>357</v>
      </c>
      <c r="C571" s="23" t="s">
        <v>294</v>
      </c>
      <c r="D571" s="10" t="s">
        <v>104</v>
      </c>
      <c r="E571" s="10" t="s">
        <v>52</v>
      </c>
      <c r="F571" s="668" t="s">
        <v>79</v>
      </c>
      <c r="G571" s="669" t="s">
        <v>45</v>
      </c>
      <c r="H571" s="669" t="s">
        <v>37</v>
      </c>
      <c r="I571" s="670" t="s">
        <v>542</v>
      </c>
      <c r="J571" s="10"/>
      <c r="K571" s="24">
        <f>SUM(K572:K573)</f>
        <v>37153.799999999996</v>
      </c>
      <c r="L571" s="24">
        <f>SUM(L572:L573)</f>
        <v>0</v>
      </c>
      <c r="M571" s="24">
        <f>SUM(M572:M573)</f>
        <v>37153.799999999996</v>
      </c>
      <c r="N571" s="24">
        <f>SUM(N572:N573)</f>
        <v>38640.6</v>
      </c>
    </row>
    <row r="572" spans="1:14" s="116" customFormat="1" ht="54" x14ac:dyDescent="0.35">
      <c r="A572" s="11"/>
      <c r="B572" s="510" t="s">
        <v>55</v>
      </c>
      <c r="C572" s="23" t="s">
        <v>294</v>
      </c>
      <c r="D572" s="10" t="s">
        <v>104</v>
      </c>
      <c r="E572" s="10" t="s">
        <v>52</v>
      </c>
      <c r="F572" s="668" t="s">
        <v>79</v>
      </c>
      <c r="G572" s="669" t="s">
        <v>45</v>
      </c>
      <c r="H572" s="669" t="s">
        <v>37</v>
      </c>
      <c r="I572" s="670" t="s">
        <v>542</v>
      </c>
      <c r="J572" s="10" t="s">
        <v>56</v>
      </c>
      <c r="K572" s="24">
        <v>185.7</v>
      </c>
      <c r="L572" s="24">
        <f>M572-K572</f>
        <v>0</v>
      </c>
      <c r="M572" s="24">
        <v>185.7</v>
      </c>
      <c r="N572" s="24">
        <v>193.2</v>
      </c>
    </row>
    <row r="573" spans="1:14" s="116" customFormat="1" ht="36" x14ac:dyDescent="0.35">
      <c r="A573" s="11"/>
      <c r="B573" s="510" t="s">
        <v>120</v>
      </c>
      <c r="C573" s="23" t="s">
        <v>294</v>
      </c>
      <c r="D573" s="10" t="s">
        <v>104</v>
      </c>
      <c r="E573" s="10" t="s">
        <v>52</v>
      </c>
      <c r="F573" s="668" t="s">
        <v>79</v>
      </c>
      <c r="G573" s="669" t="s">
        <v>45</v>
      </c>
      <c r="H573" s="669" t="s">
        <v>37</v>
      </c>
      <c r="I573" s="670" t="s">
        <v>542</v>
      </c>
      <c r="J573" s="10" t="s">
        <v>121</v>
      </c>
      <c r="K573" s="24">
        <v>36968.1</v>
      </c>
      <c r="L573" s="24">
        <f>M573-K573</f>
        <v>0</v>
      </c>
      <c r="M573" s="24">
        <v>36968.1</v>
      </c>
      <c r="N573" s="24">
        <v>38447.4</v>
      </c>
    </row>
    <row r="574" spans="1:14" s="116" customFormat="1" ht="90" x14ac:dyDescent="0.35">
      <c r="A574" s="11"/>
      <c r="B574" s="510" t="s">
        <v>359</v>
      </c>
      <c r="C574" s="23" t="s">
        <v>294</v>
      </c>
      <c r="D574" s="10" t="s">
        <v>104</v>
      </c>
      <c r="E574" s="10" t="s">
        <v>52</v>
      </c>
      <c r="F574" s="668" t="s">
        <v>79</v>
      </c>
      <c r="G574" s="669" t="s">
        <v>45</v>
      </c>
      <c r="H574" s="669" t="s">
        <v>37</v>
      </c>
      <c r="I574" s="670" t="s">
        <v>544</v>
      </c>
      <c r="J574" s="10"/>
      <c r="K574" s="24">
        <f>SUM(K575:K576)</f>
        <v>375.7</v>
      </c>
      <c r="L574" s="24">
        <f>SUM(L575:L576)</f>
        <v>0</v>
      </c>
      <c r="M574" s="24">
        <f>SUM(M575:M576)</f>
        <v>375.7</v>
      </c>
      <c r="N574" s="24">
        <f>SUM(N575:N576)</f>
        <v>390.7</v>
      </c>
    </row>
    <row r="575" spans="1:14" s="116" customFormat="1" ht="54" x14ac:dyDescent="0.35">
      <c r="A575" s="11"/>
      <c r="B575" s="510" t="s">
        <v>55</v>
      </c>
      <c r="C575" s="23" t="s">
        <v>294</v>
      </c>
      <c r="D575" s="10" t="s">
        <v>104</v>
      </c>
      <c r="E575" s="10" t="s">
        <v>52</v>
      </c>
      <c r="F575" s="668" t="s">
        <v>79</v>
      </c>
      <c r="G575" s="669" t="s">
        <v>45</v>
      </c>
      <c r="H575" s="669" t="s">
        <v>37</v>
      </c>
      <c r="I575" s="670" t="s">
        <v>544</v>
      </c>
      <c r="J575" s="10" t="s">
        <v>56</v>
      </c>
      <c r="K575" s="24">
        <v>1.9</v>
      </c>
      <c r="L575" s="24">
        <f>M575-K575</f>
        <v>0</v>
      </c>
      <c r="M575" s="24">
        <v>1.9</v>
      </c>
      <c r="N575" s="24">
        <v>1.9</v>
      </c>
    </row>
    <row r="576" spans="1:14" s="116" customFormat="1" ht="36" x14ac:dyDescent="0.35">
      <c r="A576" s="11"/>
      <c r="B576" s="510" t="s">
        <v>120</v>
      </c>
      <c r="C576" s="23" t="s">
        <v>294</v>
      </c>
      <c r="D576" s="10" t="s">
        <v>104</v>
      </c>
      <c r="E576" s="10" t="s">
        <v>52</v>
      </c>
      <c r="F576" s="668" t="s">
        <v>79</v>
      </c>
      <c r="G576" s="669" t="s">
        <v>45</v>
      </c>
      <c r="H576" s="669" t="s">
        <v>37</v>
      </c>
      <c r="I576" s="670" t="s">
        <v>544</v>
      </c>
      <c r="J576" s="10" t="s">
        <v>121</v>
      </c>
      <c r="K576" s="24">
        <v>373.8</v>
      </c>
      <c r="L576" s="24">
        <f>M576-K576</f>
        <v>0</v>
      </c>
      <c r="M576" s="24">
        <v>373.8</v>
      </c>
      <c r="N576" s="24">
        <v>388.8</v>
      </c>
    </row>
    <row r="577" spans="1:14" s="116" customFormat="1" ht="144" x14ac:dyDescent="0.35">
      <c r="A577" s="11"/>
      <c r="B577" s="675" t="s">
        <v>755</v>
      </c>
      <c r="C577" s="676" t="s">
        <v>294</v>
      </c>
      <c r="D577" s="677" t="s">
        <v>104</v>
      </c>
      <c r="E577" s="677" t="s">
        <v>52</v>
      </c>
      <c r="F577" s="678" t="s">
        <v>79</v>
      </c>
      <c r="G577" s="679" t="s">
        <v>45</v>
      </c>
      <c r="H577" s="679" t="s">
        <v>37</v>
      </c>
      <c r="I577" s="680" t="s">
        <v>756</v>
      </c>
      <c r="J577" s="10"/>
      <c r="K577" s="24"/>
      <c r="L577" s="24">
        <f>L578</f>
        <v>119.9</v>
      </c>
      <c r="M577" s="24">
        <f>M578</f>
        <v>119.9</v>
      </c>
      <c r="N577" s="24">
        <f>N578</f>
        <v>119.9</v>
      </c>
    </row>
    <row r="578" spans="1:14" s="116" customFormat="1" ht="36" x14ac:dyDescent="0.35">
      <c r="A578" s="11"/>
      <c r="B578" s="675" t="s">
        <v>120</v>
      </c>
      <c r="C578" s="676" t="s">
        <v>294</v>
      </c>
      <c r="D578" s="677" t="s">
        <v>104</v>
      </c>
      <c r="E578" s="677" t="s">
        <v>52</v>
      </c>
      <c r="F578" s="678" t="s">
        <v>79</v>
      </c>
      <c r="G578" s="679" t="s">
        <v>45</v>
      </c>
      <c r="H578" s="679" t="s">
        <v>37</v>
      </c>
      <c r="I578" s="680" t="s">
        <v>756</v>
      </c>
      <c r="J578" s="10" t="s">
        <v>121</v>
      </c>
      <c r="K578" s="24"/>
      <c r="L578" s="24">
        <f>M578-K578</f>
        <v>119.9</v>
      </c>
      <c r="M578" s="24">
        <v>119.9</v>
      </c>
      <c r="N578" s="24">
        <v>119.9</v>
      </c>
    </row>
    <row r="579" spans="1:14" s="116" customFormat="1" ht="90" x14ac:dyDescent="0.35">
      <c r="A579" s="11"/>
      <c r="B579" s="510" t="s">
        <v>358</v>
      </c>
      <c r="C579" s="23" t="s">
        <v>294</v>
      </c>
      <c r="D579" s="10" t="s">
        <v>104</v>
      </c>
      <c r="E579" s="10" t="s">
        <v>52</v>
      </c>
      <c r="F579" s="668" t="s">
        <v>79</v>
      </c>
      <c r="G579" s="669" t="s">
        <v>45</v>
      </c>
      <c r="H579" s="669" t="s">
        <v>37</v>
      </c>
      <c r="I579" s="670" t="s">
        <v>543</v>
      </c>
      <c r="J579" s="10"/>
      <c r="K579" s="24">
        <f>SUM(K580:K581)</f>
        <v>26783.300000000003</v>
      </c>
      <c r="L579" s="24">
        <f>SUM(L580:L581)</f>
        <v>0</v>
      </c>
      <c r="M579" s="24">
        <f>SUM(M580:M581)</f>
        <v>26783.300000000003</v>
      </c>
      <c r="N579" s="24">
        <f>SUM(N580:N581)</f>
        <v>26783.300000000003</v>
      </c>
    </row>
    <row r="580" spans="1:14" s="116" customFormat="1" ht="54" x14ac:dyDescent="0.35">
      <c r="A580" s="11"/>
      <c r="B580" s="510" t="s">
        <v>55</v>
      </c>
      <c r="C580" s="23" t="s">
        <v>294</v>
      </c>
      <c r="D580" s="10" t="s">
        <v>104</v>
      </c>
      <c r="E580" s="10" t="s">
        <v>52</v>
      </c>
      <c r="F580" s="668" t="s">
        <v>79</v>
      </c>
      <c r="G580" s="669" t="s">
        <v>45</v>
      </c>
      <c r="H580" s="669" t="s">
        <v>37</v>
      </c>
      <c r="I580" s="670" t="s">
        <v>543</v>
      </c>
      <c r="J580" s="10" t="s">
        <v>56</v>
      </c>
      <c r="K580" s="24">
        <v>133.9</v>
      </c>
      <c r="L580" s="24">
        <f>M580-K580</f>
        <v>0</v>
      </c>
      <c r="M580" s="24">
        <v>133.9</v>
      </c>
      <c r="N580" s="24">
        <v>133.9</v>
      </c>
    </row>
    <row r="581" spans="1:14" s="116" customFormat="1" ht="36" x14ac:dyDescent="0.35">
      <c r="A581" s="11"/>
      <c r="B581" s="510" t="s">
        <v>120</v>
      </c>
      <c r="C581" s="23" t="s">
        <v>294</v>
      </c>
      <c r="D581" s="10" t="s">
        <v>104</v>
      </c>
      <c r="E581" s="10" t="s">
        <v>52</v>
      </c>
      <c r="F581" s="668" t="s">
        <v>79</v>
      </c>
      <c r="G581" s="669" t="s">
        <v>45</v>
      </c>
      <c r="H581" s="669" t="s">
        <v>37</v>
      </c>
      <c r="I581" s="670" t="s">
        <v>543</v>
      </c>
      <c r="J581" s="10" t="s">
        <v>121</v>
      </c>
      <c r="K581" s="24">
        <v>26649.4</v>
      </c>
      <c r="L581" s="24">
        <f>M581-K581</f>
        <v>0</v>
      </c>
      <c r="M581" s="24">
        <v>26649.4</v>
      </c>
      <c r="N581" s="24">
        <v>26649.4</v>
      </c>
    </row>
    <row r="582" spans="1:14" s="116" customFormat="1" ht="108" x14ac:dyDescent="0.35">
      <c r="A582" s="11"/>
      <c r="B582" s="510" t="s">
        <v>365</v>
      </c>
      <c r="C582" s="23" t="s">
        <v>294</v>
      </c>
      <c r="D582" s="10" t="s">
        <v>104</v>
      </c>
      <c r="E582" s="10" t="s">
        <v>52</v>
      </c>
      <c r="F582" s="668" t="s">
        <v>79</v>
      </c>
      <c r="G582" s="669" t="s">
        <v>45</v>
      </c>
      <c r="H582" s="669" t="s">
        <v>37</v>
      </c>
      <c r="I582" s="670" t="s">
        <v>545</v>
      </c>
      <c r="J582" s="10"/>
      <c r="K582" s="24">
        <f>SUM(K583:K584)</f>
        <v>357.1</v>
      </c>
      <c r="L582" s="24">
        <f>SUM(L583:L584)</f>
        <v>0</v>
      </c>
      <c r="M582" s="24">
        <f>SUM(M583:M584)</f>
        <v>357.1</v>
      </c>
      <c r="N582" s="24">
        <f>SUM(N583:N584)</f>
        <v>357.1</v>
      </c>
    </row>
    <row r="583" spans="1:14" s="116" customFormat="1" ht="54" x14ac:dyDescent="0.35">
      <c r="A583" s="11"/>
      <c r="B583" s="510" t="s">
        <v>55</v>
      </c>
      <c r="C583" s="23" t="s">
        <v>294</v>
      </c>
      <c r="D583" s="10" t="s">
        <v>104</v>
      </c>
      <c r="E583" s="10" t="s">
        <v>52</v>
      </c>
      <c r="F583" s="668" t="s">
        <v>79</v>
      </c>
      <c r="G583" s="669" t="s">
        <v>45</v>
      </c>
      <c r="H583" s="669" t="s">
        <v>37</v>
      </c>
      <c r="I583" s="670" t="s">
        <v>545</v>
      </c>
      <c r="J583" s="10" t="s">
        <v>56</v>
      </c>
      <c r="K583" s="24">
        <v>1.8</v>
      </c>
      <c r="L583" s="24">
        <f>M583-K583</f>
        <v>0</v>
      </c>
      <c r="M583" s="24">
        <v>1.8</v>
      </c>
      <c r="N583" s="24">
        <v>1.8</v>
      </c>
    </row>
    <row r="584" spans="1:14" s="116" customFormat="1" ht="36" x14ac:dyDescent="0.35">
      <c r="A584" s="11"/>
      <c r="B584" s="510" t="s">
        <v>120</v>
      </c>
      <c r="C584" s="23" t="s">
        <v>294</v>
      </c>
      <c r="D584" s="10" t="s">
        <v>104</v>
      </c>
      <c r="E584" s="10" t="s">
        <v>52</v>
      </c>
      <c r="F584" s="668" t="s">
        <v>79</v>
      </c>
      <c r="G584" s="669" t="s">
        <v>45</v>
      </c>
      <c r="H584" s="669" t="s">
        <v>37</v>
      </c>
      <c r="I584" s="670" t="s">
        <v>545</v>
      </c>
      <c r="J584" s="10" t="s">
        <v>121</v>
      </c>
      <c r="K584" s="24">
        <v>355.3</v>
      </c>
      <c r="L584" s="24">
        <f>M584-K584</f>
        <v>0</v>
      </c>
      <c r="M584" s="24">
        <v>355.3</v>
      </c>
      <c r="N584" s="24">
        <v>355.3</v>
      </c>
    </row>
    <row r="585" spans="1:14" s="116" customFormat="1" ht="90" x14ac:dyDescent="0.35">
      <c r="A585" s="11"/>
      <c r="B585" s="510" t="s">
        <v>300</v>
      </c>
      <c r="C585" s="23" t="s">
        <v>294</v>
      </c>
      <c r="D585" s="10" t="s">
        <v>104</v>
      </c>
      <c r="E585" s="10" t="s">
        <v>52</v>
      </c>
      <c r="F585" s="668" t="s">
        <v>79</v>
      </c>
      <c r="G585" s="669" t="s">
        <v>45</v>
      </c>
      <c r="H585" s="669" t="s">
        <v>39</v>
      </c>
      <c r="I585" s="670" t="s">
        <v>44</v>
      </c>
      <c r="J585" s="10"/>
      <c r="K585" s="24">
        <f t="shared" ref="K585:N586" si="93">K586</f>
        <v>5.2</v>
      </c>
      <c r="L585" s="24">
        <f t="shared" si="93"/>
        <v>0</v>
      </c>
      <c r="M585" s="24">
        <f t="shared" si="93"/>
        <v>5.2</v>
      </c>
      <c r="N585" s="24">
        <f t="shared" si="93"/>
        <v>5.2</v>
      </c>
    </row>
    <row r="586" spans="1:14" s="116" customFormat="1" ht="198" x14ac:dyDescent="0.35">
      <c r="A586" s="11"/>
      <c r="B586" s="510" t="s">
        <v>729</v>
      </c>
      <c r="C586" s="23" t="s">
        <v>294</v>
      </c>
      <c r="D586" s="10" t="s">
        <v>104</v>
      </c>
      <c r="E586" s="10" t="s">
        <v>52</v>
      </c>
      <c r="F586" s="668" t="s">
        <v>79</v>
      </c>
      <c r="G586" s="669" t="s">
        <v>45</v>
      </c>
      <c r="H586" s="669" t="s">
        <v>39</v>
      </c>
      <c r="I586" s="670" t="s">
        <v>600</v>
      </c>
      <c r="J586" s="10"/>
      <c r="K586" s="24">
        <f t="shared" si="93"/>
        <v>5.2</v>
      </c>
      <c r="L586" s="24">
        <f t="shared" si="93"/>
        <v>0</v>
      </c>
      <c r="M586" s="24">
        <f t="shared" si="93"/>
        <v>5.2</v>
      </c>
      <c r="N586" s="24">
        <f t="shared" si="93"/>
        <v>5.2</v>
      </c>
    </row>
    <row r="587" spans="1:14" s="116" customFormat="1" ht="36" x14ac:dyDescent="0.35">
      <c r="A587" s="11"/>
      <c r="B587" s="510" t="s">
        <v>120</v>
      </c>
      <c r="C587" s="23" t="s">
        <v>294</v>
      </c>
      <c r="D587" s="10" t="s">
        <v>104</v>
      </c>
      <c r="E587" s="10" t="s">
        <v>52</v>
      </c>
      <c r="F587" s="668" t="s">
        <v>79</v>
      </c>
      <c r="G587" s="669" t="s">
        <v>45</v>
      </c>
      <c r="H587" s="669" t="s">
        <v>39</v>
      </c>
      <c r="I587" s="670" t="s">
        <v>600</v>
      </c>
      <c r="J587" s="10" t="s">
        <v>121</v>
      </c>
      <c r="K587" s="24">
        <v>5.2</v>
      </c>
      <c r="L587" s="24">
        <f>M587-K587</f>
        <v>0</v>
      </c>
      <c r="M587" s="24">
        <v>5.2</v>
      </c>
      <c r="N587" s="24">
        <v>5.2</v>
      </c>
    </row>
    <row r="588" spans="1:14" s="7" customFormat="1" ht="36" x14ac:dyDescent="0.35">
      <c r="A588" s="11"/>
      <c r="B588" s="510" t="s">
        <v>296</v>
      </c>
      <c r="C588" s="23" t="s">
        <v>294</v>
      </c>
      <c r="D588" s="10" t="s">
        <v>104</v>
      </c>
      <c r="E588" s="10" t="s">
        <v>81</v>
      </c>
      <c r="F588" s="668"/>
      <c r="G588" s="669"/>
      <c r="H588" s="669"/>
      <c r="I588" s="670"/>
      <c r="J588" s="10"/>
      <c r="K588" s="24">
        <f t="shared" ref="K588:N590" si="94">K589</f>
        <v>8933.2000000000007</v>
      </c>
      <c r="L588" s="24">
        <f t="shared" si="94"/>
        <v>0</v>
      </c>
      <c r="M588" s="24">
        <f t="shared" si="94"/>
        <v>8933.2000000000007</v>
      </c>
      <c r="N588" s="24">
        <f t="shared" si="94"/>
        <v>8933.2000000000007</v>
      </c>
    </row>
    <row r="589" spans="1:14" s="7" customFormat="1" ht="54" x14ac:dyDescent="0.35">
      <c r="A589" s="11"/>
      <c r="B589" s="517" t="s">
        <v>230</v>
      </c>
      <c r="C589" s="23" t="s">
        <v>294</v>
      </c>
      <c r="D589" s="10" t="s">
        <v>104</v>
      </c>
      <c r="E589" s="10" t="s">
        <v>81</v>
      </c>
      <c r="F589" s="668" t="s">
        <v>79</v>
      </c>
      <c r="G589" s="669" t="s">
        <v>42</v>
      </c>
      <c r="H589" s="669" t="s">
        <v>43</v>
      </c>
      <c r="I589" s="670" t="s">
        <v>44</v>
      </c>
      <c r="J589" s="10"/>
      <c r="K589" s="24">
        <f t="shared" si="94"/>
        <v>8933.2000000000007</v>
      </c>
      <c r="L589" s="24">
        <f t="shared" si="94"/>
        <v>0</v>
      </c>
      <c r="M589" s="24">
        <f t="shared" si="94"/>
        <v>8933.2000000000007</v>
      </c>
      <c r="N589" s="24">
        <f t="shared" si="94"/>
        <v>8933.2000000000007</v>
      </c>
    </row>
    <row r="590" spans="1:14" s="7" customFormat="1" ht="36" x14ac:dyDescent="0.35">
      <c r="A590" s="11"/>
      <c r="B590" s="510" t="s">
        <v>339</v>
      </c>
      <c r="C590" s="23" t="s">
        <v>294</v>
      </c>
      <c r="D590" s="10" t="s">
        <v>104</v>
      </c>
      <c r="E590" s="10" t="s">
        <v>81</v>
      </c>
      <c r="F590" s="668" t="s">
        <v>79</v>
      </c>
      <c r="G590" s="669" t="s">
        <v>45</v>
      </c>
      <c r="H590" s="669" t="s">
        <v>43</v>
      </c>
      <c r="I590" s="670" t="s">
        <v>44</v>
      </c>
      <c r="J590" s="10"/>
      <c r="K590" s="24">
        <f t="shared" si="94"/>
        <v>8933.2000000000007</v>
      </c>
      <c r="L590" s="24">
        <f t="shared" si="94"/>
        <v>0</v>
      </c>
      <c r="M590" s="24">
        <f t="shared" si="94"/>
        <v>8933.2000000000007</v>
      </c>
      <c r="N590" s="24">
        <f t="shared" si="94"/>
        <v>8933.2000000000007</v>
      </c>
    </row>
    <row r="591" spans="1:14" s="116" customFormat="1" ht="36" x14ac:dyDescent="0.35">
      <c r="A591" s="11"/>
      <c r="B591" s="510" t="s">
        <v>229</v>
      </c>
      <c r="C591" s="23" t="s">
        <v>294</v>
      </c>
      <c r="D591" s="10" t="s">
        <v>104</v>
      </c>
      <c r="E591" s="10" t="s">
        <v>81</v>
      </c>
      <c r="F591" s="668" t="s">
        <v>79</v>
      </c>
      <c r="G591" s="669" t="s">
        <v>45</v>
      </c>
      <c r="H591" s="669" t="s">
        <v>63</v>
      </c>
      <c r="I591" s="670" t="s">
        <v>44</v>
      </c>
      <c r="J591" s="10"/>
      <c r="K591" s="24">
        <f>K592+K595+K598</f>
        <v>8933.2000000000007</v>
      </c>
      <c r="L591" s="24">
        <f>L592+L595+L598</f>
        <v>0</v>
      </c>
      <c r="M591" s="24">
        <f>M592+M595+M598</f>
        <v>8933.2000000000007</v>
      </c>
      <c r="N591" s="24">
        <f>N592+N595+N598</f>
        <v>8933.2000000000007</v>
      </c>
    </row>
    <row r="592" spans="1:14" s="116" customFormat="1" ht="252" x14ac:dyDescent="0.35">
      <c r="A592" s="11"/>
      <c r="B592" s="579" t="s">
        <v>232</v>
      </c>
      <c r="C592" s="23" t="s">
        <v>294</v>
      </c>
      <c r="D592" s="10" t="s">
        <v>104</v>
      </c>
      <c r="E592" s="10" t="s">
        <v>81</v>
      </c>
      <c r="F592" s="668" t="s">
        <v>79</v>
      </c>
      <c r="G592" s="669" t="s">
        <v>45</v>
      </c>
      <c r="H592" s="669" t="s">
        <v>63</v>
      </c>
      <c r="I592" s="670" t="s">
        <v>546</v>
      </c>
      <c r="J592" s="10"/>
      <c r="K592" s="24">
        <f>K593+K594</f>
        <v>1017.2</v>
      </c>
      <c r="L592" s="24">
        <f>L593+L594</f>
        <v>0</v>
      </c>
      <c r="M592" s="24">
        <f>M593+M594</f>
        <v>1017.2</v>
      </c>
      <c r="N592" s="24">
        <f>N593+N594</f>
        <v>1017.2</v>
      </c>
    </row>
    <row r="593" spans="1:14" s="116" customFormat="1" ht="108" x14ac:dyDescent="0.35">
      <c r="A593" s="11"/>
      <c r="B593" s="510" t="s">
        <v>49</v>
      </c>
      <c r="C593" s="23" t="s">
        <v>294</v>
      </c>
      <c r="D593" s="10" t="s">
        <v>104</v>
      </c>
      <c r="E593" s="10" t="s">
        <v>81</v>
      </c>
      <c r="F593" s="668" t="s">
        <v>79</v>
      </c>
      <c r="G593" s="669" t="s">
        <v>45</v>
      </c>
      <c r="H593" s="669" t="s">
        <v>63</v>
      </c>
      <c r="I593" s="670" t="s">
        <v>546</v>
      </c>
      <c r="J593" s="10" t="s">
        <v>50</v>
      </c>
      <c r="K593" s="24">
        <v>855.2</v>
      </c>
      <c r="L593" s="24">
        <f>M593-K593</f>
        <v>0</v>
      </c>
      <c r="M593" s="24">
        <v>855.2</v>
      </c>
      <c r="N593" s="24">
        <v>855.2</v>
      </c>
    </row>
    <row r="594" spans="1:14" s="116" customFormat="1" ht="54" x14ac:dyDescent="0.35">
      <c r="A594" s="11"/>
      <c r="B594" s="510" t="s">
        <v>55</v>
      </c>
      <c r="C594" s="23" t="s">
        <v>294</v>
      </c>
      <c r="D594" s="10" t="s">
        <v>104</v>
      </c>
      <c r="E594" s="10" t="s">
        <v>81</v>
      </c>
      <c r="F594" s="668" t="s">
        <v>79</v>
      </c>
      <c r="G594" s="669" t="s">
        <v>45</v>
      </c>
      <c r="H594" s="669" t="s">
        <v>63</v>
      </c>
      <c r="I594" s="670" t="s">
        <v>546</v>
      </c>
      <c r="J594" s="10" t="s">
        <v>56</v>
      </c>
      <c r="K594" s="24">
        <v>162</v>
      </c>
      <c r="L594" s="24">
        <f>M594-K594</f>
        <v>0</v>
      </c>
      <c r="M594" s="24">
        <v>162</v>
      </c>
      <c r="N594" s="24">
        <v>162</v>
      </c>
    </row>
    <row r="595" spans="1:14" s="116" customFormat="1" ht="108" x14ac:dyDescent="0.35">
      <c r="A595" s="11"/>
      <c r="B595" s="510" t="s">
        <v>459</v>
      </c>
      <c r="C595" s="23" t="s">
        <v>294</v>
      </c>
      <c r="D595" s="10" t="s">
        <v>104</v>
      </c>
      <c r="E595" s="10" t="s">
        <v>81</v>
      </c>
      <c r="F595" s="668" t="s">
        <v>79</v>
      </c>
      <c r="G595" s="669" t="s">
        <v>45</v>
      </c>
      <c r="H595" s="669" t="s">
        <v>63</v>
      </c>
      <c r="I595" s="670" t="s">
        <v>540</v>
      </c>
      <c r="J595" s="10"/>
      <c r="K595" s="24">
        <f>K596+K597</f>
        <v>749.3</v>
      </c>
      <c r="L595" s="24">
        <f>L596+L597</f>
        <v>0</v>
      </c>
      <c r="M595" s="24">
        <f>M596+M597</f>
        <v>749.3</v>
      </c>
      <c r="N595" s="24">
        <f>N596+N597</f>
        <v>749.3</v>
      </c>
    </row>
    <row r="596" spans="1:14" s="116" customFormat="1" ht="108" x14ac:dyDescent="0.35">
      <c r="A596" s="11"/>
      <c r="B596" s="510" t="s">
        <v>49</v>
      </c>
      <c r="C596" s="23" t="s">
        <v>294</v>
      </c>
      <c r="D596" s="10" t="s">
        <v>104</v>
      </c>
      <c r="E596" s="10" t="s">
        <v>81</v>
      </c>
      <c r="F596" s="668" t="s">
        <v>79</v>
      </c>
      <c r="G596" s="669" t="s">
        <v>45</v>
      </c>
      <c r="H596" s="669" t="s">
        <v>63</v>
      </c>
      <c r="I596" s="670" t="s">
        <v>540</v>
      </c>
      <c r="J596" s="10" t="s">
        <v>50</v>
      </c>
      <c r="K596" s="24">
        <v>668.3</v>
      </c>
      <c r="L596" s="24">
        <f>M596-K596</f>
        <v>0</v>
      </c>
      <c r="M596" s="24">
        <v>668.3</v>
      </c>
      <c r="N596" s="24">
        <v>668.3</v>
      </c>
    </row>
    <row r="597" spans="1:14" s="116" customFormat="1" ht="54" x14ac:dyDescent="0.35">
      <c r="A597" s="11"/>
      <c r="B597" s="510" t="s">
        <v>55</v>
      </c>
      <c r="C597" s="23" t="s">
        <v>294</v>
      </c>
      <c r="D597" s="10" t="s">
        <v>104</v>
      </c>
      <c r="E597" s="10" t="s">
        <v>81</v>
      </c>
      <c r="F597" s="668" t="s">
        <v>79</v>
      </c>
      <c r="G597" s="669" t="s">
        <v>45</v>
      </c>
      <c r="H597" s="669" t="s">
        <v>63</v>
      </c>
      <c r="I597" s="670" t="s">
        <v>540</v>
      </c>
      <c r="J597" s="10" t="s">
        <v>56</v>
      </c>
      <c r="K597" s="24">
        <v>81</v>
      </c>
      <c r="L597" s="24">
        <f>M597-K597</f>
        <v>0</v>
      </c>
      <c r="M597" s="24">
        <v>81</v>
      </c>
      <c r="N597" s="24">
        <v>81</v>
      </c>
    </row>
    <row r="598" spans="1:14" s="116" customFormat="1" ht="72" x14ac:dyDescent="0.35">
      <c r="A598" s="11"/>
      <c r="B598" s="510" t="s">
        <v>231</v>
      </c>
      <c r="C598" s="23" t="s">
        <v>294</v>
      </c>
      <c r="D598" s="10" t="s">
        <v>104</v>
      </c>
      <c r="E598" s="10" t="s">
        <v>81</v>
      </c>
      <c r="F598" s="668" t="s">
        <v>79</v>
      </c>
      <c r="G598" s="669" t="s">
        <v>45</v>
      </c>
      <c r="H598" s="669" t="s">
        <v>63</v>
      </c>
      <c r="I598" s="670" t="s">
        <v>541</v>
      </c>
      <c r="J598" s="10"/>
      <c r="K598" s="24">
        <f>K599+K600</f>
        <v>7166.7</v>
      </c>
      <c r="L598" s="24">
        <f>L599+L600</f>
        <v>0</v>
      </c>
      <c r="M598" s="24">
        <f>M599+M600</f>
        <v>7166.7</v>
      </c>
      <c r="N598" s="24">
        <f>N599+N600</f>
        <v>7166.7</v>
      </c>
    </row>
    <row r="599" spans="1:14" s="116" customFormat="1" ht="108" x14ac:dyDescent="0.35">
      <c r="A599" s="11"/>
      <c r="B599" s="510" t="s">
        <v>49</v>
      </c>
      <c r="C599" s="23" t="s">
        <v>294</v>
      </c>
      <c r="D599" s="10" t="s">
        <v>104</v>
      </c>
      <c r="E599" s="10" t="s">
        <v>81</v>
      </c>
      <c r="F599" s="668" t="s">
        <v>79</v>
      </c>
      <c r="G599" s="669" t="s">
        <v>45</v>
      </c>
      <c r="H599" s="669" t="s">
        <v>63</v>
      </c>
      <c r="I599" s="670" t="s">
        <v>541</v>
      </c>
      <c r="J599" s="10" t="s">
        <v>50</v>
      </c>
      <c r="K599" s="24">
        <v>6437.7</v>
      </c>
      <c r="L599" s="24">
        <f>M599-K599</f>
        <v>0</v>
      </c>
      <c r="M599" s="24">
        <v>6437.7</v>
      </c>
      <c r="N599" s="24">
        <v>6437.7</v>
      </c>
    </row>
    <row r="600" spans="1:14" s="116" customFormat="1" ht="54" x14ac:dyDescent="0.35">
      <c r="A600" s="11"/>
      <c r="B600" s="510" t="s">
        <v>55</v>
      </c>
      <c r="C600" s="23" t="s">
        <v>294</v>
      </c>
      <c r="D600" s="10" t="s">
        <v>104</v>
      </c>
      <c r="E600" s="10" t="s">
        <v>81</v>
      </c>
      <c r="F600" s="438" t="s">
        <v>79</v>
      </c>
      <c r="G600" s="439" t="s">
        <v>45</v>
      </c>
      <c r="H600" s="439" t="s">
        <v>63</v>
      </c>
      <c r="I600" s="440" t="s">
        <v>541</v>
      </c>
      <c r="J600" s="10" t="s">
        <v>56</v>
      </c>
      <c r="K600" s="24">
        <v>729</v>
      </c>
      <c r="L600" s="24">
        <f>M600-K600</f>
        <v>0</v>
      </c>
      <c r="M600" s="24">
        <v>729</v>
      </c>
      <c r="N600" s="24">
        <v>729</v>
      </c>
    </row>
    <row r="601" spans="1:14" s="116" customFormat="1" ht="18" x14ac:dyDescent="0.35">
      <c r="A601" s="115">
        <v>10</v>
      </c>
      <c r="B601" s="590" t="s">
        <v>362</v>
      </c>
      <c r="C601" s="23"/>
      <c r="D601" s="10"/>
      <c r="E601" s="10"/>
      <c r="F601" s="669"/>
      <c r="G601" s="669"/>
      <c r="H601" s="669"/>
      <c r="I601" s="670"/>
      <c r="J601" s="10"/>
      <c r="K601" s="32">
        <f>K602</f>
        <v>34788</v>
      </c>
      <c r="L601" s="32">
        <f>L602</f>
        <v>0</v>
      </c>
      <c r="M601" s="32">
        <f>M602</f>
        <v>34788</v>
      </c>
      <c r="N601" s="32">
        <f>N602</f>
        <v>45416</v>
      </c>
    </row>
    <row r="602" spans="1:14" s="116" customFormat="1" ht="18" x14ac:dyDescent="0.35">
      <c r="A602" s="11"/>
      <c r="B602" s="591" t="s">
        <v>362</v>
      </c>
      <c r="C602" s="23"/>
      <c r="D602" s="10"/>
      <c r="E602" s="10"/>
      <c r="F602" s="669"/>
      <c r="G602" s="669"/>
      <c r="H602" s="669"/>
      <c r="I602" s="670"/>
      <c r="J602" s="10"/>
      <c r="K602" s="24">
        <f>42393.9-7432.8-98.1-75</f>
        <v>34788</v>
      </c>
      <c r="L602" s="24">
        <f>M602-K602</f>
        <v>0</v>
      </c>
      <c r="M602" s="24">
        <f>42393.9-7432.8-98.1-75</f>
        <v>34788</v>
      </c>
      <c r="N602" s="24">
        <f>54870.9-7447.6-1882.9-75-49.4</f>
        <v>45416</v>
      </c>
    </row>
    <row r="605" spans="1:14" s="80" customFormat="1" ht="18" x14ac:dyDescent="0.35">
      <c r="A605" s="698" t="s">
        <v>762</v>
      </c>
      <c r="B605" s="81"/>
      <c r="C605" s="82"/>
      <c r="D605" s="82"/>
      <c r="E605" s="82"/>
      <c r="F605" s="42"/>
      <c r="G605" s="110"/>
      <c r="H605" s="149"/>
    </row>
    <row r="606" spans="1:14" s="80" customFormat="1" ht="18" x14ac:dyDescent="0.35">
      <c r="A606" s="698" t="s">
        <v>763</v>
      </c>
      <c r="B606" s="81"/>
      <c r="C606" s="82"/>
      <c r="D606" s="82"/>
      <c r="E606" s="82"/>
      <c r="F606" s="42"/>
      <c r="G606" s="110"/>
      <c r="H606" s="149"/>
    </row>
    <row r="607" spans="1:14" s="80" customFormat="1" ht="18" x14ac:dyDescent="0.35">
      <c r="A607" s="698" t="s">
        <v>375</v>
      </c>
      <c r="B607" s="81"/>
      <c r="D607" s="82"/>
      <c r="E607" s="82"/>
      <c r="F607" s="42"/>
      <c r="N607" s="111" t="s">
        <v>764</v>
      </c>
    </row>
    <row r="608" spans="1:14" ht="18" x14ac:dyDescent="0.35">
      <c r="A608" s="699" t="s">
        <v>376</v>
      </c>
      <c r="M608" s="117"/>
      <c r="N608" s="117"/>
    </row>
    <row r="609" spans="2:14" s="150" customFormat="1" ht="15.6" x14ac:dyDescent="0.3">
      <c r="M609" s="151"/>
      <c r="N609" s="151"/>
    </row>
    <row r="610" spans="2:14" ht="15.6" hidden="1" x14ac:dyDescent="0.3">
      <c r="B610" s="150" t="s">
        <v>363</v>
      </c>
      <c r="M610" s="671">
        <f>(M16-('прил. 1 (поступл.23-25)'!D40+'прил. 1 (поступл.23-25)'!D41))*2.5%</f>
        <v>21196.907500000008</v>
      </c>
      <c r="N610" s="671">
        <f>(N16-('прил. 1 (поступл.23-25)'!E40+'прил. 1 (поступл.23-25)'!E41))*5%</f>
        <v>44867.470000000008</v>
      </c>
    </row>
    <row r="611" spans="2:14" ht="18" hidden="1" x14ac:dyDescent="0.35">
      <c r="D611" s="28" t="s">
        <v>37</v>
      </c>
      <c r="E611" s="28" t="s">
        <v>39</v>
      </c>
      <c r="F611" s="29"/>
      <c r="G611" s="29"/>
      <c r="H611" s="29"/>
      <c r="I611" s="29"/>
      <c r="J611" s="29"/>
      <c r="K611" s="29"/>
      <c r="L611" s="29"/>
      <c r="M611" s="152">
        <f>M19</f>
        <v>2612.1999999999998</v>
      </c>
      <c r="N611" s="152">
        <f>N19</f>
        <v>2612.1999999999998</v>
      </c>
    </row>
    <row r="612" spans="2:14" ht="18" hidden="1" x14ac:dyDescent="0.35">
      <c r="D612" s="28" t="s">
        <v>37</v>
      </c>
      <c r="E612" s="28" t="s">
        <v>52</v>
      </c>
      <c r="F612" s="29"/>
      <c r="G612" s="29"/>
      <c r="H612" s="29"/>
      <c r="I612" s="29"/>
      <c r="J612" s="29"/>
      <c r="K612" s="29"/>
      <c r="L612" s="29"/>
      <c r="M612" s="152">
        <f>M25</f>
        <v>83362.000000000015</v>
      </c>
      <c r="N612" s="152">
        <f>N25</f>
        <v>83398.000000000015</v>
      </c>
    </row>
    <row r="613" spans="2:14" ht="18" hidden="1" x14ac:dyDescent="0.35">
      <c r="D613" s="28" t="s">
        <v>37</v>
      </c>
      <c r="E613" s="28" t="s">
        <v>65</v>
      </c>
      <c r="F613" s="29"/>
      <c r="G613" s="29"/>
      <c r="H613" s="29"/>
      <c r="I613" s="29"/>
      <c r="J613" s="29"/>
      <c r="K613" s="29"/>
      <c r="L613" s="29"/>
      <c r="M613" s="152">
        <f>M46</f>
        <v>20.3</v>
      </c>
      <c r="N613" s="152">
        <f>N46</f>
        <v>17.7</v>
      </c>
    </row>
    <row r="614" spans="2:14" ht="18" hidden="1" x14ac:dyDescent="0.35">
      <c r="D614" s="28" t="s">
        <v>37</v>
      </c>
      <c r="E614" s="28" t="s">
        <v>81</v>
      </c>
      <c r="F614" s="29"/>
      <c r="G614" s="29"/>
      <c r="H614" s="29"/>
      <c r="I614" s="29"/>
      <c r="J614" s="29"/>
      <c r="K614" s="29"/>
      <c r="L614" s="29"/>
      <c r="M614" s="152">
        <f>M172+M206</f>
        <v>37649.699999999997</v>
      </c>
      <c r="N614" s="152">
        <f>N172+N206</f>
        <v>37650.5</v>
      </c>
    </row>
    <row r="615" spans="2:14" ht="18" hidden="1" x14ac:dyDescent="0.35">
      <c r="D615" s="28" t="s">
        <v>37</v>
      </c>
      <c r="E615" s="28" t="s">
        <v>67</v>
      </c>
      <c r="F615" s="29"/>
      <c r="G615" s="29"/>
      <c r="H615" s="29"/>
      <c r="I615" s="29"/>
      <c r="J615" s="29"/>
      <c r="K615" s="29"/>
      <c r="L615" s="29"/>
      <c r="M615" s="152">
        <f>M52</f>
        <v>29961.8</v>
      </c>
      <c r="N615" s="152">
        <f>N52</f>
        <v>35000</v>
      </c>
    </row>
    <row r="616" spans="2:14" ht="18" hidden="1" x14ac:dyDescent="0.35">
      <c r="D616" s="28" t="s">
        <v>37</v>
      </c>
      <c r="E616" s="28" t="s">
        <v>71</v>
      </c>
      <c r="F616" s="29"/>
      <c r="G616" s="29"/>
      <c r="H616" s="29"/>
      <c r="I616" s="29"/>
      <c r="J616" s="29"/>
      <c r="K616" s="29"/>
      <c r="L616" s="29"/>
      <c r="M616" s="152">
        <f>M216+M180+M535+M57+M422+M479+M291</f>
        <v>71779.131600000008</v>
      </c>
      <c r="N616" s="152">
        <f>N216+N180+N535+N57+N422+N479+N291</f>
        <v>74974.831600000005</v>
      </c>
    </row>
    <row r="617" spans="2:14" ht="18" hidden="1" x14ac:dyDescent="0.35">
      <c r="D617" s="153" t="s">
        <v>37</v>
      </c>
      <c r="E617" s="153" t="s">
        <v>43</v>
      </c>
      <c r="F617" s="29"/>
      <c r="G617" s="29"/>
      <c r="H617" s="29"/>
      <c r="I617" s="29"/>
      <c r="J617" s="29"/>
      <c r="K617" s="29"/>
      <c r="L617" s="29"/>
      <c r="M617" s="154">
        <f>SUBTOTAL(9,M611:M616)</f>
        <v>225385.13160000002</v>
      </c>
      <c r="N617" s="154">
        <f>SUBTOTAL(9,N611:N616)</f>
        <v>233653.23160000003</v>
      </c>
    </row>
    <row r="618" spans="2:14" ht="18" hidden="1" x14ac:dyDescent="0.35">
      <c r="D618" s="28"/>
      <c r="E618" s="28"/>
      <c r="F618" s="29"/>
      <c r="G618" s="29"/>
      <c r="H618" s="29"/>
      <c r="I618" s="29"/>
      <c r="J618" s="29"/>
      <c r="K618" s="29"/>
      <c r="L618" s="29"/>
      <c r="M618" s="152"/>
      <c r="N618" s="152"/>
    </row>
    <row r="619" spans="2:14" ht="18" hidden="1" x14ac:dyDescent="0.35">
      <c r="D619" s="28" t="s">
        <v>63</v>
      </c>
      <c r="E619" s="28" t="s">
        <v>104</v>
      </c>
      <c r="F619" s="29"/>
      <c r="G619" s="29"/>
      <c r="H619" s="29"/>
      <c r="I619" s="29"/>
      <c r="J619" s="29"/>
      <c r="K619" s="29"/>
      <c r="L619" s="29"/>
      <c r="M619" s="152">
        <f>M79</f>
        <v>362.29999999999995</v>
      </c>
      <c r="N619" s="152">
        <f>N79</f>
        <v>362.29999999999995</v>
      </c>
    </row>
    <row r="620" spans="2:14" ht="18" hidden="1" x14ac:dyDescent="0.35">
      <c r="D620" s="28" t="s">
        <v>63</v>
      </c>
      <c r="E620" s="28" t="s">
        <v>88</v>
      </c>
      <c r="F620" s="29"/>
      <c r="G620" s="29"/>
      <c r="H620" s="29"/>
      <c r="I620" s="29"/>
      <c r="J620" s="29"/>
      <c r="K620" s="29"/>
      <c r="L620" s="29"/>
      <c r="M620" s="152">
        <f>M87</f>
        <v>12357.199999999997</v>
      </c>
      <c r="N620" s="152">
        <f>N87</f>
        <v>12358.199999999997</v>
      </c>
    </row>
    <row r="621" spans="2:14" ht="18" hidden="1" x14ac:dyDescent="0.35">
      <c r="D621" s="153" t="s">
        <v>63</v>
      </c>
      <c r="E621" s="153" t="s">
        <v>43</v>
      </c>
      <c r="F621" s="29"/>
      <c r="G621" s="29"/>
      <c r="H621" s="29"/>
      <c r="I621" s="29"/>
      <c r="J621" s="29"/>
      <c r="K621" s="29"/>
      <c r="L621" s="29"/>
      <c r="M621" s="154">
        <f>SUBTOTAL(9,M619:M620)</f>
        <v>12719.499999999996</v>
      </c>
      <c r="N621" s="154">
        <f>SUBTOTAL(9,N619:N620)</f>
        <v>12720.499999999996</v>
      </c>
    </row>
    <row r="622" spans="2:14" ht="18" hidden="1" x14ac:dyDescent="0.35">
      <c r="D622" s="28"/>
      <c r="E622" s="28"/>
      <c r="F622" s="29"/>
      <c r="G622" s="29"/>
      <c r="H622" s="29"/>
      <c r="I622" s="29"/>
      <c r="J622" s="29"/>
      <c r="K622" s="29"/>
      <c r="L622" s="29"/>
      <c r="M622" s="152"/>
      <c r="N622" s="152"/>
    </row>
    <row r="623" spans="2:14" ht="18" hidden="1" x14ac:dyDescent="0.35">
      <c r="D623" s="28" t="s">
        <v>52</v>
      </c>
      <c r="E623" s="28" t="s">
        <v>65</v>
      </c>
      <c r="F623" s="29"/>
      <c r="G623" s="29"/>
      <c r="H623" s="29"/>
      <c r="I623" s="29"/>
      <c r="J623" s="29"/>
      <c r="K623" s="29"/>
      <c r="L623" s="29"/>
      <c r="M623" s="152">
        <f>M107</f>
        <v>19075.7</v>
      </c>
      <c r="N623" s="152">
        <f>N107</f>
        <v>19075.7</v>
      </c>
    </row>
    <row r="624" spans="2:14" ht="18" hidden="1" x14ac:dyDescent="0.35">
      <c r="D624" s="28" t="s">
        <v>52</v>
      </c>
      <c r="E624" s="28" t="s">
        <v>79</v>
      </c>
      <c r="F624" s="29"/>
      <c r="G624" s="29"/>
      <c r="H624" s="29"/>
      <c r="I624" s="29"/>
      <c r="J624" s="29"/>
      <c r="K624" s="29"/>
      <c r="L624" s="29"/>
      <c r="M624" s="152">
        <f>M116</f>
        <v>6181.8</v>
      </c>
      <c r="N624" s="152">
        <f>N116</f>
        <v>6648.8</v>
      </c>
    </row>
    <row r="625" spans="4:14" ht="18" hidden="1" x14ac:dyDescent="0.35">
      <c r="D625" s="28" t="s">
        <v>52</v>
      </c>
      <c r="E625" s="28" t="s">
        <v>100</v>
      </c>
      <c r="F625" s="29"/>
      <c r="G625" s="29"/>
      <c r="H625" s="29"/>
      <c r="I625" s="29"/>
      <c r="J625" s="29"/>
      <c r="K625" s="29"/>
      <c r="L625" s="29"/>
      <c r="M625" s="152">
        <f>M122</f>
        <v>2316.1</v>
      </c>
      <c r="N625" s="152">
        <f>N122</f>
        <v>1116.0999999999999</v>
      </c>
    </row>
    <row r="626" spans="4:14" ht="18" hidden="1" x14ac:dyDescent="0.35">
      <c r="D626" s="153" t="s">
        <v>52</v>
      </c>
      <c r="E626" s="153" t="s">
        <v>43</v>
      </c>
      <c r="F626" s="29"/>
      <c r="G626" s="29"/>
      <c r="H626" s="29"/>
      <c r="I626" s="29"/>
      <c r="J626" s="29"/>
      <c r="K626" s="29"/>
      <c r="L626" s="29"/>
      <c r="M626" s="154">
        <f>SUBTOTAL(9,M623:M625)</f>
        <v>27573.599999999999</v>
      </c>
      <c r="N626" s="154">
        <f>SUBTOTAL(9,N623:N625)</f>
        <v>26840.6</v>
      </c>
    </row>
    <row r="627" spans="4:14" ht="18" hidden="1" x14ac:dyDescent="0.35">
      <c r="D627" s="28"/>
      <c r="E627" s="28"/>
      <c r="F627" s="29"/>
      <c r="G627" s="29"/>
      <c r="H627" s="29"/>
      <c r="I627" s="29"/>
      <c r="J627" s="29"/>
      <c r="K627" s="29"/>
      <c r="L627" s="29"/>
      <c r="M627" s="152"/>
      <c r="N627" s="152"/>
    </row>
    <row r="628" spans="4:14" ht="18" hidden="1" x14ac:dyDescent="0.35">
      <c r="D628" s="28" t="s">
        <v>65</v>
      </c>
      <c r="E628" s="28" t="s">
        <v>37</v>
      </c>
      <c r="F628" s="29"/>
      <c r="G628" s="29"/>
      <c r="H628" s="29"/>
      <c r="I628" s="29"/>
      <c r="J628" s="29"/>
      <c r="K628" s="29"/>
      <c r="L628" s="29"/>
      <c r="M628" s="152"/>
      <c r="N628" s="152"/>
    </row>
    <row r="629" spans="4:14" ht="18" hidden="1" x14ac:dyDescent="0.35">
      <c r="D629" s="28" t="s">
        <v>65</v>
      </c>
      <c r="E629" s="28" t="s">
        <v>39</v>
      </c>
      <c r="F629" s="29"/>
      <c r="G629" s="29"/>
      <c r="H629" s="29"/>
      <c r="I629" s="29"/>
      <c r="J629" s="29"/>
      <c r="K629" s="29"/>
      <c r="L629" s="29"/>
      <c r="M629" s="152">
        <f>M251</f>
        <v>63486.700000000004</v>
      </c>
      <c r="N629" s="152">
        <f>N251</f>
        <v>0</v>
      </c>
    </row>
    <row r="630" spans="4:14" ht="18" hidden="1" x14ac:dyDescent="0.35">
      <c r="D630" s="28" t="s">
        <v>65</v>
      </c>
      <c r="E630" s="28" t="s">
        <v>63</v>
      </c>
      <c r="F630" s="29"/>
      <c r="G630" s="29"/>
      <c r="H630" s="29"/>
      <c r="I630" s="29"/>
      <c r="J630" s="29"/>
      <c r="K630" s="29"/>
      <c r="L630" s="29"/>
      <c r="M630" s="152">
        <f>M143</f>
        <v>5758.6</v>
      </c>
      <c r="N630" s="152">
        <f>N143</f>
        <v>5773.4</v>
      </c>
    </row>
    <row r="631" spans="4:14" ht="18" hidden="1" x14ac:dyDescent="0.35">
      <c r="D631" s="153" t="s">
        <v>65</v>
      </c>
      <c r="E631" s="153" t="s">
        <v>43</v>
      </c>
      <c r="F631" s="29"/>
      <c r="G631" s="29"/>
      <c r="H631" s="29"/>
      <c r="I631" s="29"/>
      <c r="J631" s="29"/>
      <c r="K631" s="29"/>
      <c r="L631" s="29"/>
      <c r="M631" s="154">
        <f>SUBTOTAL(9,M628:M630)</f>
        <v>69245.3</v>
      </c>
      <c r="N631" s="154">
        <f>SUBTOTAL(9,N628:N630)</f>
        <v>5773.4</v>
      </c>
    </row>
    <row r="632" spans="4:14" ht="18" hidden="1" x14ac:dyDescent="0.35">
      <c r="D632" s="28"/>
      <c r="E632" s="28"/>
      <c r="F632" s="29"/>
      <c r="G632" s="29"/>
      <c r="H632" s="29"/>
      <c r="I632" s="29"/>
      <c r="J632" s="29"/>
      <c r="K632" s="29"/>
      <c r="L632" s="29"/>
      <c r="M632" s="152"/>
      <c r="N632" s="152"/>
    </row>
    <row r="633" spans="4:14" ht="18" hidden="1" x14ac:dyDescent="0.35">
      <c r="D633" s="28" t="s">
        <v>224</v>
      </c>
      <c r="E633" s="28" t="s">
        <v>37</v>
      </c>
      <c r="F633" s="29"/>
      <c r="G633" s="29"/>
      <c r="H633" s="29"/>
      <c r="I633" s="29"/>
      <c r="J633" s="29"/>
      <c r="K633" s="29"/>
      <c r="L633" s="29"/>
      <c r="M633" s="152">
        <f>M304+M258</f>
        <v>386488.20000000007</v>
      </c>
      <c r="N633" s="152">
        <f>N304+N258</f>
        <v>399716.60000000003</v>
      </c>
    </row>
    <row r="634" spans="4:14" ht="18" hidden="1" x14ac:dyDescent="0.35">
      <c r="D634" s="28" t="s">
        <v>224</v>
      </c>
      <c r="E634" s="28" t="s">
        <v>39</v>
      </c>
      <c r="F634" s="29"/>
      <c r="G634" s="29"/>
      <c r="H634" s="29"/>
      <c r="I634" s="29"/>
      <c r="J634" s="29"/>
      <c r="K634" s="29"/>
      <c r="L634" s="29"/>
      <c r="M634" s="152">
        <f>M321+M264</f>
        <v>722307.79999999981</v>
      </c>
      <c r="N634" s="152">
        <f>N321+N264</f>
        <v>712311.5</v>
      </c>
    </row>
    <row r="635" spans="4:14" ht="18" hidden="1" x14ac:dyDescent="0.35">
      <c r="D635" s="28" t="s">
        <v>224</v>
      </c>
      <c r="E635" s="28" t="s">
        <v>63</v>
      </c>
      <c r="F635" s="29"/>
      <c r="G635" s="29"/>
      <c r="H635" s="29"/>
      <c r="I635" s="29"/>
      <c r="J635" s="29"/>
      <c r="K635" s="29"/>
      <c r="L635" s="29"/>
      <c r="M635" s="152">
        <f>M372+M429</f>
        <v>130206.39999999999</v>
      </c>
      <c r="N635" s="152">
        <f>N372+N429</f>
        <v>140861.70000000001</v>
      </c>
    </row>
    <row r="636" spans="4:14" ht="18" hidden="1" x14ac:dyDescent="0.35">
      <c r="D636" s="28" t="s">
        <v>224</v>
      </c>
      <c r="E636" s="28" t="s">
        <v>65</v>
      </c>
      <c r="F636" s="29"/>
      <c r="G636" s="29"/>
      <c r="H636" s="29"/>
      <c r="I636" s="29"/>
      <c r="J636" s="29"/>
      <c r="K636" s="29"/>
      <c r="L636" s="29"/>
      <c r="M636" s="152">
        <f>M150+M190</f>
        <v>190.7</v>
      </c>
      <c r="N636" s="152">
        <f>N150+N190</f>
        <v>190.7</v>
      </c>
    </row>
    <row r="637" spans="4:14" ht="18" hidden="1" x14ac:dyDescent="0.35">
      <c r="D637" s="28" t="s">
        <v>224</v>
      </c>
      <c r="E637" s="28" t="s">
        <v>224</v>
      </c>
      <c r="F637" s="29"/>
      <c r="G637" s="29"/>
      <c r="H637" s="29"/>
      <c r="I637" s="29"/>
      <c r="J637" s="29"/>
      <c r="K637" s="29"/>
      <c r="L637" s="29"/>
      <c r="M637" s="152">
        <f>M548</f>
        <v>3836.5</v>
      </c>
      <c r="N637" s="152">
        <f>N548</f>
        <v>3836.5</v>
      </c>
    </row>
    <row r="638" spans="4:14" ht="18" hidden="1" x14ac:dyDescent="0.35">
      <c r="D638" s="28" t="s">
        <v>224</v>
      </c>
      <c r="E638" s="28" t="s">
        <v>79</v>
      </c>
      <c r="F638" s="29"/>
      <c r="G638" s="29"/>
      <c r="H638" s="29"/>
      <c r="I638" s="29"/>
      <c r="J638" s="29"/>
      <c r="K638" s="29"/>
      <c r="L638" s="29"/>
      <c r="M638" s="152">
        <f>M388+M437+M556</f>
        <v>93277.900000000009</v>
      </c>
      <c r="N638" s="152">
        <f>N388+N437+N556</f>
        <v>93033.500000000015</v>
      </c>
    </row>
    <row r="639" spans="4:14" ht="18" hidden="1" x14ac:dyDescent="0.35">
      <c r="D639" s="153" t="s">
        <v>224</v>
      </c>
      <c r="E639" s="153" t="s">
        <v>43</v>
      </c>
      <c r="F639" s="29"/>
      <c r="G639" s="29"/>
      <c r="H639" s="29"/>
      <c r="I639" s="29"/>
      <c r="J639" s="29"/>
      <c r="K639" s="29"/>
      <c r="L639" s="29"/>
      <c r="M639" s="154">
        <f>SUBTOTAL(9,M633:M638)</f>
        <v>1336307.4999999998</v>
      </c>
      <c r="N639" s="154">
        <f>SUBTOTAL(9,N633:N638)</f>
        <v>1349950.5</v>
      </c>
    </row>
    <row r="640" spans="4:14" ht="18" hidden="1" x14ac:dyDescent="0.35">
      <c r="D640" s="28"/>
      <c r="E640" s="28"/>
      <c r="F640" s="29"/>
      <c r="G640" s="29"/>
      <c r="H640" s="29"/>
      <c r="I640" s="29"/>
      <c r="J640" s="29"/>
      <c r="K640" s="29"/>
      <c r="L640" s="29"/>
      <c r="M640" s="152"/>
      <c r="N640" s="152"/>
    </row>
    <row r="641" spans="4:14" ht="18" hidden="1" x14ac:dyDescent="0.35">
      <c r="D641" s="28" t="s">
        <v>226</v>
      </c>
      <c r="E641" s="28" t="s">
        <v>37</v>
      </c>
      <c r="F641" s="29"/>
      <c r="G641" s="29"/>
      <c r="H641" s="29"/>
      <c r="I641" s="29"/>
      <c r="J641" s="29"/>
      <c r="K641" s="29"/>
      <c r="L641" s="29"/>
      <c r="M641" s="152">
        <f>M447</f>
        <v>24215.8</v>
      </c>
      <c r="N641" s="152">
        <f>N447</f>
        <v>24157.399999999998</v>
      </c>
    </row>
    <row r="642" spans="4:14" ht="18" hidden="1" x14ac:dyDescent="0.35">
      <c r="D642" s="28" t="s">
        <v>226</v>
      </c>
      <c r="E642" s="28" t="s">
        <v>52</v>
      </c>
      <c r="F642" s="29"/>
      <c r="G642" s="29"/>
      <c r="H642" s="29"/>
      <c r="I642" s="29"/>
      <c r="J642" s="29"/>
      <c r="K642" s="29"/>
      <c r="L642" s="29"/>
      <c r="M642" s="152">
        <f>M464</f>
        <v>11442</v>
      </c>
      <c r="N642" s="152">
        <f>N464</f>
        <v>11446.5</v>
      </c>
    </row>
    <row r="643" spans="4:14" ht="18" hidden="1" x14ac:dyDescent="0.35">
      <c r="D643" s="153" t="s">
        <v>226</v>
      </c>
      <c r="E643" s="153" t="s">
        <v>43</v>
      </c>
      <c r="F643" s="29"/>
      <c r="G643" s="29"/>
      <c r="H643" s="29"/>
      <c r="I643" s="29"/>
      <c r="J643" s="29"/>
      <c r="K643" s="29"/>
      <c r="L643" s="29"/>
      <c r="M643" s="154">
        <f>SUBTOTAL(9,M641:M642)</f>
        <v>35657.800000000003</v>
      </c>
      <c r="N643" s="154">
        <f>SUBTOTAL(9,N641:N642)</f>
        <v>35603.899999999994</v>
      </c>
    </row>
    <row r="644" spans="4:14" ht="18" hidden="1" x14ac:dyDescent="0.35">
      <c r="D644" s="28"/>
      <c r="E644" s="28"/>
      <c r="F644" s="29"/>
      <c r="G644" s="29"/>
      <c r="H644" s="29"/>
      <c r="I644" s="29"/>
      <c r="J644" s="29"/>
      <c r="K644" s="29"/>
      <c r="L644" s="29"/>
      <c r="M644" s="152"/>
      <c r="N644" s="152"/>
    </row>
    <row r="645" spans="4:14" ht="18" hidden="1" x14ac:dyDescent="0.35">
      <c r="D645" s="28" t="s">
        <v>104</v>
      </c>
      <c r="E645" s="28" t="s">
        <v>37</v>
      </c>
      <c r="F645" s="29"/>
      <c r="G645" s="29"/>
      <c r="H645" s="29"/>
      <c r="I645" s="29"/>
      <c r="J645" s="29"/>
      <c r="K645" s="29"/>
      <c r="L645" s="29"/>
      <c r="M645" s="152">
        <f>M157</f>
        <v>1320</v>
      </c>
      <c r="N645" s="152">
        <f>N157</f>
        <v>1320</v>
      </c>
    </row>
    <row r="646" spans="4:14" ht="18" hidden="1" x14ac:dyDescent="0.35">
      <c r="D646" s="28" t="s">
        <v>104</v>
      </c>
      <c r="E646" s="28" t="s">
        <v>52</v>
      </c>
      <c r="F646" s="29"/>
      <c r="G646" s="29"/>
      <c r="H646" s="29"/>
      <c r="I646" s="29"/>
      <c r="J646" s="29"/>
      <c r="K646" s="29"/>
      <c r="L646" s="29"/>
      <c r="M646" s="152">
        <f>M273+M412+M567</f>
        <v>118276.7684</v>
      </c>
      <c r="N646" s="152">
        <f>N273+N412+N567</f>
        <v>119778.5684</v>
      </c>
    </row>
    <row r="647" spans="4:14" ht="18" hidden="1" x14ac:dyDescent="0.35">
      <c r="D647" s="28" t="s">
        <v>104</v>
      </c>
      <c r="E647" s="28" t="s">
        <v>81</v>
      </c>
      <c r="F647" s="29"/>
      <c r="G647" s="29"/>
      <c r="H647" s="29"/>
      <c r="I647" s="29"/>
      <c r="J647" s="29"/>
      <c r="K647" s="29"/>
      <c r="L647" s="29"/>
      <c r="M647" s="152">
        <f>M588+M163</f>
        <v>10044.400000000001</v>
      </c>
      <c r="N647" s="152">
        <f>N588+N163</f>
        <v>10044.400000000001</v>
      </c>
    </row>
    <row r="648" spans="4:14" ht="18" hidden="1" x14ac:dyDescent="0.35">
      <c r="D648" s="153" t="s">
        <v>104</v>
      </c>
      <c r="E648" s="153" t="s">
        <v>43</v>
      </c>
      <c r="F648" s="29"/>
      <c r="G648" s="29"/>
      <c r="H648" s="29"/>
      <c r="I648" s="29"/>
      <c r="J648" s="29"/>
      <c r="K648" s="29"/>
      <c r="L648" s="29"/>
      <c r="M648" s="154">
        <f>SUBTOTAL(9,M645:M647)</f>
        <v>129641.1684</v>
      </c>
      <c r="N648" s="154">
        <f>SUBTOTAL(9,N645:N647)</f>
        <v>131142.96840000001</v>
      </c>
    </row>
    <row r="649" spans="4:14" ht="18" hidden="1" x14ac:dyDescent="0.35">
      <c r="D649" s="28"/>
      <c r="E649" s="28"/>
      <c r="F649" s="29"/>
      <c r="G649" s="29"/>
      <c r="H649" s="29"/>
      <c r="I649" s="29"/>
      <c r="J649" s="29"/>
      <c r="K649" s="29"/>
      <c r="L649" s="29"/>
      <c r="M649" s="152"/>
      <c r="N649" s="152"/>
    </row>
    <row r="650" spans="4:14" ht="18" hidden="1" x14ac:dyDescent="0.35">
      <c r="D650" s="28" t="s">
        <v>67</v>
      </c>
      <c r="E650" s="28" t="s">
        <v>37</v>
      </c>
      <c r="F650" s="29"/>
      <c r="G650" s="29"/>
      <c r="H650" s="29"/>
      <c r="I650" s="29"/>
      <c r="J650" s="29"/>
      <c r="K650" s="29"/>
      <c r="L650" s="29"/>
      <c r="M650" s="152">
        <f>M486+M282</f>
        <v>15512.600000000002</v>
      </c>
      <c r="N650" s="152">
        <f>N486+N282</f>
        <v>3622.8</v>
      </c>
    </row>
    <row r="651" spans="4:14" ht="18" hidden="1" x14ac:dyDescent="0.35">
      <c r="D651" s="28" t="s">
        <v>67</v>
      </c>
      <c r="E651" s="28" t="s">
        <v>39</v>
      </c>
      <c r="F651" s="29"/>
      <c r="G651" s="29"/>
      <c r="H651" s="29"/>
      <c r="I651" s="29"/>
      <c r="J651" s="29"/>
      <c r="K651" s="29"/>
      <c r="L651" s="29"/>
      <c r="M651" s="152">
        <f>M496</f>
        <v>30481.200000000001</v>
      </c>
      <c r="N651" s="152">
        <f>N496</f>
        <v>629.70000000000005</v>
      </c>
    </row>
    <row r="652" spans="4:14" ht="18" hidden="1" x14ac:dyDescent="0.35">
      <c r="D652" s="28" t="s">
        <v>67</v>
      </c>
      <c r="E652" s="28" t="s">
        <v>63</v>
      </c>
      <c r="F652" s="29"/>
      <c r="G652" s="29"/>
      <c r="H652" s="29"/>
      <c r="I652" s="29"/>
      <c r="J652" s="29"/>
      <c r="K652" s="29"/>
      <c r="L652" s="29"/>
      <c r="M652" s="152">
        <f>M506</f>
        <v>30944.799999999999</v>
      </c>
      <c r="N652" s="152">
        <f>N506</f>
        <v>31312.2</v>
      </c>
    </row>
    <row r="653" spans="4:14" ht="18" hidden="1" x14ac:dyDescent="0.35">
      <c r="D653" s="28" t="s">
        <v>67</v>
      </c>
      <c r="E653" s="28" t="s">
        <v>65</v>
      </c>
      <c r="F653" s="29"/>
      <c r="G653" s="29"/>
      <c r="H653" s="29"/>
      <c r="I653" s="29"/>
      <c r="J653" s="29"/>
      <c r="K653" s="29"/>
      <c r="L653" s="29"/>
      <c r="M653" s="152">
        <f>M524</f>
        <v>3058.7000000000003</v>
      </c>
      <c r="N653" s="152">
        <f>N524</f>
        <v>3059.7999999999997</v>
      </c>
    </row>
    <row r="654" spans="4:14" ht="18" hidden="1" x14ac:dyDescent="0.35">
      <c r="D654" s="153" t="s">
        <v>67</v>
      </c>
      <c r="E654" s="153" t="s">
        <v>43</v>
      </c>
      <c r="F654" s="29"/>
      <c r="G654" s="29"/>
      <c r="H654" s="29"/>
      <c r="I654" s="29"/>
      <c r="J654" s="29"/>
      <c r="K654" s="29"/>
      <c r="L654" s="29"/>
      <c r="M654" s="154">
        <f>SUBTOTAL(9,M650:M653)</f>
        <v>79997.3</v>
      </c>
      <c r="N654" s="154">
        <f>SUBTOTAL(9,N650:N653)</f>
        <v>38624.5</v>
      </c>
    </row>
    <row r="655" spans="4:14" ht="18" hidden="1" x14ac:dyDescent="0.35">
      <c r="D655" s="28"/>
      <c r="E655" s="28"/>
      <c r="F655" s="29"/>
      <c r="G655" s="29"/>
      <c r="H655" s="29"/>
      <c r="I655" s="29"/>
      <c r="J655" s="29"/>
      <c r="K655" s="29"/>
      <c r="L655" s="29"/>
      <c r="M655" s="152"/>
      <c r="N655" s="152"/>
    </row>
    <row r="656" spans="4:14" ht="18" hidden="1" x14ac:dyDescent="0.35">
      <c r="D656" s="28" t="s">
        <v>71</v>
      </c>
      <c r="E656" s="28" t="s">
        <v>37</v>
      </c>
      <c r="F656" s="29"/>
      <c r="G656" s="29"/>
      <c r="H656" s="29"/>
      <c r="I656" s="29"/>
      <c r="J656" s="29"/>
      <c r="K656" s="29"/>
      <c r="L656" s="29"/>
      <c r="M656" s="152"/>
      <c r="N656" s="152"/>
    </row>
    <row r="657" spans="2:14" ht="18" hidden="1" x14ac:dyDescent="0.35">
      <c r="D657" s="153" t="s">
        <v>71</v>
      </c>
      <c r="E657" s="153" t="s">
        <v>43</v>
      </c>
      <c r="F657" s="29"/>
      <c r="G657" s="29"/>
      <c r="H657" s="29"/>
      <c r="I657" s="29"/>
      <c r="J657" s="29"/>
      <c r="K657" s="29"/>
      <c r="L657" s="29"/>
      <c r="M657" s="154">
        <f>M656</f>
        <v>0</v>
      </c>
      <c r="N657" s="154">
        <f>N656</f>
        <v>0</v>
      </c>
    </row>
    <row r="658" spans="2:14" ht="18" hidden="1" x14ac:dyDescent="0.35">
      <c r="D658" s="28"/>
      <c r="E658" s="28"/>
      <c r="F658" s="29"/>
      <c r="G658" s="29"/>
      <c r="H658" s="29"/>
      <c r="I658" s="29"/>
      <c r="J658" s="29"/>
      <c r="K658" s="29"/>
      <c r="L658" s="29"/>
      <c r="M658" s="152"/>
      <c r="N658" s="152"/>
    </row>
    <row r="659" spans="2:14" ht="18" hidden="1" x14ac:dyDescent="0.35">
      <c r="D659" s="28" t="s">
        <v>88</v>
      </c>
      <c r="E659" s="28" t="s">
        <v>37</v>
      </c>
      <c r="F659" s="29"/>
      <c r="G659" s="29"/>
      <c r="H659" s="29"/>
      <c r="I659" s="29"/>
      <c r="J659" s="29"/>
      <c r="K659" s="29"/>
      <c r="L659" s="29"/>
      <c r="M659" s="152">
        <f>M197</f>
        <v>7500</v>
      </c>
      <c r="N659" s="152">
        <f>N197</f>
        <v>7500</v>
      </c>
    </row>
    <row r="660" spans="2:14" ht="18" hidden="1" x14ac:dyDescent="0.35">
      <c r="D660" s="153" t="s">
        <v>88</v>
      </c>
      <c r="E660" s="153" t="s">
        <v>43</v>
      </c>
      <c r="F660" s="29"/>
      <c r="G660" s="29"/>
      <c r="H660" s="29"/>
      <c r="I660" s="29"/>
      <c r="J660" s="29"/>
      <c r="K660" s="29"/>
      <c r="L660" s="29"/>
      <c r="M660" s="154">
        <f>SUBTOTAL(9,M659:M659)</f>
        <v>7500</v>
      </c>
      <c r="N660" s="154">
        <f>SUBTOTAL(9,N659:N659)</f>
        <v>7500</v>
      </c>
    </row>
    <row r="661" spans="2:14" ht="18" hidden="1" x14ac:dyDescent="0.35">
      <c r="D661" s="28"/>
      <c r="E661" s="28"/>
      <c r="F661" s="29"/>
      <c r="G661" s="29"/>
      <c r="H661" s="29"/>
      <c r="I661" s="29"/>
      <c r="J661" s="29"/>
      <c r="K661" s="29"/>
      <c r="L661" s="29"/>
      <c r="M661" s="152"/>
      <c r="N661" s="152"/>
    </row>
    <row r="662" spans="2:14" ht="18" hidden="1" x14ac:dyDescent="0.35">
      <c r="D662" s="155" t="s">
        <v>364</v>
      </c>
      <c r="E662" s="28"/>
      <c r="F662" s="29"/>
      <c r="G662" s="29"/>
      <c r="H662" s="29"/>
      <c r="I662" s="29"/>
      <c r="J662" s="29"/>
      <c r="K662" s="29"/>
      <c r="L662" s="29"/>
      <c r="M662" s="152">
        <f>M601</f>
        <v>34788</v>
      </c>
      <c r="N662" s="152">
        <f>N601</f>
        <v>45416</v>
      </c>
    </row>
    <row r="663" spans="2:14" ht="18" hidden="1" x14ac:dyDescent="0.35">
      <c r="D663" s="28"/>
      <c r="E663" s="28"/>
      <c r="F663" s="29"/>
      <c r="G663" s="29"/>
      <c r="H663" s="29"/>
      <c r="I663" s="29"/>
      <c r="J663" s="29"/>
      <c r="K663" s="29"/>
      <c r="L663" s="29"/>
      <c r="M663" s="152"/>
      <c r="N663" s="152"/>
    </row>
    <row r="664" spans="2:14" ht="18" hidden="1" x14ac:dyDescent="0.35">
      <c r="D664" s="28"/>
      <c r="E664" s="28"/>
      <c r="F664" s="29"/>
      <c r="G664" s="29"/>
      <c r="H664" s="29"/>
      <c r="I664" s="29"/>
      <c r="J664" s="29"/>
      <c r="K664" s="29"/>
      <c r="L664" s="29"/>
      <c r="M664" s="154"/>
      <c r="N664" s="154"/>
    </row>
    <row r="665" spans="2:14" ht="18" hidden="1" x14ac:dyDescent="0.35">
      <c r="D665" s="28"/>
      <c r="E665" s="28"/>
      <c r="F665" s="29"/>
      <c r="G665" s="29"/>
      <c r="H665" s="29"/>
      <c r="I665" s="29"/>
      <c r="J665" s="29"/>
      <c r="K665" s="29"/>
      <c r="L665" s="29"/>
      <c r="M665" s="152"/>
      <c r="N665" s="152"/>
    </row>
    <row r="666" spans="2:14" ht="18" hidden="1" x14ac:dyDescent="0.35">
      <c r="B666" s="1" t="s">
        <v>367</v>
      </c>
      <c r="D666" s="28"/>
      <c r="E666" s="28"/>
      <c r="F666" s="29"/>
      <c r="G666" s="29"/>
      <c r="H666" s="29"/>
      <c r="I666" s="29"/>
      <c r="J666" s="29"/>
      <c r="K666" s="29"/>
      <c r="L666" s="29"/>
      <c r="M666" s="152"/>
      <c r="N666" s="152"/>
    </row>
    <row r="667" spans="2:14" ht="18" hidden="1" x14ac:dyDescent="0.35">
      <c r="B667" s="1" t="s">
        <v>366</v>
      </c>
      <c r="D667" s="28"/>
      <c r="E667" s="28"/>
      <c r="F667" s="29"/>
      <c r="G667" s="29"/>
      <c r="H667" s="29"/>
      <c r="I667" s="29"/>
      <c r="J667" s="29"/>
      <c r="K667" s="29"/>
      <c r="L667" s="29"/>
      <c r="M667" s="152"/>
      <c r="N667" s="152"/>
    </row>
    <row r="668" spans="2:14" ht="18" hidden="1" x14ac:dyDescent="0.35">
      <c r="D668" s="28"/>
      <c r="E668" s="28"/>
      <c r="F668" s="29"/>
      <c r="G668" s="29"/>
      <c r="H668" s="29"/>
      <c r="I668" s="29"/>
      <c r="J668" s="29"/>
      <c r="K668" s="29"/>
      <c r="L668" s="29"/>
      <c r="M668" s="156"/>
      <c r="N668" s="156"/>
    </row>
    <row r="669" spans="2:14" ht="18" hidden="1" x14ac:dyDescent="0.35">
      <c r="D669" s="28"/>
      <c r="E669" s="28"/>
      <c r="F669" s="29"/>
      <c r="G669" s="29"/>
      <c r="H669" s="29"/>
      <c r="I669" s="29"/>
      <c r="J669" s="29"/>
      <c r="K669" s="29"/>
      <c r="L669" s="29"/>
      <c r="M669" s="156"/>
      <c r="N669" s="156"/>
    </row>
    <row r="670" spans="2:14" x14ac:dyDescent="0.3">
      <c r="M670" s="117"/>
      <c r="N670" s="117"/>
    </row>
  </sheetData>
  <autoFilter ref="A1:N671"/>
  <mergeCells count="12">
    <mergeCell ref="F15:I15"/>
    <mergeCell ref="A9:N9"/>
    <mergeCell ref="A13:A14"/>
    <mergeCell ref="B13:B14"/>
    <mergeCell ref="C13:C14"/>
    <mergeCell ref="D13:D14"/>
    <mergeCell ref="E13:E14"/>
    <mergeCell ref="F13:I14"/>
    <mergeCell ref="J13:J14"/>
    <mergeCell ref="N13:N14"/>
    <mergeCell ref="L13:M13"/>
    <mergeCell ref="K13:K14"/>
  </mergeCells>
  <printOptions horizontalCentered="1"/>
  <pageMargins left="1.1811023622047245" right="0.39370078740157483" top="0.78740157480314965" bottom="0.78740157480314965" header="0.31496062992125984" footer="0.31496062992125984"/>
  <pageSetup paperSize="9" scale="63" fitToHeight="0" orientation="portrait" blackAndWhite="1" r:id="rId1"/>
  <headerFooter differentFirst="1">
    <oddHeader>&amp;C&amp;"Times New Roman,обычный"&amp;12&amp;P</oddHeader>
  </headerFooter>
  <rowBreaks count="1" manualBreakCount="1">
    <brk id="578"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
  <sheetViews>
    <sheetView topLeftCell="A19" zoomScale="80" zoomScaleNormal="80" workbookViewId="0">
      <selection activeCell="G6" sqref="G6"/>
    </sheetView>
  </sheetViews>
  <sheetFormatPr defaultColWidth="9.109375" defaultRowHeight="18" x14ac:dyDescent="0.35"/>
  <cols>
    <col min="1" max="1" width="33.33203125" style="229" customWidth="1"/>
    <col min="2" max="2" width="56.109375" style="229" customWidth="1"/>
    <col min="3" max="3" width="18.6640625" style="229" customWidth="1"/>
    <col min="4" max="4" width="15.88671875" style="229" customWidth="1"/>
    <col min="5" max="5" width="15.33203125" style="229" customWidth="1"/>
    <col min="6" max="6" width="19.88671875" style="229" customWidth="1"/>
    <col min="7" max="7" width="10.88671875" style="229" bestFit="1" customWidth="1"/>
    <col min="8" max="16384" width="9.109375" style="229"/>
  </cols>
  <sheetData>
    <row r="1" spans="1:7" x14ac:dyDescent="0.35">
      <c r="E1" s="158" t="s">
        <v>516</v>
      </c>
    </row>
    <row r="2" spans="1:7" x14ac:dyDescent="0.35">
      <c r="E2" s="158" t="s">
        <v>765</v>
      </c>
    </row>
    <row r="3" spans="1:7" x14ac:dyDescent="0.35">
      <c r="E3" s="158"/>
    </row>
    <row r="4" spans="1:7" s="34" customFormat="1" x14ac:dyDescent="0.35">
      <c r="E4" s="39" t="s">
        <v>517</v>
      </c>
    </row>
    <row r="5" spans="1:7" s="34" customFormat="1" x14ac:dyDescent="0.35">
      <c r="E5" s="39" t="s">
        <v>667</v>
      </c>
    </row>
    <row r="6" spans="1:7" ht="17.399999999999999" customHeight="1" x14ac:dyDescent="0.35"/>
    <row r="7" spans="1:7" s="34" customFormat="1" ht="18" customHeight="1" x14ac:dyDescent="0.35">
      <c r="C7" s="39"/>
    </row>
    <row r="8" spans="1:7" s="34" customFormat="1" ht="36" customHeight="1" x14ac:dyDescent="0.35">
      <c r="A8" s="773" t="s">
        <v>598</v>
      </c>
      <c r="B8" s="726"/>
      <c r="C8" s="726"/>
      <c r="D8" s="726"/>
      <c r="E8" s="726"/>
    </row>
    <row r="9" spans="1:7" x14ac:dyDescent="0.35">
      <c r="A9" s="726"/>
      <c r="B9" s="726"/>
      <c r="C9" s="726"/>
      <c r="D9" s="726"/>
      <c r="E9" s="726"/>
      <c r="F9" s="448"/>
    </row>
    <row r="10" spans="1:7" ht="37.5" customHeight="1" x14ac:dyDescent="0.35">
      <c r="E10" s="247" t="s">
        <v>239</v>
      </c>
    </row>
    <row r="11" spans="1:7" ht="33" customHeight="1" x14ac:dyDescent="0.35">
      <c r="A11" s="731" t="s">
        <v>13</v>
      </c>
      <c r="B11" s="731" t="s">
        <v>481</v>
      </c>
      <c r="C11" s="774" t="s">
        <v>15</v>
      </c>
      <c r="D11" s="775"/>
      <c r="E11" s="776"/>
      <c r="F11" s="449"/>
    </row>
    <row r="12" spans="1:7" ht="43.2" customHeight="1" x14ac:dyDescent="0.35">
      <c r="A12" s="732"/>
      <c r="B12" s="732"/>
      <c r="C12" s="188" t="s">
        <v>458</v>
      </c>
      <c r="D12" s="188" t="s">
        <v>504</v>
      </c>
      <c r="E12" s="188" t="s">
        <v>592</v>
      </c>
      <c r="F12" s="449"/>
    </row>
    <row r="13" spans="1:7" ht="18" customHeight="1" x14ac:dyDescent="0.35">
      <c r="A13" s="236">
        <v>1</v>
      </c>
      <c r="B13" s="248">
        <v>2</v>
      </c>
      <c r="C13" s="321">
        <v>3</v>
      </c>
      <c r="D13" s="236">
        <v>4</v>
      </c>
      <c r="E13" s="249">
        <v>5</v>
      </c>
      <c r="F13" s="449"/>
    </row>
    <row r="14" spans="1:7" ht="37.200000000000003" customHeight="1" x14ac:dyDescent="0.35">
      <c r="A14" s="250" t="s">
        <v>240</v>
      </c>
      <c r="B14" s="320" t="s">
        <v>241</v>
      </c>
      <c r="C14" s="251">
        <f>C15+C24</f>
        <v>149940.06634000037</v>
      </c>
      <c r="D14" s="251">
        <f t="shared" ref="D14:E14" si="0">D15</f>
        <v>0</v>
      </c>
      <c r="E14" s="251">
        <f t="shared" si="0"/>
        <v>0</v>
      </c>
      <c r="F14" s="450"/>
    </row>
    <row r="15" spans="1:7" s="453" customFormat="1" ht="34.950000000000003" customHeight="1" x14ac:dyDescent="0.3">
      <c r="A15" s="252" t="s">
        <v>242</v>
      </c>
      <c r="B15" s="477" t="s">
        <v>243</v>
      </c>
      <c r="C15" s="322">
        <f>C20-C16</f>
        <v>131940.06634000037</v>
      </c>
      <c r="D15" s="322">
        <f>D20-D16</f>
        <v>0</v>
      </c>
      <c r="E15" s="322">
        <f>E20-E16</f>
        <v>0</v>
      </c>
      <c r="F15" s="451"/>
      <c r="G15" s="452"/>
    </row>
    <row r="16" spans="1:7" x14ac:dyDescent="0.35">
      <c r="A16" s="253" t="s">
        <v>244</v>
      </c>
      <c r="B16" s="478" t="s">
        <v>245</v>
      </c>
      <c r="C16" s="317">
        <f t="shared" ref="C16:E18" si="1">C17</f>
        <v>2601178.7100999993</v>
      </c>
      <c r="D16" s="317">
        <f t="shared" si="1"/>
        <v>1958815.3</v>
      </c>
      <c r="E16" s="317">
        <f t="shared" si="1"/>
        <v>1887225.5999999999</v>
      </c>
    </row>
    <row r="17" spans="1:8" x14ac:dyDescent="0.35">
      <c r="A17" s="253" t="s">
        <v>246</v>
      </c>
      <c r="B17" s="478" t="s">
        <v>247</v>
      </c>
      <c r="C17" s="317">
        <f t="shared" si="1"/>
        <v>2601178.7100999993</v>
      </c>
      <c r="D17" s="317">
        <f t="shared" si="1"/>
        <v>1958815.3</v>
      </c>
      <c r="E17" s="317">
        <f t="shared" si="1"/>
        <v>1887225.5999999999</v>
      </c>
    </row>
    <row r="18" spans="1:8" ht="20.25" customHeight="1" x14ac:dyDescent="0.35">
      <c r="A18" s="253" t="s">
        <v>325</v>
      </c>
      <c r="B18" s="479" t="s">
        <v>248</v>
      </c>
      <c r="C18" s="318">
        <f t="shared" si="1"/>
        <v>2601178.7100999993</v>
      </c>
      <c r="D18" s="318">
        <f t="shared" si="1"/>
        <v>1958815.3</v>
      </c>
      <c r="E18" s="318">
        <f t="shared" si="1"/>
        <v>1887225.5999999999</v>
      </c>
    </row>
    <row r="19" spans="1:8" ht="37.5" customHeight="1" x14ac:dyDescent="0.35">
      <c r="A19" s="253" t="s">
        <v>249</v>
      </c>
      <c r="B19" s="479" t="s">
        <v>3</v>
      </c>
      <c r="C19" s="318">
        <f>'прил. 1 (поступл.23-25)'!C48+C24+'прил. 1 (поступл.23-25)'!C45+'прил. 1 (поступл.23-25)'!C46+'прил. 1 (поступл.23-25)'!C47</f>
        <v>2601178.7100999993</v>
      </c>
      <c r="D19" s="316">
        <f>'прил. 1 (поступл.23-25)'!D48</f>
        <v>1958815.3</v>
      </c>
      <c r="E19" s="316">
        <f>'прил. 1 (поступл.23-25)'!E48</f>
        <v>1887225.5999999999</v>
      </c>
    </row>
    <row r="20" spans="1:8" x14ac:dyDescent="0.35">
      <c r="A20" s="253" t="s">
        <v>250</v>
      </c>
      <c r="B20" s="479" t="s">
        <v>251</v>
      </c>
      <c r="C20" s="318">
        <f>C21</f>
        <v>2733118.7764399997</v>
      </c>
      <c r="D20" s="318">
        <f t="shared" ref="D20:E22" si="2">D21</f>
        <v>1958815.3000000003</v>
      </c>
      <c r="E20" s="318">
        <f t="shared" si="2"/>
        <v>1887225.6</v>
      </c>
    </row>
    <row r="21" spans="1:8" x14ac:dyDescent="0.35">
      <c r="A21" s="253" t="s">
        <v>252</v>
      </c>
      <c r="B21" s="479" t="s">
        <v>253</v>
      </c>
      <c r="C21" s="318">
        <f>C22</f>
        <v>2733118.7764399997</v>
      </c>
      <c r="D21" s="318">
        <f t="shared" si="2"/>
        <v>1958815.3000000003</v>
      </c>
      <c r="E21" s="318">
        <f t="shared" si="2"/>
        <v>1887225.6</v>
      </c>
    </row>
    <row r="22" spans="1:8" ht="22.2" customHeight="1" x14ac:dyDescent="0.35">
      <c r="A22" s="253" t="s">
        <v>254</v>
      </c>
      <c r="B22" s="479" t="s">
        <v>255</v>
      </c>
      <c r="C22" s="318">
        <f>C23</f>
        <v>2733118.7764399997</v>
      </c>
      <c r="D22" s="318">
        <f t="shared" si="2"/>
        <v>1958815.3000000003</v>
      </c>
      <c r="E22" s="318">
        <f t="shared" si="2"/>
        <v>1887225.6</v>
      </c>
    </row>
    <row r="23" spans="1:8" ht="36" x14ac:dyDescent="0.35">
      <c r="A23" s="254" t="s">
        <v>256</v>
      </c>
      <c r="B23" s="480" t="s">
        <v>4</v>
      </c>
      <c r="C23" s="319">
        <f>'прил9 (ведом 23)'!M14+'прил. 1 (поступл.23-25)'!C45+'прил. 1 (поступл.23-25)'!C46+'прил. 1 (поступл.23-25)'!C47</f>
        <v>2733118.7764399997</v>
      </c>
      <c r="D23" s="319">
        <f>'прил10 (ведом 24-25)'!M16</f>
        <v>1958815.3000000003</v>
      </c>
      <c r="E23" s="319">
        <f>'прил10 (ведом 24-25)'!N16</f>
        <v>1887225.6</v>
      </c>
    </row>
    <row r="24" spans="1:8" ht="34.799999999999997" x14ac:dyDescent="0.35">
      <c r="A24" s="610" t="s">
        <v>644</v>
      </c>
      <c r="B24" s="611" t="s">
        <v>645</v>
      </c>
      <c r="C24" s="322">
        <f>C25</f>
        <v>18000</v>
      </c>
      <c r="D24" s="322">
        <f>D25+D29</f>
        <v>0</v>
      </c>
      <c r="E24" s="322">
        <f t="shared" ref="E24" si="3">E25+E29</f>
        <v>0</v>
      </c>
    </row>
    <row r="25" spans="1:8" ht="36" x14ac:dyDescent="0.35">
      <c r="A25" s="253" t="s">
        <v>646</v>
      </c>
      <c r="B25" s="612" t="s">
        <v>647</v>
      </c>
      <c r="C25" s="318">
        <f t="shared" ref="C25:E27" si="4">C26</f>
        <v>18000</v>
      </c>
      <c r="D25" s="318">
        <f t="shared" si="4"/>
        <v>0</v>
      </c>
      <c r="E25" s="318">
        <f t="shared" si="4"/>
        <v>0</v>
      </c>
    </row>
    <row r="26" spans="1:8" ht="36" x14ac:dyDescent="0.35">
      <c r="A26" s="253" t="s">
        <v>648</v>
      </c>
      <c r="B26" s="612" t="s">
        <v>649</v>
      </c>
      <c r="C26" s="318">
        <f t="shared" si="4"/>
        <v>18000</v>
      </c>
      <c r="D26" s="318">
        <f t="shared" si="4"/>
        <v>0</v>
      </c>
      <c r="E26" s="318">
        <f t="shared" si="4"/>
        <v>0</v>
      </c>
    </row>
    <row r="27" spans="1:8" ht="72" x14ac:dyDescent="0.35">
      <c r="A27" s="253" t="s">
        <v>650</v>
      </c>
      <c r="B27" s="612" t="s">
        <v>651</v>
      </c>
      <c r="C27" s="318">
        <f>C28</f>
        <v>18000</v>
      </c>
      <c r="D27" s="318">
        <f t="shared" si="4"/>
        <v>0</v>
      </c>
      <c r="E27" s="318">
        <f t="shared" si="4"/>
        <v>0</v>
      </c>
    </row>
    <row r="28" spans="1:8" ht="90" x14ac:dyDescent="0.35">
      <c r="A28" s="254" t="s">
        <v>652</v>
      </c>
      <c r="B28" s="613" t="s">
        <v>653</v>
      </c>
      <c r="C28" s="319">
        <f>19000-1000</f>
        <v>18000</v>
      </c>
      <c r="D28" s="319">
        <v>0</v>
      </c>
      <c r="E28" s="614">
        <v>0</v>
      </c>
    </row>
    <row r="29" spans="1:8" ht="19.95" customHeight="1" x14ac:dyDescent="0.35">
      <c r="A29" s="255"/>
      <c r="B29" s="595"/>
      <c r="C29" s="596"/>
      <c r="D29" s="596"/>
      <c r="E29" s="596"/>
    </row>
    <row r="30" spans="1:8" x14ac:dyDescent="0.35">
      <c r="A30" s="255"/>
      <c r="B30" s="595"/>
      <c r="C30" s="596"/>
      <c r="D30" s="596"/>
      <c r="E30" s="596"/>
    </row>
    <row r="31" spans="1:8" x14ac:dyDescent="0.35">
      <c r="A31" s="255"/>
      <c r="B31" s="256"/>
      <c r="C31" s="257"/>
    </row>
    <row r="32" spans="1:8" s="274" customFormat="1" x14ac:dyDescent="0.35">
      <c r="A32" s="698" t="s">
        <v>762</v>
      </c>
      <c r="B32" s="307"/>
      <c r="C32" s="96"/>
      <c r="D32" s="96"/>
      <c r="E32" s="96"/>
      <c r="F32" s="303"/>
      <c r="G32" s="110"/>
      <c r="H32" s="454"/>
    </row>
    <row r="33" spans="1:8" s="274" customFormat="1" x14ac:dyDescent="0.35">
      <c r="A33" s="698" t="s">
        <v>763</v>
      </c>
      <c r="B33" s="307"/>
      <c r="C33" s="96"/>
      <c r="D33" s="96"/>
      <c r="E33" s="96"/>
      <c r="F33" s="303"/>
      <c r="G33" s="110"/>
      <c r="H33" s="454"/>
    </row>
    <row r="34" spans="1:8" s="274" customFormat="1" x14ac:dyDescent="0.35">
      <c r="A34" s="698" t="s">
        <v>375</v>
      </c>
      <c r="B34" s="307"/>
      <c r="C34" s="111"/>
      <c r="D34" s="96"/>
      <c r="E34" s="111" t="s">
        <v>764</v>
      </c>
      <c r="F34" s="303"/>
    </row>
    <row r="35" spans="1:8" x14ac:dyDescent="0.35">
      <c r="A35" s="699" t="s">
        <v>376</v>
      </c>
    </row>
  </sheetData>
  <mergeCells count="4">
    <mergeCell ref="A8:E9"/>
    <mergeCell ref="C11:E11"/>
    <mergeCell ref="A11:A12"/>
    <mergeCell ref="B11:B12"/>
  </mergeCells>
  <printOptions horizontalCentered="1"/>
  <pageMargins left="1.1811023622047245" right="0.39370078740157483" top="0.78740157480314965" bottom="0.78740157480314965" header="0" footer="0"/>
  <pageSetup paperSize="9" scale="61"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19</vt:i4>
      </vt:variant>
    </vt:vector>
  </HeadingPairs>
  <TitlesOfParts>
    <vt:vector size="29" baseType="lpstr">
      <vt:lpstr>прил. 1 (поступл.23-25)</vt:lpstr>
      <vt:lpstr>прил.2(пост.безв.23)</vt:lpstr>
      <vt:lpstr>прил.3 (пост.безв.24-25)</vt:lpstr>
      <vt:lpstr>прил 6 (Рз,ПР 23-25)</vt:lpstr>
      <vt:lpstr>прил 7 (ЦС,ВР 23)</vt:lpstr>
      <vt:lpstr>прил 8 (ЦС,ВР 24-25)</vt:lpstr>
      <vt:lpstr>прил9 (ведом 23)</vt:lpstr>
      <vt:lpstr>прил10 (ведом 24-25)</vt:lpstr>
      <vt:lpstr>прил.11 (Источники 23-25)</vt:lpstr>
      <vt:lpstr>прил.12 (безв.всего 23-25)</vt:lpstr>
      <vt:lpstr>'прил 6 (Рз,ПР 23-25)'!Заголовки_для_печати</vt:lpstr>
      <vt:lpstr>'прил 7 (ЦС,ВР 23)'!Заголовки_для_печати</vt:lpstr>
      <vt:lpstr>'прил 8 (ЦС,ВР 24-25)'!Заголовки_для_печати</vt:lpstr>
      <vt:lpstr>'прил. 1 (поступл.23-25)'!Заголовки_для_печати</vt:lpstr>
      <vt:lpstr>'прил.11 (Источники 23-25)'!Заголовки_для_печати</vt:lpstr>
      <vt:lpstr>'прил.2(пост.безв.23)'!Заголовки_для_печати</vt:lpstr>
      <vt:lpstr>'прил.3 (пост.безв.24-25)'!Заголовки_для_печати</vt:lpstr>
      <vt:lpstr>'прил10 (ведом 24-25)'!Заголовки_для_печати</vt:lpstr>
      <vt:lpstr>'прил9 (ведом 23)'!Заголовки_для_печати</vt:lpstr>
      <vt:lpstr>'прил 6 (Рз,ПР 23-25)'!Область_печати</vt:lpstr>
      <vt:lpstr>'прил 7 (ЦС,ВР 23)'!Область_печати</vt:lpstr>
      <vt:lpstr>'прил 8 (ЦС,ВР 24-25)'!Область_печати</vt:lpstr>
      <vt:lpstr>'прил. 1 (поступл.23-25)'!Область_печати</vt:lpstr>
      <vt:lpstr>'прил.11 (Источники 23-25)'!Область_печати</vt:lpstr>
      <vt:lpstr>'прил.12 (безв.всего 23-25)'!Область_печати</vt:lpstr>
      <vt:lpstr>'прил.2(пост.безв.23)'!Область_печати</vt:lpstr>
      <vt:lpstr>'прил.3 (пост.безв.24-25)'!Область_печати</vt:lpstr>
      <vt:lpstr>'прил10 (ведом 24-25)'!Область_печати</vt:lpstr>
      <vt:lpstr>'прил9 (ведом 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2023-09-29T06:50:01Z</dcterms:modified>
</cp:coreProperties>
</file>