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408" windowWidth="14808" windowHeight="1116" tabRatio="852"/>
  </bookViews>
  <sheets>
    <sheet name="прил. 1 (поступл.23-25)" sheetId="5" r:id="rId1"/>
    <sheet name="прил.2(пост.безв.23)" sheetId="2" r:id="rId2"/>
    <sheet name="прил 6 (Рз,ПР 23-25)" sheetId="6" r:id="rId3"/>
    <sheet name="прил 7 (ЦС,ВР 23)" sheetId="7" r:id="rId4"/>
    <sheet name="прил9 (ведом 23)" sheetId="3" r:id="rId5"/>
    <sheet name="прил.11 (Источники 23-25)" sheetId="8" r:id="rId6"/>
    <sheet name="прил.12 (безв.всего 23-25)" sheetId="9" r:id="rId7"/>
    <sheet name="прил.14 мун.внутр.заим.23-25)" sheetId="12" r:id="rId8"/>
  </sheets>
  <definedNames>
    <definedName name="_xlnm._FilterDatabase" localSheetId="2" hidden="1">'прил 6 (Рз,ПР 23-25)'!$A$1:$A$66</definedName>
    <definedName name="_xlnm._FilterDatabase" localSheetId="3" hidden="1">'прил 7 (ЦС,ВР 23)'!$A$1:$H$674</definedName>
    <definedName name="_xlnm._FilterDatabase" localSheetId="1" hidden="1">'прил.2(пост.безв.23)'!$B$1:$C$437</definedName>
    <definedName name="_xlnm._FilterDatabase" localSheetId="4" hidden="1">'прил9 (ведом 23)'!$A$1:$M$1011</definedName>
    <definedName name="Z_168CADD9_CFDC_4445_BFE6_DAD4B9423C72_.wvu.FilterData" localSheetId="3" hidden="1">'прил 7 (ЦС,ВР 23)'!#REF!</definedName>
    <definedName name="Z_1F25B6A1_C9F7_11D8_A2FD_006098EF8B30_.wvu.FilterData" localSheetId="3" hidden="1">'прил 7 (ЦС,ВР 23)'!#REF!</definedName>
    <definedName name="Z_29D950F2_21ED_48E6_BFC6_87DD89E0125A_.wvu.FilterData" localSheetId="3" hidden="1">'прил 7 (ЦС,ВР 23)'!#REF!</definedName>
    <definedName name="Z_2CA7FCD5_27A5_4474_9D49_7A7E23BD2FF9_.wvu.FilterData" localSheetId="3" hidden="1">'прил 7 (ЦС,ВР 23)'!#REF!</definedName>
    <definedName name="Z_48E28AC5_4E0A_4FBA_AE6D_340F9E8D4B3C_.wvu.FilterData" localSheetId="3" hidden="1">'прил 7 (ЦС,ВР 23)'!#REF!</definedName>
    <definedName name="Z_6398E0F2_3205_40F4_BF0A_C9F4D0DA9A75_.wvu.FilterData" localSheetId="3" hidden="1">'прил 7 (ЦС,ВР 23)'!#REF!</definedName>
    <definedName name="Z_64DF1B77_0EDD_4B56_A91C_5E003BE599EF_.wvu.FilterData" localSheetId="3" hidden="1">'прил 7 (ЦС,ВР 23)'!#REF!</definedName>
    <definedName name="Z_6786C020_BCF1_463A_B3E9_7DE69D46EAB3_.wvu.FilterData" localSheetId="3" hidden="1">'прил 7 (ЦС,ВР 23)'!#REF!</definedName>
    <definedName name="Z_8E2E7D81_C767_11D8_A2FD_006098EF8B30_.wvu.FilterData" localSheetId="3" hidden="1">'прил 7 (ЦС,ВР 23)'!#REF!</definedName>
    <definedName name="Z_97D0CDFA_8A34_4B3C_BA32_D4F0E3218B75_.wvu.FilterData" localSheetId="3" hidden="1">'прил 7 (ЦС,ВР 23)'!#REF!</definedName>
    <definedName name="Z_B246FE0E_E986_4211_B02A_04E4565C0FED_.wvu.Cols" localSheetId="3" hidden="1">'прил 7 (ЦС,ВР 23)'!$A:$A,'прил 7 (ЦС,ВР 23)'!#REF!</definedName>
    <definedName name="Z_B246FE0E_E986_4211_B02A_04E4565C0FED_.wvu.FilterData" localSheetId="3" hidden="1">'прил 7 (ЦС,ВР 23)'!#REF!</definedName>
    <definedName name="Z_B246FE0E_E986_4211_B02A_04E4565C0FED_.wvu.PrintArea" localSheetId="3" hidden="1">'прил 7 (ЦС,ВР 23)'!#REF!</definedName>
    <definedName name="Z_B246FE0E_E986_4211_B02A_04E4565C0FED_.wvu.PrintTitles" localSheetId="3" hidden="1">'прил 7 (ЦС,ВР 23)'!#REF!</definedName>
    <definedName name="Z_C54CDF8B_FA5C_4A02_B343_3FEFD9721392_.wvu.FilterData" localSheetId="3" hidden="1">'прил 7 (ЦС,ВР 23)'!#REF!</definedName>
    <definedName name="Z_D7174C22_B878_4584_A218_37ED88979064_.wvu.FilterData" localSheetId="3" hidden="1">'прил 7 (ЦС,ВР 23)'!#REF!</definedName>
    <definedName name="Z_DD7538FB_7299_4DEE_90D5_2739132A1616_.wvu.FilterData" localSheetId="3" hidden="1">'прил 7 (ЦС,ВР 23)'!#REF!</definedName>
    <definedName name="Z_E4B436A8_4A5B_422F_8C0E_9267F763D19D_.wvu.FilterData" localSheetId="3" hidden="1">'прил 7 (ЦС,ВР 23)'!#REF!</definedName>
    <definedName name="Z_E6BB4361_1D58_11D9_A2FD_006098EF8B30_.wvu.FilterData" localSheetId="3" hidden="1">'прил 7 (ЦС,ВР 23)'!#REF!</definedName>
    <definedName name="Z_EF486DA3_1DF3_11D9_A2FD_006098EF8B30_.wvu.FilterData" localSheetId="3" hidden="1">'прил 7 (ЦС,ВР 23)'!#REF!</definedName>
    <definedName name="Z_EF486DA8_1DF3_11D9_A2FD_006098EF8B30_.wvu.FilterData" localSheetId="3" hidden="1">'прил 7 (ЦС,ВР 23)'!#REF!</definedName>
    <definedName name="Z_EF486DAA_1DF3_11D9_A2FD_006098EF8B30_.wvu.FilterData" localSheetId="3" hidden="1">'прил 7 (ЦС,ВР 23)'!#REF!</definedName>
    <definedName name="Z_EF486DAC_1DF3_11D9_A2FD_006098EF8B30_.wvu.FilterData" localSheetId="3" hidden="1">'прил 7 (ЦС,ВР 23)'!#REF!</definedName>
    <definedName name="Z_EF5A4981_C8E4_11D8_A2FC_006098EF8BA8_.wvu.Cols" localSheetId="3" hidden="1">'прил 7 (ЦС,ВР 23)'!$A:$A,'прил 7 (ЦС,ВР 23)'!#REF!,'прил 7 (ЦС,ВР 23)'!#REF!</definedName>
    <definedName name="Z_EF5A4981_C8E4_11D8_A2FC_006098EF8BA8_.wvu.FilterData" localSheetId="3" hidden="1">'прил 7 (ЦС,ВР 23)'!#REF!</definedName>
    <definedName name="Z_EF5A4981_C8E4_11D8_A2FC_006098EF8BA8_.wvu.PrintArea" localSheetId="3" hidden="1">'прил 7 (ЦС,ВР 23)'!#REF!</definedName>
    <definedName name="Z_EF5A4981_C8E4_11D8_A2FC_006098EF8BA8_.wvu.PrintTitles" localSheetId="3" hidden="1">'прил 7 (ЦС,ВР 23)'!#REF!</definedName>
    <definedName name="_xlnm.Print_Titles" localSheetId="2">'прил 6 (Рз,ПР 23-25)'!$14:$14</definedName>
    <definedName name="_xlnm.Print_Titles" localSheetId="3">'прил 7 (ЦС,ВР 23)'!$12:$12</definedName>
    <definedName name="_xlnm.Print_Titles" localSheetId="0">'прил. 1 (поступл.23-25)'!$14:$14</definedName>
    <definedName name="_xlnm.Print_Titles" localSheetId="5">'прил.11 (Источники 23-25)'!$13:$13</definedName>
    <definedName name="_xlnm.Print_Titles" localSheetId="7">'прил.14 мун.внутр.заим.23-25)'!$34:$34</definedName>
    <definedName name="_xlnm.Print_Titles" localSheetId="1">'прил.2(пост.безв.23)'!$13:$13</definedName>
    <definedName name="_xlnm.Print_Titles" localSheetId="4">'прил9 (ведом 23)'!$13:$13</definedName>
    <definedName name="_xlnm.Print_Area" localSheetId="2">'прил 6 (Рз,ПР 23-25)'!$A$1:$F$67</definedName>
    <definedName name="_xlnm.Print_Area" localSheetId="3">'прил 7 (ЦС,ВР 23)'!$A$1:$H$664</definedName>
    <definedName name="_xlnm.Print_Area" localSheetId="0">'прил. 1 (поступл.23-25)'!$A$1:$E$57</definedName>
    <definedName name="_xlnm.Print_Area" localSheetId="5">'прил.11 (Источники 23-25)'!$A$1:$E$43</definedName>
    <definedName name="_xlnm.Print_Area" localSheetId="6">'прил.12 (безв.всего 23-25)'!$A$1:$D$22</definedName>
    <definedName name="_xlnm.Print_Area" localSheetId="7">'прил.14 мун.внутр.заим.23-25)'!$A$1:$D$51</definedName>
    <definedName name="_xlnm.Print_Area" localSheetId="1">'прил.2(пост.безв.23)'!$A$1:$C$105</definedName>
    <definedName name="_xlnm.Print_Area" localSheetId="4">'прил9 (ведом 23)'!$A$1:$M$901</definedName>
  </definedNames>
  <calcPr calcId="145621"/>
</workbook>
</file>

<file path=xl/calcChain.xml><?xml version="1.0" encoding="utf-8"?>
<calcChain xmlns="http://schemas.openxmlformats.org/spreadsheetml/2006/main">
  <c r="M553" i="3" l="1"/>
  <c r="M549" i="3"/>
  <c r="M540" i="3" l="1"/>
  <c r="M564" i="3"/>
  <c r="M856" i="3" l="1"/>
  <c r="M832" i="3"/>
  <c r="M346" i="3" l="1"/>
  <c r="M345" i="3"/>
  <c r="M28" i="3" l="1"/>
  <c r="M596" i="3" l="1"/>
  <c r="M686" i="3"/>
  <c r="M684" i="3"/>
  <c r="H450" i="7" l="1"/>
  <c r="H449" i="7" s="1"/>
  <c r="M426" i="3"/>
  <c r="L427" i="3"/>
  <c r="L426" i="3" s="1"/>
  <c r="M429" i="3"/>
  <c r="M364" i="3" l="1"/>
  <c r="M367" i="3"/>
  <c r="M55" i="3" l="1"/>
  <c r="H552" i="7" l="1"/>
  <c r="H551" i="7" s="1"/>
  <c r="H550" i="7" s="1"/>
  <c r="L227" i="3"/>
  <c r="L226" i="3" s="1"/>
  <c r="L225" i="3" s="1"/>
  <c r="L224" i="3" s="1"/>
  <c r="L223" i="3" s="1"/>
  <c r="L222" i="3" s="1"/>
  <c r="L221" i="3" s="1"/>
  <c r="M226" i="3"/>
  <c r="M225" i="3" s="1"/>
  <c r="M224" i="3" s="1"/>
  <c r="M223" i="3" s="1"/>
  <c r="M222" i="3" s="1"/>
  <c r="M221" i="3" s="1"/>
  <c r="M950" i="3" s="1"/>
  <c r="K226" i="3"/>
  <c r="K225" i="3" s="1"/>
  <c r="K224" i="3" s="1"/>
  <c r="K223" i="3" s="1"/>
  <c r="K222" i="3" s="1"/>
  <c r="K221" i="3" s="1"/>
  <c r="M161" i="3" l="1"/>
  <c r="M152" i="3"/>
  <c r="M539" i="3" l="1"/>
  <c r="M492" i="3"/>
  <c r="M520" i="3"/>
  <c r="M496" i="3"/>
  <c r="M511" i="3"/>
  <c r="M604" i="3" l="1"/>
  <c r="M587" i="3"/>
  <c r="M75" i="3" l="1"/>
  <c r="M30" i="3" l="1"/>
  <c r="M31" i="3"/>
  <c r="M61" i="3"/>
  <c r="M71" i="3"/>
  <c r="M72" i="3"/>
  <c r="M77" i="3"/>
  <c r="M80" i="3"/>
  <c r="M83" i="3"/>
  <c r="M84" i="3"/>
  <c r="M85" i="3"/>
  <c r="M87" i="3"/>
  <c r="M93" i="3"/>
  <c r="M102" i="3"/>
  <c r="M117" i="3"/>
  <c r="M156" i="3"/>
  <c r="M170" i="3"/>
  <c r="M194" i="3"/>
  <c r="M208" i="3"/>
  <c r="M804" i="3"/>
  <c r="M588" i="3" l="1"/>
  <c r="M527" i="3"/>
  <c r="M528" i="3"/>
  <c r="M849" i="3"/>
  <c r="M777" i="3"/>
  <c r="M490" i="3" l="1"/>
  <c r="M379" i="3"/>
  <c r="M403" i="3"/>
  <c r="M466" i="3"/>
  <c r="M444" i="3"/>
  <c r="M436" i="3"/>
  <c r="M778" i="3" l="1"/>
  <c r="M776" i="3"/>
  <c r="M815" i="3"/>
  <c r="M789" i="3"/>
  <c r="M404" i="3" l="1"/>
  <c r="M371" i="3" l="1"/>
  <c r="M391" i="3"/>
  <c r="H348" i="7"/>
  <c r="H347" i="7" s="1"/>
  <c r="M310" i="3"/>
  <c r="M309" i="3" s="1"/>
  <c r="L311" i="3"/>
  <c r="L310" i="3" s="1"/>
  <c r="L309" i="3" s="1"/>
  <c r="M302" i="3"/>
  <c r="D39" i="12" l="1"/>
  <c r="C39" i="12"/>
  <c r="D20" i="12"/>
  <c r="M317" i="3" l="1"/>
  <c r="M299" i="3"/>
  <c r="M548" i="3" l="1"/>
  <c r="M547" i="3"/>
  <c r="M538" i="3" l="1"/>
  <c r="M531" i="3"/>
  <c r="H191" i="7"/>
  <c r="L719" i="3"/>
  <c r="M717" i="3"/>
  <c r="M805" i="3"/>
  <c r="M894" i="3" l="1"/>
  <c r="M893" i="3"/>
  <c r="M890" i="3"/>
  <c r="M891" i="3"/>
  <c r="H646" i="7"/>
  <c r="H645" i="7" s="1"/>
  <c r="H644" i="7" s="1"/>
  <c r="H643" i="7"/>
  <c r="H642" i="7" s="1"/>
  <c r="H641" i="7" s="1"/>
  <c r="H640" i="7"/>
  <c r="H639" i="7" s="1"/>
  <c r="H638" i="7" s="1"/>
  <c r="H637" i="7"/>
  <c r="H636" i="7" s="1"/>
  <c r="H635" i="7" s="1"/>
  <c r="H634" i="7"/>
  <c r="H633" i="7" s="1"/>
  <c r="H632" i="7" s="1"/>
  <c r="H631" i="7"/>
  <c r="H630" i="7" s="1"/>
  <c r="H629" i="7" s="1"/>
  <c r="M284" i="3"/>
  <c r="M283" i="3" s="1"/>
  <c r="M281" i="3"/>
  <c r="M280" i="3" s="1"/>
  <c r="M278" i="3"/>
  <c r="M277" i="3" s="1"/>
  <c r="M275" i="3"/>
  <c r="M274" i="3" s="1"/>
  <c r="M272" i="3"/>
  <c r="M271" i="3" s="1"/>
  <c r="M269" i="3"/>
  <c r="M268" i="3" s="1"/>
  <c r="L285" i="3" l="1"/>
  <c r="L284" i="3" s="1"/>
  <c r="L283" i="3" s="1"/>
  <c r="L282" i="3"/>
  <c r="L281" i="3" s="1"/>
  <c r="L280" i="3" s="1"/>
  <c r="L279" i="3"/>
  <c r="L278" i="3" s="1"/>
  <c r="L277" i="3" s="1"/>
  <c r="L276" i="3"/>
  <c r="L275" i="3" s="1"/>
  <c r="L274" i="3" s="1"/>
  <c r="L273" i="3"/>
  <c r="L272" i="3" s="1"/>
  <c r="L271" i="3" s="1"/>
  <c r="L270" i="3"/>
  <c r="L269" i="3" s="1"/>
  <c r="L268" i="3" s="1"/>
  <c r="M123" i="3"/>
  <c r="M122" i="3"/>
  <c r="K892" i="3" l="1"/>
  <c r="K889" i="3"/>
  <c r="K886" i="3"/>
  <c r="K880" i="3"/>
  <c r="K879" i="3" s="1"/>
  <c r="K876" i="3"/>
  <c r="K873" i="3"/>
  <c r="K871" i="3"/>
  <c r="K868" i="3"/>
  <c r="K865" i="3"/>
  <c r="K856" i="3"/>
  <c r="K854" i="3" s="1"/>
  <c r="K853" i="3" s="1"/>
  <c r="K852" i="3" s="1"/>
  <c r="K851" i="3" s="1"/>
  <c r="K850" i="3" s="1"/>
  <c r="K855" i="3"/>
  <c r="K849" i="3"/>
  <c r="K848" i="3" s="1"/>
  <c r="K847" i="3"/>
  <c r="K846" i="3"/>
  <c r="K845" i="3"/>
  <c r="K837" i="3"/>
  <c r="K836" i="3" s="1"/>
  <c r="K834" i="3"/>
  <c r="K833" i="3" s="1"/>
  <c r="K832" i="3"/>
  <c r="K831" i="3" s="1"/>
  <c r="K830" i="3" s="1"/>
  <c r="K820" i="3"/>
  <c r="K819" i="3" s="1"/>
  <c r="K818" i="3" s="1"/>
  <c r="K817" i="3" s="1"/>
  <c r="K816" i="3" s="1"/>
  <c r="K814" i="3"/>
  <c r="K813" i="3"/>
  <c r="K812" i="3" s="1"/>
  <c r="K810" i="3"/>
  <c r="K809" i="3"/>
  <c r="K808" i="3" s="1"/>
  <c r="K807" i="3"/>
  <c r="K806" i="3" s="1"/>
  <c r="K805" i="3"/>
  <c r="K804" i="3"/>
  <c r="K803" i="3"/>
  <c r="K799" i="3"/>
  <c r="K798" i="3" s="1"/>
  <c r="K797" i="3" s="1"/>
  <c r="K796" i="3" s="1"/>
  <c r="K792" i="3"/>
  <c r="K791" i="3" s="1"/>
  <c r="K790" i="3" s="1"/>
  <c r="K789" i="3"/>
  <c r="K788" i="3" s="1"/>
  <c r="K787" i="3" s="1"/>
  <c r="K786" i="3"/>
  <c r="K785" i="3" s="1"/>
  <c r="K784" i="3" s="1"/>
  <c r="K779" i="3"/>
  <c r="K777" i="3"/>
  <c r="K775" i="3" s="1"/>
  <c r="K773" i="3"/>
  <c r="K772" i="3" s="1"/>
  <c r="K771" i="3"/>
  <c r="K770" i="3"/>
  <c r="K769" i="3"/>
  <c r="K765" i="3"/>
  <c r="K764" i="3" s="1"/>
  <c r="K763" i="3" s="1"/>
  <c r="K762" i="3" s="1"/>
  <c r="K758" i="3"/>
  <c r="K757" i="3" s="1"/>
  <c r="K756" i="3" s="1"/>
  <c r="K755" i="3" s="1"/>
  <c r="K754" i="3" s="1"/>
  <c r="K753" i="3" s="1"/>
  <c r="K752" i="3" s="1"/>
  <c r="K748" i="3"/>
  <c r="K747" i="3"/>
  <c r="K744" i="3"/>
  <c r="K743" i="3"/>
  <c r="K739" i="3"/>
  <c r="K738" i="3" s="1"/>
  <c r="K737" i="3" s="1"/>
  <c r="K736" i="3" s="1"/>
  <c r="K733" i="3"/>
  <c r="K732" i="3" s="1"/>
  <c r="K731" i="3"/>
  <c r="K730" i="3"/>
  <c r="K726" i="3"/>
  <c r="K725" i="3" s="1"/>
  <c r="K724" i="3"/>
  <c r="K723" i="3" s="1"/>
  <c r="K722" i="3"/>
  <c r="K721" i="3" s="1"/>
  <c r="K720" i="3"/>
  <c r="K718" i="3"/>
  <c r="K717" i="3"/>
  <c r="K714" i="3"/>
  <c r="K713" i="3" s="1"/>
  <c r="K711" i="3"/>
  <c r="K709" i="3"/>
  <c r="K708" i="3"/>
  <c r="K707" i="3" s="1"/>
  <c r="K706" i="3"/>
  <c r="K705" i="3" s="1"/>
  <c r="K704" i="3"/>
  <c r="K703" i="3" s="1"/>
  <c r="K696" i="3"/>
  <c r="K695" i="3" s="1"/>
  <c r="K694" i="3"/>
  <c r="K693" i="3" s="1"/>
  <c r="K692" i="3" s="1"/>
  <c r="K688" i="3"/>
  <c r="K687" i="3" s="1"/>
  <c r="K686" i="3"/>
  <c r="K685" i="3" s="1"/>
  <c r="K684" i="3"/>
  <c r="K683" i="3" s="1"/>
  <c r="K682" i="3"/>
  <c r="K681" i="3" s="1"/>
  <c r="K674" i="3"/>
  <c r="K673" i="3" s="1"/>
  <c r="K672" i="3" s="1"/>
  <c r="K671" i="3" s="1"/>
  <c r="K666" i="3"/>
  <c r="K665" i="3"/>
  <c r="K659" i="3"/>
  <c r="K658" i="3" s="1"/>
  <c r="K657" i="3" s="1"/>
  <c r="K656" i="3" s="1"/>
  <c r="K655" i="3" s="1"/>
  <c r="K654" i="3" s="1"/>
  <c r="K651" i="3"/>
  <c r="K650" i="3"/>
  <c r="K649" i="3" s="1"/>
  <c r="K647" i="3"/>
  <c r="K645" i="3" s="1"/>
  <c r="K643" i="3"/>
  <c r="K642" i="3"/>
  <c r="K640" i="3" s="1"/>
  <c r="K638" i="3"/>
  <c r="K637" i="3"/>
  <c r="K636" i="3"/>
  <c r="K633" i="3"/>
  <c r="K631" i="3" s="1"/>
  <c r="K632" i="3"/>
  <c r="K628" i="3"/>
  <c r="K627" i="3" s="1"/>
  <c r="K626" i="3" s="1"/>
  <c r="K625" i="3" s="1"/>
  <c r="K621" i="3"/>
  <c r="K620" i="3" s="1"/>
  <c r="K619" i="3" s="1"/>
  <c r="K617" i="3"/>
  <c r="K616" i="3" s="1"/>
  <c r="K615" i="3" s="1"/>
  <c r="K612" i="3"/>
  <c r="K611" i="3" s="1"/>
  <c r="K610" i="3" s="1"/>
  <c r="K609" i="3" s="1"/>
  <c r="K608" i="3" s="1"/>
  <c r="K607" i="3"/>
  <c r="K605" i="3" s="1"/>
  <c r="K604" i="3"/>
  <c r="K602" i="3" s="1"/>
  <c r="K600" i="3"/>
  <c r="K599" i="3"/>
  <c r="K598" i="3"/>
  <c r="K596" i="3"/>
  <c r="K595" i="3" s="1"/>
  <c r="K594" i="3"/>
  <c r="K593" i="3"/>
  <c r="K591" i="3"/>
  <c r="K590" i="3" s="1"/>
  <c r="K589" i="3"/>
  <c r="K588" i="3"/>
  <c r="K587" i="3"/>
  <c r="K586" i="3"/>
  <c r="K580" i="3"/>
  <c r="K579" i="3" s="1"/>
  <c r="K578" i="3" s="1"/>
  <c r="K577" i="3" s="1"/>
  <c r="K576" i="3"/>
  <c r="K575" i="3" s="1"/>
  <c r="K572" i="3"/>
  <c r="K570" i="3"/>
  <c r="K569" i="3"/>
  <c r="K568" i="3"/>
  <c r="K566" i="3"/>
  <c r="K565" i="3" s="1"/>
  <c r="K564" i="3"/>
  <c r="K563" i="3"/>
  <c r="K561" i="3"/>
  <c r="K560" i="3"/>
  <c r="K558" i="3"/>
  <c r="K557" i="3" s="1"/>
  <c r="K556" i="3"/>
  <c r="K555" i="3"/>
  <c r="K553" i="3"/>
  <c r="K552" i="3"/>
  <c r="K551" i="3"/>
  <c r="K549" i="3"/>
  <c r="K546" i="3" s="1"/>
  <c r="K545" i="3"/>
  <c r="K543" i="3" s="1"/>
  <c r="K541" i="3"/>
  <c r="K540" i="3"/>
  <c r="K539" i="3"/>
  <c r="K538" i="3"/>
  <c r="K535" i="3"/>
  <c r="K534" i="3"/>
  <c r="K532" i="3"/>
  <c r="K531" i="3"/>
  <c r="K529" i="3"/>
  <c r="K528" i="3"/>
  <c r="K527" i="3"/>
  <c r="K519" i="3"/>
  <c r="K518" i="3" s="1"/>
  <c r="K517" i="3" s="1"/>
  <c r="K516" i="3" s="1"/>
  <c r="K514" i="3"/>
  <c r="K513" i="3"/>
  <c r="K512" i="3" s="1"/>
  <c r="K510" i="3"/>
  <c r="K505" i="3"/>
  <c r="K503" i="3"/>
  <c r="K501" i="3"/>
  <c r="K500" i="3"/>
  <c r="K499" i="3" s="1"/>
  <c r="K498" i="3"/>
  <c r="K497" i="3" s="1"/>
  <c r="K496" i="3"/>
  <c r="K495" i="3" s="1"/>
  <c r="K494" i="3"/>
  <c r="K493" i="3" s="1"/>
  <c r="K492" i="3"/>
  <c r="K491" i="3" s="1"/>
  <c r="K490" i="3"/>
  <c r="K489" i="3" s="1"/>
  <c r="K483" i="3"/>
  <c r="K482" i="3" s="1"/>
  <c r="K481" i="3" s="1"/>
  <c r="K479" i="3"/>
  <c r="K478" i="3" s="1"/>
  <c r="K477" i="3"/>
  <c r="K476" i="3" s="1"/>
  <c r="K475" i="3" s="1"/>
  <c r="K468" i="3"/>
  <c r="K467" i="3" s="1"/>
  <c r="K466" i="3"/>
  <c r="K465" i="3" s="1"/>
  <c r="K459" i="3"/>
  <c r="K458" i="3" s="1"/>
  <c r="K457" i="3" s="1"/>
  <c r="K456" i="3" s="1"/>
  <c r="K455" i="3" s="1"/>
  <c r="K454" i="3" s="1"/>
  <c r="K453" i="3" s="1"/>
  <c r="K451" i="3"/>
  <c r="K450" i="3" s="1"/>
  <c r="K449" i="3" s="1"/>
  <c r="K448" i="3" s="1"/>
  <c r="K447" i="3" s="1"/>
  <c r="K446" i="3"/>
  <c r="K445" i="3" s="1"/>
  <c r="K444" i="3"/>
  <c r="K443" i="3" s="1"/>
  <c r="K438" i="3"/>
  <c r="K437" i="3" s="1"/>
  <c r="K436" i="3"/>
  <c r="K435" i="3" s="1"/>
  <c r="K429" i="3"/>
  <c r="K428" i="3" s="1"/>
  <c r="K425" i="3" s="1"/>
  <c r="K424" i="3" s="1"/>
  <c r="K423" i="3" s="1"/>
  <c r="K422" i="3" s="1"/>
  <c r="K421" i="3" s="1"/>
  <c r="K419" i="3"/>
  <c r="K418" i="3" s="1"/>
  <c r="K417" i="3" s="1"/>
  <c r="K416" i="3"/>
  <c r="K415" i="3" s="1"/>
  <c r="K414" i="3" s="1"/>
  <c r="K413" i="3" s="1"/>
  <c r="K408" i="3"/>
  <c r="K407" i="3" s="1"/>
  <c r="K406" i="3" s="1"/>
  <c r="K405" i="3" s="1"/>
  <c r="K404" i="3"/>
  <c r="K402" i="3" s="1"/>
  <c r="K401" i="3" s="1"/>
  <c r="K400" i="3" s="1"/>
  <c r="K399" i="3" s="1"/>
  <c r="K398" i="3"/>
  <c r="K397" i="3" s="1"/>
  <c r="K396" i="3" s="1"/>
  <c r="K395" i="3" s="1"/>
  <c r="K394" i="3" s="1"/>
  <c r="K393" i="3"/>
  <c r="K392" i="3"/>
  <c r="K391" i="3"/>
  <c r="K387" i="3"/>
  <c r="K386" i="3" s="1"/>
  <c r="K385" i="3" s="1"/>
  <c r="K384" i="3"/>
  <c r="K383" i="3" s="1"/>
  <c r="K382" i="3" s="1"/>
  <c r="K381" i="3"/>
  <c r="K380" i="3" s="1"/>
  <c r="K379" i="3"/>
  <c r="K378" i="3" s="1"/>
  <c r="K376" i="3"/>
  <c r="K374" i="3" s="1"/>
  <c r="K373" i="3"/>
  <c r="K372" i="3"/>
  <c r="K370" i="3" s="1"/>
  <c r="K367" i="3"/>
  <c r="K366" i="3" s="1"/>
  <c r="K365" i="3" s="1"/>
  <c r="K364" i="3"/>
  <c r="K363" i="3" s="1"/>
  <c r="K362" i="3" s="1"/>
  <c r="K355" i="3"/>
  <c r="K354" i="3" s="1"/>
  <c r="K353" i="3" s="1"/>
  <c r="K352" i="3" s="1"/>
  <c r="K351" i="3" s="1"/>
  <c r="K350" i="3" s="1"/>
  <c r="K348" i="3"/>
  <c r="K347" i="3"/>
  <c r="K346" i="3"/>
  <c r="K345" i="3"/>
  <c r="K337" i="3"/>
  <c r="K336" i="3" s="1"/>
  <c r="K335" i="3" s="1"/>
  <c r="K334" i="3" s="1"/>
  <c r="K333" i="3" s="1"/>
  <c r="K332" i="3" s="1"/>
  <c r="K330" i="3"/>
  <c r="K329" i="3" s="1"/>
  <c r="K328" i="3" s="1"/>
  <c r="K327" i="3" s="1"/>
  <c r="K326" i="3" s="1"/>
  <c r="K324" i="3"/>
  <c r="K323" i="3" s="1"/>
  <c r="K322" i="3" s="1"/>
  <c r="K321" i="3" s="1"/>
  <c r="K320" i="3" s="1"/>
  <c r="K319" i="3" s="1"/>
  <c r="K318" i="3" s="1"/>
  <c r="K316" i="3"/>
  <c r="K315" i="3" s="1"/>
  <c r="K314" i="3"/>
  <c r="K313" i="3" s="1"/>
  <c r="K312" i="3" s="1"/>
  <c r="K305" i="3"/>
  <c r="K304" i="3" s="1"/>
  <c r="K303" i="3" s="1"/>
  <c r="K301" i="3"/>
  <c r="K299" i="3"/>
  <c r="K298" i="3"/>
  <c r="K289" i="3"/>
  <c r="K288" i="3" s="1"/>
  <c r="K287" i="3" s="1"/>
  <c r="K286" i="3" s="1"/>
  <c r="K266" i="3"/>
  <c r="K265" i="3" s="1"/>
  <c r="K263" i="3"/>
  <c r="K262" i="3" s="1"/>
  <c r="K260" i="3"/>
  <c r="K259" i="3" s="1"/>
  <c r="K257" i="3"/>
  <c r="K256" i="3" s="1"/>
  <c r="K254" i="3"/>
  <c r="K253" i="3" s="1"/>
  <c r="K251" i="3"/>
  <c r="K250" i="3" s="1"/>
  <c r="K248" i="3"/>
  <c r="K247" i="3" s="1"/>
  <c r="K245" i="3"/>
  <c r="K244" i="3" s="1"/>
  <c r="K242" i="3"/>
  <c r="K241" i="3" s="1"/>
  <c r="K240" i="3"/>
  <c r="K239" i="3" s="1"/>
  <c r="K238" i="3" s="1"/>
  <c r="K236" i="3"/>
  <c r="K235" i="3" s="1"/>
  <c r="K234" i="3"/>
  <c r="K233" i="3" s="1"/>
  <c r="K232" i="3" s="1"/>
  <c r="K220" i="3"/>
  <c r="K219" i="3" s="1"/>
  <c r="K218" i="3" s="1"/>
  <c r="K217" i="3" s="1"/>
  <c r="K216" i="3" s="1"/>
  <c r="K215" i="3" s="1"/>
  <c r="K213" i="3"/>
  <c r="K212" i="3" s="1"/>
  <c r="K211" i="3" s="1"/>
  <c r="K210" i="3" s="1"/>
  <c r="K209" i="3" s="1"/>
  <c r="K208" i="3"/>
  <c r="K207" i="3" s="1"/>
  <c r="K206" i="3" s="1"/>
  <c r="K205" i="3" s="1"/>
  <c r="K204" i="3" s="1"/>
  <c r="K203" i="3" s="1"/>
  <c r="K201" i="3"/>
  <c r="K200" i="3" s="1"/>
  <c r="K199" i="3" s="1"/>
  <c r="K198" i="3" s="1"/>
  <c r="K197" i="3" s="1"/>
  <c r="K196" i="3" s="1"/>
  <c r="K195" i="3" s="1"/>
  <c r="K194" i="3"/>
  <c r="K193" i="3" s="1"/>
  <c r="K192" i="3" s="1"/>
  <c r="K191" i="3" s="1"/>
  <c r="K190" i="3" s="1"/>
  <c r="K189" i="3" s="1"/>
  <c r="K188" i="3"/>
  <c r="K187" i="3" s="1"/>
  <c r="K186" i="3"/>
  <c r="K185" i="3" s="1"/>
  <c r="K184" i="3"/>
  <c r="K183" i="3" s="1"/>
  <c r="K177" i="3"/>
  <c r="K176" i="3" s="1"/>
  <c r="K175" i="3" s="1"/>
  <c r="K174" i="3"/>
  <c r="K173" i="3" s="1"/>
  <c r="K172" i="3"/>
  <c r="K171" i="3" s="1"/>
  <c r="K169" i="3"/>
  <c r="K164" i="3"/>
  <c r="K162" i="3"/>
  <c r="K161" i="3"/>
  <c r="K160" i="3" s="1"/>
  <c r="K155" i="3"/>
  <c r="K154" i="3" s="1"/>
  <c r="K153" i="3" s="1"/>
  <c r="K151" i="3"/>
  <c r="K150" i="3" s="1"/>
  <c r="K149" i="3" s="1"/>
  <c r="K146" i="3"/>
  <c r="K145" i="3" s="1"/>
  <c r="K144" i="3" s="1"/>
  <c r="K143" i="3" s="1"/>
  <c r="K142" i="3" s="1"/>
  <c r="K141" i="3" s="1"/>
  <c r="K139" i="3"/>
  <c r="K138" i="3" s="1"/>
  <c r="K136" i="3"/>
  <c r="K135" i="3" s="1"/>
  <c r="K129" i="3"/>
  <c r="K128" i="3" s="1"/>
  <c r="K127" i="3" s="1"/>
  <c r="K126" i="3"/>
  <c r="K125" i="3" s="1"/>
  <c r="K124" i="3" s="1"/>
  <c r="K122" i="3"/>
  <c r="K120" i="3" s="1"/>
  <c r="K119" i="3" s="1"/>
  <c r="K117" i="3"/>
  <c r="K116" i="3" s="1"/>
  <c r="K115" i="3" s="1"/>
  <c r="K113" i="3"/>
  <c r="K112" i="3"/>
  <c r="K111" i="3" s="1"/>
  <c r="K105" i="3"/>
  <c r="K103" i="3"/>
  <c r="K101" i="3"/>
  <c r="K99" i="3"/>
  <c r="K93" i="3"/>
  <c r="K92" i="3" s="1"/>
  <c r="K91" i="3"/>
  <c r="K90" i="3" s="1"/>
  <c r="K87" i="3"/>
  <c r="K86" i="3" s="1"/>
  <c r="K84" i="3"/>
  <c r="K83" i="3"/>
  <c r="K80" i="3"/>
  <c r="K79" i="3" s="1"/>
  <c r="K78" i="3" s="1"/>
  <c r="K77" i="3"/>
  <c r="K76" i="3" s="1"/>
  <c r="K75" i="3"/>
  <c r="K74" i="3" s="1"/>
  <c r="K71" i="3"/>
  <c r="K70" i="3" s="1"/>
  <c r="K69" i="3" s="1"/>
  <c r="K66" i="3"/>
  <c r="K65" i="3" s="1"/>
  <c r="K64" i="3" s="1"/>
  <c r="K63" i="3" s="1"/>
  <c r="K62" i="3" s="1"/>
  <c r="K60" i="3"/>
  <c r="K59" i="3" s="1"/>
  <c r="K58" i="3" s="1"/>
  <c r="K57" i="3" s="1"/>
  <c r="K55" i="3"/>
  <c r="K54" i="3" s="1"/>
  <c r="K53" i="3" s="1"/>
  <c r="K52" i="3" s="1"/>
  <c r="K51" i="3" s="1"/>
  <c r="K49" i="3"/>
  <c r="K48" i="3" s="1"/>
  <c r="K47" i="3" s="1"/>
  <c r="K46" i="3" s="1"/>
  <c r="K45" i="3" s="1"/>
  <c r="K43" i="3"/>
  <c r="K42" i="3" s="1"/>
  <c r="K41" i="3"/>
  <c r="K40" i="3"/>
  <c r="K36" i="3"/>
  <c r="K34" i="3"/>
  <c r="K32" i="3"/>
  <c r="K31" i="3"/>
  <c r="K30" i="3"/>
  <c r="K29" i="3"/>
  <c r="K28" i="3"/>
  <c r="K22" i="3"/>
  <c r="K21" i="3" s="1"/>
  <c r="K20" i="3" s="1"/>
  <c r="K19" i="3" s="1"/>
  <c r="K18" i="3" s="1"/>
  <c r="K17" i="3" s="1"/>
  <c r="K559" i="3" l="1"/>
  <c r="K554" i="3"/>
  <c r="K844" i="3"/>
  <c r="K843" i="3" s="1"/>
  <c r="K842" i="3" s="1"/>
  <c r="K841" i="3" s="1"/>
  <c r="K840" i="3" s="1"/>
  <c r="K839" i="3" s="1"/>
  <c r="K562" i="3"/>
  <c r="K597" i="3"/>
  <c r="K802" i="3"/>
  <c r="K801" i="3" s="1"/>
  <c r="K800" i="3" s="1"/>
  <c r="K795" i="3" s="1"/>
  <c r="K794" i="3" s="1"/>
  <c r="K39" i="3"/>
  <c r="K533" i="3"/>
  <c r="K742" i="3"/>
  <c r="K27" i="3"/>
  <c r="K26" i="3" s="1"/>
  <c r="K25" i="3" s="1"/>
  <c r="K24" i="3" s="1"/>
  <c r="K23" i="3" s="1"/>
  <c r="K390" i="3"/>
  <c r="K389" i="3" s="1"/>
  <c r="K388" i="3" s="1"/>
  <c r="K344" i="3"/>
  <c r="K343" i="3" s="1"/>
  <c r="K342" i="3" s="1"/>
  <c r="K341" i="3" s="1"/>
  <c r="K340" i="3" s="1"/>
  <c r="K339" i="3" s="1"/>
  <c r="K592" i="3"/>
  <c r="K664" i="3"/>
  <c r="K663" i="3" s="1"/>
  <c r="K662" i="3" s="1"/>
  <c r="K661" i="3" s="1"/>
  <c r="K660" i="3" s="1"/>
  <c r="K653" i="3" s="1"/>
  <c r="K585" i="3"/>
  <c r="K297" i="3"/>
  <c r="K296" i="3" s="1"/>
  <c r="K295" i="3" s="1"/>
  <c r="K294" i="3" s="1"/>
  <c r="K293" i="3" s="1"/>
  <c r="K525" i="3"/>
  <c r="K536" i="3"/>
  <c r="K768" i="3"/>
  <c r="K767" i="3" s="1"/>
  <c r="K530" i="3"/>
  <c r="K729" i="3"/>
  <c r="K728" i="3" s="1"/>
  <c r="K727" i="3" s="1"/>
  <c r="K567" i="3"/>
  <c r="K635" i="3"/>
  <c r="K168" i="3"/>
  <c r="K167" i="3" s="1"/>
  <c r="K166" i="3" s="1"/>
  <c r="K434" i="3"/>
  <c r="K433" i="3" s="1"/>
  <c r="K432" i="3" s="1"/>
  <c r="K431" i="3" s="1"/>
  <c r="K89" i="3"/>
  <c r="K88" i="3" s="1"/>
  <c r="K774" i="3"/>
  <c r="K691" i="3"/>
  <c r="K690" i="3" s="1"/>
  <c r="K689" i="3" s="1"/>
  <c r="K361" i="3"/>
  <c r="K442" i="3"/>
  <c r="K441" i="3" s="1"/>
  <c r="K440" i="3" s="1"/>
  <c r="K439" i="3" s="1"/>
  <c r="K474" i="3"/>
  <c r="K473" i="3" s="1"/>
  <c r="K472" i="3" s="1"/>
  <c r="K471" i="3" s="1"/>
  <c r="K98" i="3"/>
  <c r="K97" i="3" s="1"/>
  <c r="K96" i="3" s="1"/>
  <c r="K95" i="3" s="1"/>
  <c r="K159" i="3"/>
  <c r="K158" i="3" s="1"/>
  <c r="K157" i="3" s="1"/>
  <c r="K308" i="3"/>
  <c r="K307" i="3" s="1"/>
  <c r="K306" i="3" s="1"/>
  <c r="K670" i="3"/>
  <c r="K669" i="3" s="1"/>
  <c r="K864" i="3"/>
  <c r="K863" i="3" s="1"/>
  <c r="K862" i="3" s="1"/>
  <c r="K861" i="3" s="1"/>
  <c r="K614" i="3"/>
  <c r="K613" i="3" s="1"/>
  <c r="K73" i="3"/>
  <c r="K110" i="3"/>
  <c r="K109" i="3" s="1"/>
  <c r="K325" i="3"/>
  <c r="K369" i="3"/>
  <c r="K368" i="3" s="1"/>
  <c r="K648" i="3"/>
  <c r="K182" i="3"/>
  <c r="K180" i="3" s="1"/>
  <c r="K179" i="3" s="1"/>
  <c r="K178" i="3" s="1"/>
  <c r="K885" i="3"/>
  <c r="K884" i="3" s="1"/>
  <c r="K883" i="3" s="1"/>
  <c r="K882" i="3" s="1"/>
  <c r="K412" i="3"/>
  <c r="K411" i="3" s="1"/>
  <c r="K410" i="3" s="1"/>
  <c r="K488" i="3"/>
  <c r="K487" i="3" s="1"/>
  <c r="K486" i="3" s="1"/>
  <c r="K134" i="3"/>
  <c r="K133" i="3" s="1"/>
  <c r="K132" i="3" s="1"/>
  <c r="K148" i="3"/>
  <c r="K231" i="3"/>
  <c r="K230" i="3" s="1"/>
  <c r="K229" i="3" s="1"/>
  <c r="K228" i="3" s="1"/>
  <c r="K202" i="3"/>
  <c r="K118" i="3"/>
  <c r="K716" i="3"/>
  <c r="K715" i="3" s="1"/>
  <c r="K82" i="3"/>
  <c r="K81" i="3" s="1"/>
  <c r="K630" i="3"/>
  <c r="K783" i="3"/>
  <c r="K782" i="3" s="1"/>
  <c r="K781" i="3" s="1"/>
  <c r="K464" i="3"/>
  <c r="K463" i="3" s="1"/>
  <c r="K462" i="3" s="1"/>
  <c r="K461" i="3" s="1"/>
  <c r="K460" i="3" s="1"/>
  <c r="K509" i="3"/>
  <c r="K508" i="3" s="1"/>
  <c r="K507" i="3" s="1"/>
  <c r="K550" i="3"/>
  <c r="K571" i="3"/>
  <c r="K680" i="3"/>
  <c r="K679" i="3" s="1"/>
  <c r="K678" i="3" s="1"/>
  <c r="K677" i="3" s="1"/>
  <c r="K746" i="3"/>
  <c r="K702" i="3"/>
  <c r="K829" i="3"/>
  <c r="K828" i="3" s="1"/>
  <c r="K827" i="3" s="1"/>
  <c r="K826" i="3" s="1"/>
  <c r="K584" i="3" l="1"/>
  <c r="K583" i="3" s="1"/>
  <c r="K582" i="3" s="1"/>
  <c r="K581" i="3" s="1"/>
  <c r="K360" i="3"/>
  <c r="K359" i="3" s="1"/>
  <c r="K358" i="3" s="1"/>
  <c r="K741" i="3"/>
  <c r="K740" i="3" s="1"/>
  <c r="K735" i="3" s="1"/>
  <c r="K734" i="3" s="1"/>
  <c r="K676" i="3"/>
  <c r="K181" i="3"/>
  <c r="K524" i="3"/>
  <c r="K523" i="3" s="1"/>
  <c r="K522" i="3" s="1"/>
  <c r="K521" i="3" s="1"/>
  <c r="K430" i="3"/>
  <c r="K860" i="3"/>
  <c r="K859" i="3" s="1"/>
  <c r="K292" i="3"/>
  <c r="K291" i="3" s="1"/>
  <c r="K766" i="3"/>
  <c r="K761" i="3" s="1"/>
  <c r="K760" i="3" s="1"/>
  <c r="K759" i="3" s="1"/>
  <c r="K751" i="3" s="1"/>
  <c r="K485" i="3"/>
  <c r="K68" i="3"/>
  <c r="K67" i="3" s="1"/>
  <c r="K56" i="3" s="1"/>
  <c r="K16" i="3" s="1"/>
  <c r="K825" i="3"/>
  <c r="K629" i="3"/>
  <c r="K624" i="3" s="1"/>
  <c r="K623" i="3" s="1"/>
  <c r="K147" i="3"/>
  <c r="K131" i="3" s="1"/>
  <c r="K108" i="3"/>
  <c r="K107" i="3" s="1"/>
  <c r="K94" i="3" s="1"/>
  <c r="K701" i="3"/>
  <c r="K700" i="3" s="1"/>
  <c r="K699" i="3" s="1"/>
  <c r="M593" i="3"/>
  <c r="K357" i="3" l="1"/>
  <c r="K698" i="3"/>
  <c r="K668" i="3" s="1"/>
  <c r="K484" i="3"/>
  <c r="K470" i="3" s="1"/>
  <c r="K15" i="3"/>
  <c r="K14" i="3" l="1"/>
  <c r="M532" i="3"/>
  <c r="H100" i="7" l="1"/>
  <c r="M617" i="3"/>
  <c r="M616" i="3" s="1"/>
  <c r="M615" i="3" s="1"/>
  <c r="L618" i="3"/>
  <c r="L617" i="3" s="1"/>
  <c r="L616" i="3" s="1"/>
  <c r="L615" i="3" s="1"/>
  <c r="M535" i="3"/>
  <c r="M730" i="3" l="1"/>
  <c r="M739" i="3"/>
  <c r="M551" i="3" l="1"/>
  <c r="M586" i="3" l="1"/>
  <c r="M337" i="3" l="1"/>
  <c r="M22" i="3" l="1"/>
  <c r="M704" i="3" l="1"/>
  <c r="M682" i="3"/>
  <c r="M621" i="3"/>
  <c r="M620" i="3" s="1"/>
  <c r="M619" i="3" s="1"/>
  <c r="L622" i="3"/>
  <c r="L621" i="3" s="1"/>
  <c r="L620" i="3" s="1"/>
  <c r="L619" i="3" s="1"/>
  <c r="L614" i="3" s="1"/>
  <c r="L613" i="3" s="1"/>
  <c r="M803" i="3"/>
  <c r="M614" i="3" l="1"/>
  <c r="M613" i="3" s="1"/>
  <c r="M637" i="3"/>
  <c r="H132" i="7" s="1"/>
  <c r="M494" i="3" l="1"/>
  <c r="M177" i="3" l="1"/>
  <c r="M40" i="3"/>
  <c r="M41" i="3"/>
  <c r="M384" i="3" l="1"/>
  <c r="M393" i="3"/>
  <c r="M324" i="3" l="1"/>
  <c r="M314" i="3"/>
  <c r="M301" i="3"/>
  <c r="L302" i="3"/>
  <c r="L301" i="3" s="1"/>
  <c r="M628" i="3"/>
  <c r="M799" i="3"/>
  <c r="H628" i="7" l="1"/>
  <c r="H627" i="7" s="1"/>
  <c r="H626" i="7" s="1"/>
  <c r="H625" i="7"/>
  <c r="H624" i="7" s="1"/>
  <c r="H623" i="7" s="1"/>
  <c r="L267" i="3"/>
  <c r="L266" i="3" s="1"/>
  <c r="L265" i="3" s="1"/>
  <c r="M266" i="3"/>
  <c r="M265" i="3" s="1"/>
  <c r="L264" i="3"/>
  <c r="L263" i="3" s="1"/>
  <c r="L262" i="3" s="1"/>
  <c r="M263" i="3"/>
  <c r="M262" i="3" s="1"/>
  <c r="M355" i="3"/>
  <c r="M589" i="3" l="1"/>
  <c r="M568" i="3" l="1"/>
  <c r="M569" i="3"/>
  <c r="M570" i="3"/>
  <c r="M373" i="3" l="1"/>
  <c r="M372" i="3"/>
  <c r="M112" i="3"/>
  <c r="M846" i="3" l="1"/>
  <c r="M392" i="3" l="1"/>
  <c r="M809" i="3" l="1"/>
  <c r="H116" i="7"/>
  <c r="H413" i="7"/>
  <c r="H412" i="7" s="1"/>
  <c r="M871" i="3"/>
  <c r="L872" i="3"/>
  <c r="L871" i="3" s="1"/>
  <c r="M666" i="3"/>
  <c r="M665" i="3"/>
  <c r="L603" i="3"/>
  <c r="M602" i="3"/>
  <c r="M561" i="3"/>
  <c r="M560" i="3"/>
  <c r="M559" i="3" s="1"/>
  <c r="M556" i="3"/>
  <c r="M555" i="3"/>
  <c r="M552" i="3"/>
  <c r="M545" i="3"/>
  <c r="H40" i="7"/>
  <c r="H39" i="7" s="1"/>
  <c r="M505" i="3"/>
  <c r="L506" i="3"/>
  <c r="L505" i="3" s="1"/>
  <c r="M498" i="3"/>
  <c r="M459" i="3"/>
  <c r="M298" i="3"/>
  <c r="H619" i="7"/>
  <c r="H618" i="7" s="1"/>
  <c r="H617" i="7" s="1"/>
  <c r="H622" i="7"/>
  <c r="H621" i="7" s="1"/>
  <c r="H620" i="7" s="1"/>
  <c r="M257" i="3"/>
  <c r="M256" i="3" s="1"/>
  <c r="M260" i="3"/>
  <c r="M259" i="3" s="1"/>
  <c r="L261" i="3"/>
  <c r="L260" i="3" s="1"/>
  <c r="L259" i="3" s="1"/>
  <c r="L258" i="3"/>
  <c r="L257" i="3" s="1"/>
  <c r="L256" i="3" s="1"/>
  <c r="M234" i="3"/>
  <c r="M186" i="3"/>
  <c r="M184" i="3"/>
  <c r="M91" i="3"/>
  <c r="M289" i="3" l="1"/>
  <c r="M724" i="3" l="1"/>
  <c r="M688" i="3"/>
  <c r="H250" i="7"/>
  <c r="H249" i="7" s="1"/>
  <c r="M810" i="3"/>
  <c r="L811" i="3"/>
  <c r="L810" i="3" s="1"/>
  <c r="M636" i="3"/>
  <c r="M632" i="3"/>
  <c r="M66" i="3" l="1"/>
  <c r="M220" i="3" l="1"/>
  <c r="M398" i="3" l="1"/>
  <c r="H353" i="7" l="1"/>
  <c r="H352" i="7" s="1"/>
  <c r="M336" i="3" l="1"/>
  <c r="M335" i="3" s="1"/>
  <c r="M334" i="3" s="1"/>
  <c r="M333" i="3" s="1"/>
  <c r="M332" i="3" s="1"/>
  <c r="L337" i="3"/>
  <c r="L336" i="3" s="1"/>
  <c r="L335" i="3" s="1"/>
  <c r="L334" i="3" s="1"/>
  <c r="L333" i="3" s="1"/>
  <c r="L332" i="3" s="1"/>
  <c r="M706" i="3" l="1"/>
  <c r="M387" i="3"/>
  <c r="M390" i="3" l="1"/>
  <c r="H616" i="7"/>
  <c r="H615" i="7" s="1"/>
  <c r="H614" i="7" s="1"/>
  <c r="H613" i="7"/>
  <c r="H612" i="7" s="1"/>
  <c r="H611" i="7" s="1"/>
  <c r="M251" i="3"/>
  <c r="M250" i="3" s="1"/>
  <c r="M254" i="3"/>
  <c r="M253" i="3" s="1"/>
  <c r="L255" i="3"/>
  <c r="L254" i="3" s="1"/>
  <c r="L253" i="3" s="1"/>
  <c r="L252" i="3"/>
  <c r="L251" i="3" s="1"/>
  <c r="L250" i="3" s="1"/>
  <c r="H610" i="7" l="1"/>
  <c r="H609" i="7" s="1"/>
  <c r="H608" i="7" s="1"/>
  <c r="M248" i="3"/>
  <c r="M247" i="3" s="1"/>
  <c r="L249" i="3"/>
  <c r="L248" i="3" s="1"/>
  <c r="L247" i="3" s="1"/>
  <c r="M240" i="3"/>
  <c r="M747" i="3" l="1"/>
  <c r="M416" i="3" l="1"/>
  <c r="M419" i="3" l="1"/>
  <c r="M418" i="3" s="1"/>
  <c r="M417" i="3" s="1"/>
  <c r="L420" i="3"/>
  <c r="L419" i="3" s="1"/>
  <c r="L418" i="3" s="1"/>
  <c r="L417" i="3" s="1"/>
  <c r="M477" i="3" l="1"/>
  <c r="M483" i="3"/>
  <c r="M376" i="3" l="1"/>
  <c r="M607" i="3" l="1"/>
  <c r="M855" i="3" l="1"/>
  <c r="M743" i="3"/>
  <c r="M731" i="3"/>
  <c r="M744" i="3"/>
  <c r="M381" i="3"/>
  <c r="H399" i="7"/>
  <c r="M659" i="3" l="1"/>
  <c r="M558" i="3"/>
  <c r="H34" i="7"/>
  <c r="H33" i="7" s="1"/>
  <c r="M501" i="3"/>
  <c r="L502" i="3"/>
  <c r="L501" i="3" s="1"/>
  <c r="M188" i="3" l="1"/>
  <c r="H252" i="7" l="1"/>
  <c r="H251" i="7" s="1"/>
  <c r="M792" i="3"/>
  <c r="M791" i="3" s="1"/>
  <c r="M790" i="3" s="1"/>
  <c r="L793" i="3"/>
  <c r="L792" i="3" s="1"/>
  <c r="L791" i="3" s="1"/>
  <c r="L790" i="3" s="1"/>
  <c r="M529" i="3"/>
  <c r="H38" i="7"/>
  <c r="H37" i="7" s="1"/>
  <c r="M503" i="3" l="1"/>
  <c r="L504" i="3"/>
  <c r="L503" i="3" s="1"/>
  <c r="H604" i="7"/>
  <c r="H603" i="7" s="1"/>
  <c r="H602" i="7" s="1"/>
  <c r="M245" i="3"/>
  <c r="M244" i="3" s="1"/>
  <c r="L246" i="3"/>
  <c r="L245" i="3" s="1"/>
  <c r="L244" i="3" s="1"/>
  <c r="H607" i="7"/>
  <c r="H606" i="7" s="1"/>
  <c r="H605" i="7" s="1"/>
  <c r="M408" i="3"/>
  <c r="M407" i="3" s="1"/>
  <c r="M406" i="3" s="1"/>
  <c r="M405" i="3" s="1"/>
  <c r="L409" i="3"/>
  <c r="L408" i="3" s="1"/>
  <c r="L407" i="3" s="1"/>
  <c r="L406" i="3" s="1"/>
  <c r="L405" i="3" s="1"/>
  <c r="H444" i="7" l="1"/>
  <c r="H443" i="7" s="1"/>
  <c r="H442" i="7" s="1"/>
  <c r="M594" i="3" l="1"/>
  <c r="M534" i="3"/>
  <c r="L659" i="3"/>
  <c r="L658" i="3" s="1"/>
  <c r="L657" i="3" s="1"/>
  <c r="L656" i="3" s="1"/>
  <c r="L655" i="3" s="1"/>
  <c r="L654" i="3" s="1"/>
  <c r="M658" i="3"/>
  <c r="M657" i="3" s="1"/>
  <c r="M656" i="3" s="1"/>
  <c r="M655" i="3" s="1"/>
  <c r="M654" i="3" s="1"/>
  <c r="M642" i="3" l="1"/>
  <c r="M640" i="3" s="1"/>
  <c r="M297" i="3" l="1"/>
  <c r="M296" i="3" s="1"/>
  <c r="M580" i="3" l="1"/>
  <c r="M579" i="3" s="1"/>
  <c r="M847" i="3" l="1"/>
  <c r="M305" i="3"/>
  <c r="M722" i="3"/>
  <c r="M591" i="3" l="1"/>
  <c r="M174" i="3"/>
  <c r="H441" i="7"/>
  <c r="H440" i="7" s="1"/>
  <c r="H439" i="7" s="1"/>
  <c r="M213" i="3"/>
  <c r="M212" i="3" s="1"/>
  <c r="M211" i="3" s="1"/>
  <c r="L214" i="3"/>
  <c r="L213" i="3" s="1"/>
  <c r="L212" i="3" s="1"/>
  <c r="L211" i="3" s="1"/>
  <c r="M210" i="3" l="1"/>
  <c r="M209" i="3" s="1"/>
  <c r="M939" i="3" s="1"/>
  <c r="L210" i="3"/>
  <c r="L209" i="3" s="1"/>
  <c r="H557" i="7"/>
  <c r="H556" i="7" s="1"/>
  <c r="M173" i="3"/>
  <c r="L174" i="3"/>
  <c r="L173" i="3" s="1"/>
  <c r="H601" i="7" l="1"/>
  <c r="H600" i="7" s="1"/>
  <c r="H599" i="7" s="1"/>
  <c r="M242" i="3"/>
  <c r="M241" i="3" s="1"/>
  <c r="L243" i="3"/>
  <c r="L242" i="3" s="1"/>
  <c r="L241" i="3" s="1"/>
  <c r="H651" i="7"/>
  <c r="H650" i="7" s="1"/>
  <c r="M90" i="3"/>
  <c r="L91" i="3"/>
  <c r="L90" i="3" s="1"/>
  <c r="M813" i="3"/>
  <c r="H595" i="7" l="1"/>
  <c r="H598" i="7"/>
  <c r="H597" i="7" s="1"/>
  <c r="H596" i="7" s="1"/>
  <c r="M239" i="3"/>
  <c r="M238" i="3" s="1"/>
  <c r="L240" i="3"/>
  <c r="L239" i="3" s="1"/>
  <c r="L238" i="3" s="1"/>
  <c r="M513" i="3" l="1"/>
  <c r="L513" i="3" s="1"/>
  <c r="L512" i="3" s="1"/>
  <c r="H316" i="7" l="1"/>
  <c r="M512" i="3"/>
  <c r="M650" i="3" l="1"/>
  <c r="M807" i="3" l="1"/>
  <c r="H653" i="7" l="1"/>
  <c r="H652" i="7" s="1"/>
  <c r="H594" i="7"/>
  <c r="H593" i="7" s="1"/>
  <c r="L289" i="3" l="1"/>
  <c r="L288" i="3" s="1"/>
  <c r="L287" i="3" s="1"/>
  <c r="L286" i="3" s="1"/>
  <c r="M288" i="3"/>
  <c r="M287" i="3" s="1"/>
  <c r="M286" i="3" s="1"/>
  <c r="L237" i="3" l="1"/>
  <c r="L236" i="3" s="1"/>
  <c r="L235" i="3" s="1"/>
  <c r="M236" i="3"/>
  <c r="M235" i="3" s="1"/>
  <c r="M347" i="3"/>
  <c r="H256" i="7" l="1"/>
  <c r="H254" i="7"/>
  <c r="H248" i="7"/>
  <c r="M808" i="3"/>
  <c r="M814" i="3"/>
  <c r="M812" i="3"/>
  <c r="M806" i="3"/>
  <c r="M802" i="3"/>
  <c r="M773" i="3"/>
  <c r="H246" i="7" s="1"/>
  <c r="M771" i="3"/>
  <c r="H244" i="7" s="1"/>
  <c r="M770" i="3"/>
  <c r="H243" i="7" s="1"/>
  <c r="M769" i="3"/>
  <c r="H242" i="7" s="1"/>
  <c r="M798" i="3"/>
  <c r="M797" i="3" s="1"/>
  <c r="M796" i="3" s="1"/>
  <c r="L815" i="3"/>
  <c r="L814" i="3" s="1"/>
  <c r="L813" i="3"/>
  <c r="L812" i="3" s="1"/>
  <c r="L809" i="3"/>
  <c r="L808" i="3" s="1"/>
  <c r="L805" i="3"/>
  <c r="L804" i="3"/>
  <c r="L799" i="3"/>
  <c r="L798" i="3" s="1"/>
  <c r="L797" i="3" s="1"/>
  <c r="L796" i="3" s="1"/>
  <c r="M765" i="3"/>
  <c r="H227" i="7" s="1"/>
  <c r="M801" i="3" l="1"/>
  <c r="L807" i="3"/>
  <c r="L806" i="3" s="1"/>
  <c r="L803" i="3"/>
  <c r="L802" i="3" s="1"/>
  <c r="H389" i="7"/>
  <c r="H388" i="7" s="1"/>
  <c r="L801" i="3" l="1"/>
  <c r="M800" i="3"/>
  <c r="M795" i="3" s="1"/>
  <c r="M794" i="3" s="1"/>
  <c r="M946" i="3" s="1"/>
  <c r="M380" i="3"/>
  <c r="L381" i="3"/>
  <c r="L380" i="3" s="1"/>
  <c r="L800" i="3" l="1"/>
  <c r="L795" i="3" s="1"/>
  <c r="L794" i="3" s="1"/>
  <c r="H584" i="7" l="1"/>
  <c r="H583" i="7" s="1"/>
  <c r="H519" i="7" l="1"/>
  <c r="L30" i="3"/>
  <c r="M29" i="3"/>
  <c r="M126" i="3"/>
  <c r="M27" i="3" l="1"/>
  <c r="H560" i="7" l="1"/>
  <c r="H559" i="7" s="1"/>
  <c r="M176" i="3"/>
  <c r="M175" i="3" s="1"/>
  <c r="L177" i="3"/>
  <c r="L176" i="3" s="1"/>
  <c r="L175" i="3" s="1"/>
  <c r="M718" i="3" l="1"/>
  <c r="M758" i="3" l="1"/>
  <c r="H104" i="7" l="1"/>
  <c r="H103" i="7" s="1"/>
  <c r="M590" i="3"/>
  <c r="L591" i="3"/>
  <c r="L590" i="3" s="1"/>
  <c r="L391" i="3"/>
  <c r="M146" i="3"/>
  <c r="H137" i="7" l="1"/>
  <c r="L642" i="3"/>
  <c r="M638" i="3"/>
  <c r="H196" i="7" l="1"/>
  <c r="H195" i="7" s="1"/>
  <c r="M723" i="3"/>
  <c r="L724" i="3"/>
  <c r="L723" i="3" s="1"/>
  <c r="H184" i="7"/>
  <c r="H183" i="7" s="1"/>
  <c r="M711" i="3"/>
  <c r="L712" i="3"/>
  <c r="L711" i="3" s="1"/>
  <c r="H170" i="7"/>
  <c r="H169" i="7" s="1"/>
  <c r="M687" i="3"/>
  <c r="L688" i="3"/>
  <c r="L687" i="3" s="1"/>
  <c r="H120" i="7" l="1"/>
  <c r="H119" i="7"/>
  <c r="H75" i="7"/>
  <c r="H74" i="7" s="1"/>
  <c r="M647" i="3"/>
  <c r="M500" i="3"/>
  <c r="M605" i="3"/>
  <c r="L607" i="3"/>
  <c r="L606" i="3"/>
  <c r="M557" i="3"/>
  <c r="L558" i="3"/>
  <c r="L557" i="3" s="1"/>
  <c r="H118" i="7" l="1"/>
  <c r="L605" i="3"/>
  <c r="M720" i="3"/>
  <c r="M716" i="3" s="1"/>
  <c r="M233" i="3"/>
  <c r="M232" i="3" s="1"/>
  <c r="M231" i="3" s="1"/>
  <c r="H592" i="7"/>
  <c r="H591" i="7" s="1"/>
  <c r="H590" i="7" s="1"/>
  <c r="H589" i="7" s="1"/>
  <c r="H588" i="7" l="1"/>
  <c r="M230" i="3"/>
  <c r="M229" i="3" s="1"/>
  <c r="M955" i="3" s="1"/>
  <c r="M228" i="3" l="1"/>
  <c r="L234" i="3"/>
  <c r="L233" i="3" s="1"/>
  <c r="L232" i="3" s="1"/>
  <c r="L231" i="3" s="1"/>
  <c r="L230" i="3" l="1"/>
  <c r="L229" i="3" s="1"/>
  <c r="H655" i="7"/>
  <c r="H654" i="7" s="1"/>
  <c r="M92" i="3"/>
  <c r="L93" i="3"/>
  <c r="L92" i="3" s="1"/>
  <c r="L89" i="3" s="1"/>
  <c r="L88" i="3" l="1"/>
  <c r="M89" i="3"/>
  <c r="M88" i="3" s="1"/>
  <c r="L228" i="3"/>
  <c r="H56" i="7" l="1"/>
  <c r="H92" i="7"/>
  <c r="H93" i="7"/>
  <c r="M572" i="3"/>
  <c r="L574" i="3"/>
  <c r="L573" i="3"/>
  <c r="L539" i="3" l="1"/>
  <c r="H91" i="7"/>
  <c r="L572" i="3"/>
  <c r="M733" i="3"/>
  <c r="H48" i="7"/>
  <c r="H313" i="7"/>
  <c r="H312" i="7" s="1"/>
  <c r="M510" i="3"/>
  <c r="L511" i="3"/>
  <c r="L510" i="3" s="1"/>
  <c r="H562" i="7"/>
  <c r="H561" i="7" s="1"/>
  <c r="H558" i="7" s="1"/>
  <c r="M79" i="3"/>
  <c r="M78" i="3" s="1"/>
  <c r="L80" i="3"/>
  <c r="L79" i="3" s="1"/>
  <c r="L78" i="3" s="1"/>
  <c r="L77" i="3"/>
  <c r="M530" i="3" l="1"/>
  <c r="L531" i="3"/>
  <c r="M86" i="3"/>
  <c r="H569" i="7"/>
  <c r="H568" i="7" s="1"/>
  <c r="L87" i="3"/>
  <c r="L86" i="3" s="1"/>
  <c r="M598" i="3" l="1"/>
  <c r="M612" i="3" l="1"/>
  <c r="M599" i="3"/>
  <c r="H320" i="7" l="1"/>
  <c r="H319" i="7" s="1"/>
  <c r="M611" i="3"/>
  <c r="L612" i="3"/>
  <c r="L611" i="3" s="1"/>
  <c r="M633" i="3"/>
  <c r="M468" i="3" l="1"/>
  <c r="L468" i="3" s="1"/>
  <c r="L467" i="3" s="1"/>
  <c r="H272" i="7" l="1"/>
  <c r="H271" i="7" s="1"/>
  <c r="M467" i="3"/>
  <c r="L894" i="3"/>
  <c r="L893" i="3"/>
  <c r="L891" i="3"/>
  <c r="L890" i="3"/>
  <c r="L888" i="3"/>
  <c r="L887" i="3"/>
  <c r="L881" i="3"/>
  <c r="L880" i="3" s="1"/>
  <c r="L879" i="3" s="1"/>
  <c r="L878" i="3"/>
  <c r="L877" i="3"/>
  <c r="L875" i="3"/>
  <c r="L874" i="3"/>
  <c r="L870" i="3"/>
  <c r="L869" i="3"/>
  <c r="L867" i="3"/>
  <c r="L866" i="3"/>
  <c r="L857" i="3"/>
  <c r="L856" i="3"/>
  <c r="L855" i="3"/>
  <c r="L847" i="3"/>
  <c r="L846" i="3"/>
  <c r="L838" i="3"/>
  <c r="L837" i="3" s="1"/>
  <c r="L836" i="3" s="1"/>
  <c r="L835" i="3"/>
  <c r="L834" i="3" s="1"/>
  <c r="L833" i="3" s="1"/>
  <c r="L832" i="3"/>
  <c r="L831" i="3" s="1"/>
  <c r="L830" i="3" s="1"/>
  <c r="L823" i="3"/>
  <c r="L822" i="3"/>
  <c r="L821" i="3"/>
  <c r="L780" i="3"/>
  <c r="L779" i="3" s="1"/>
  <c r="L778" i="3"/>
  <c r="L777" i="3"/>
  <c r="L776" i="3"/>
  <c r="L758" i="3"/>
  <c r="L757" i="3" s="1"/>
  <c r="L756" i="3" s="1"/>
  <c r="L755" i="3" s="1"/>
  <c r="L754" i="3" s="1"/>
  <c r="L753" i="3" s="1"/>
  <c r="L752" i="3" s="1"/>
  <c r="L749" i="3"/>
  <c r="L747" i="3"/>
  <c r="L745" i="3"/>
  <c r="L744" i="3"/>
  <c r="L743" i="3"/>
  <c r="L731" i="3"/>
  <c r="L722" i="3"/>
  <c r="L721" i="3" s="1"/>
  <c r="L720" i="3"/>
  <c r="L718" i="3"/>
  <c r="L710" i="3"/>
  <c r="L709" i="3" s="1"/>
  <c r="L706" i="3"/>
  <c r="L705" i="3" s="1"/>
  <c r="L697" i="3"/>
  <c r="L696" i="3" s="1"/>
  <c r="L695" i="3" s="1"/>
  <c r="L675" i="3"/>
  <c r="L674" i="3" s="1"/>
  <c r="L673" i="3" s="1"/>
  <c r="L672" i="3" s="1"/>
  <c r="L666" i="3"/>
  <c r="L665" i="3"/>
  <c r="L652" i="3"/>
  <c r="L651" i="3" s="1"/>
  <c r="L650" i="3"/>
  <c r="L649" i="3" s="1"/>
  <c r="L647" i="3"/>
  <c r="L646" i="3"/>
  <c r="L644" i="3"/>
  <c r="L643" i="3" s="1"/>
  <c r="L641" i="3"/>
  <c r="L640" i="3" s="1"/>
  <c r="L639" i="3"/>
  <c r="L638" i="3"/>
  <c r="L637" i="3"/>
  <c r="L634" i="3"/>
  <c r="L633" i="3"/>
  <c r="L632" i="3"/>
  <c r="L604" i="3"/>
  <c r="L602" i="3" s="1"/>
  <c r="L601" i="3"/>
  <c r="L600" i="3" s="1"/>
  <c r="L599" i="3"/>
  <c r="L598" i="3"/>
  <c r="L596" i="3"/>
  <c r="L595" i="3" s="1"/>
  <c r="L589" i="3"/>
  <c r="L587" i="3"/>
  <c r="L580" i="3"/>
  <c r="L579" i="3" s="1"/>
  <c r="L570" i="3"/>
  <c r="L569" i="3"/>
  <c r="L568" i="3"/>
  <c r="L561" i="3"/>
  <c r="L560" i="3"/>
  <c r="L556" i="3"/>
  <c r="L555" i="3"/>
  <c r="L553" i="3"/>
  <c r="L552" i="3"/>
  <c r="L551" i="3"/>
  <c r="L549" i="3"/>
  <c r="L548" i="3"/>
  <c r="L547" i="3"/>
  <c r="L545" i="3"/>
  <c r="L544" i="3"/>
  <c r="L542" i="3"/>
  <c r="L541" i="3" s="1"/>
  <c r="L537" i="3"/>
  <c r="L532" i="3"/>
  <c r="L530" i="3" s="1"/>
  <c r="L529" i="3"/>
  <c r="L526" i="3"/>
  <c r="L520" i="3"/>
  <c r="L519" i="3" s="1"/>
  <c r="L518" i="3" s="1"/>
  <c r="L517" i="3" s="1"/>
  <c r="L516" i="3" s="1"/>
  <c r="L515" i="3"/>
  <c r="L514" i="3" s="1"/>
  <c r="L509" i="3" s="1"/>
  <c r="L500" i="3"/>
  <c r="L499" i="3" s="1"/>
  <c r="L498" i="3"/>
  <c r="L497" i="3" s="1"/>
  <c r="L496" i="3"/>
  <c r="L495" i="3" s="1"/>
  <c r="L492" i="3"/>
  <c r="L491" i="3" s="1"/>
  <c r="L483" i="3"/>
  <c r="L482" i="3" s="1"/>
  <c r="L481" i="3" s="1"/>
  <c r="L480" i="3"/>
  <c r="L479" i="3" s="1"/>
  <c r="L478" i="3" s="1"/>
  <c r="L477" i="3"/>
  <c r="L476" i="3" s="1"/>
  <c r="L475" i="3" s="1"/>
  <c r="L459" i="3"/>
  <c r="L458" i="3" s="1"/>
  <c r="L457" i="3" s="1"/>
  <c r="L456" i="3" s="1"/>
  <c r="L455" i="3" s="1"/>
  <c r="L454" i="3" s="1"/>
  <c r="L453" i="3" s="1"/>
  <c r="L452" i="3"/>
  <c r="L451" i="3" s="1"/>
  <c r="L450" i="3" s="1"/>
  <c r="L449" i="3" s="1"/>
  <c r="L448" i="3" s="1"/>
  <c r="L447" i="3" s="1"/>
  <c r="L436" i="3"/>
  <c r="L435" i="3" s="1"/>
  <c r="L416" i="3"/>
  <c r="L415" i="3" s="1"/>
  <c r="L414" i="3" s="1"/>
  <c r="L413" i="3" s="1"/>
  <c r="L404" i="3"/>
  <c r="L403" i="3"/>
  <c r="L398" i="3"/>
  <c r="L397" i="3" s="1"/>
  <c r="L396" i="3" s="1"/>
  <c r="L395" i="3" s="1"/>
  <c r="L394" i="3" s="1"/>
  <c r="L393" i="3"/>
  <c r="L392" i="3"/>
  <c r="L387" i="3"/>
  <c r="L386" i="3" s="1"/>
  <c r="L385" i="3" s="1"/>
  <c r="L384" i="3"/>
  <c r="L383" i="3" s="1"/>
  <c r="L382" i="3" s="1"/>
  <c r="L379" i="3"/>
  <c r="L378" i="3" s="1"/>
  <c r="L377" i="3"/>
  <c r="L376" i="3"/>
  <c r="L375" i="3"/>
  <c r="L373" i="3"/>
  <c r="L372" i="3"/>
  <c r="L371" i="3"/>
  <c r="L364" i="3"/>
  <c r="L363" i="3" s="1"/>
  <c r="L362" i="3" s="1"/>
  <c r="L355" i="3"/>
  <c r="L354" i="3" s="1"/>
  <c r="L353" i="3" s="1"/>
  <c r="L352" i="3" s="1"/>
  <c r="L351" i="3" s="1"/>
  <c r="L350" i="3" s="1"/>
  <c r="L349" i="3"/>
  <c r="L348" i="3" s="1"/>
  <c r="L347" i="3"/>
  <c r="L345" i="3"/>
  <c r="L331" i="3"/>
  <c r="L330" i="3" s="1"/>
  <c r="L324" i="3"/>
  <c r="L323" i="3" s="1"/>
  <c r="L322" i="3" s="1"/>
  <c r="L321" i="3" s="1"/>
  <c r="L320" i="3" s="1"/>
  <c r="L319" i="3" s="1"/>
  <c r="L318" i="3" s="1"/>
  <c r="L317" i="3"/>
  <c r="L316" i="3" s="1"/>
  <c r="L315" i="3" s="1"/>
  <c r="L314" i="3"/>
  <c r="L313" i="3" s="1"/>
  <c r="L312" i="3" s="1"/>
  <c r="L305" i="3"/>
  <c r="L304" i="3" s="1"/>
  <c r="L303" i="3" s="1"/>
  <c r="L300" i="3"/>
  <c r="L299" i="3"/>
  <c r="L194" i="3"/>
  <c r="L193" i="3" s="1"/>
  <c r="L192" i="3" s="1"/>
  <c r="L191" i="3" s="1"/>
  <c r="L190" i="3" s="1"/>
  <c r="L189" i="3" s="1"/>
  <c r="L188" i="3"/>
  <c r="L187" i="3" s="1"/>
  <c r="L186" i="3"/>
  <c r="L185" i="3" s="1"/>
  <c r="L184" i="3"/>
  <c r="L183" i="3" s="1"/>
  <c r="L170" i="3"/>
  <c r="L169" i="3" s="1"/>
  <c r="L165" i="3"/>
  <c r="L164" i="3" s="1"/>
  <c r="L163" i="3"/>
  <c r="L162" i="3" s="1"/>
  <c r="L161" i="3"/>
  <c r="L160" i="3" s="1"/>
  <c r="L156" i="3"/>
  <c r="L155" i="3" s="1"/>
  <c r="L154" i="3" s="1"/>
  <c r="L153" i="3" s="1"/>
  <c r="L152" i="3"/>
  <c r="L151" i="3" s="1"/>
  <c r="L150" i="3" s="1"/>
  <c r="L149" i="3" s="1"/>
  <c r="L146" i="3"/>
  <c r="L145" i="3" s="1"/>
  <c r="L144" i="3" s="1"/>
  <c r="L143" i="3" s="1"/>
  <c r="L142" i="3" s="1"/>
  <c r="L141" i="3" s="1"/>
  <c r="L140" i="3"/>
  <c r="L139" i="3" s="1"/>
  <c r="L138" i="3" s="1"/>
  <c r="L137" i="3"/>
  <c r="L136" i="3" s="1"/>
  <c r="L135" i="3" s="1"/>
  <c r="L130" i="3"/>
  <c r="L129" i="3" s="1"/>
  <c r="L128" i="3" s="1"/>
  <c r="L127" i="3" s="1"/>
  <c r="L126" i="3"/>
  <c r="L125" i="3" s="1"/>
  <c r="L124" i="3" s="1"/>
  <c r="L123" i="3"/>
  <c r="L122" i="3"/>
  <c r="L121" i="3"/>
  <c r="L114" i="3"/>
  <c r="L113" i="3" s="1"/>
  <c r="L112" i="3"/>
  <c r="L111" i="3" s="1"/>
  <c r="L106" i="3"/>
  <c r="L105" i="3" s="1"/>
  <c r="L104" i="3"/>
  <c r="L103" i="3" s="1"/>
  <c r="L102" i="3"/>
  <c r="L101" i="3" s="1"/>
  <c r="L100" i="3"/>
  <c r="L99" i="3" s="1"/>
  <c r="L85" i="3"/>
  <c r="L83" i="3"/>
  <c r="L72" i="3"/>
  <c r="L66" i="3"/>
  <c r="L65" i="3" s="1"/>
  <c r="L64" i="3" s="1"/>
  <c r="L63" i="3" s="1"/>
  <c r="L62" i="3" s="1"/>
  <c r="L61" i="3"/>
  <c r="L60" i="3" s="1"/>
  <c r="L59" i="3" s="1"/>
  <c r="L58" i="3" s="1"/>
  <c r="L57" i="3" s="1"/>
  <c r="L50" i="3"/>
  <c r="L49" i="3" s="1"/>
  <c r="L48" i="3" s="1"/>
  <c r="L47" i="3" s="1"/>
  <c r="L46" i="3" s="1"/>
  <c r="L45" i="3" s="1"/>
  <c r="L44" i="3"/>
  <c r="L43" i="3" s="1"/>
  <c r="L42" i="3" s="1"/>
  <c r="L41" i="3"/>
  <c r="L40" i="3"/>
  <c r="L38" i="3"/>
  <c r="L37" i="3"/>
  <c r="L35" i="3"/>
  <c r="L34" i="3" s="1"/>
  <c r="L33" i="3"/>
  <c r="L32" i="3" s="1"/>
  <c r="L31" i="3"/>
  <c r="L29" i="3"/>
  <c r="L22" i="3"/>
  <c r="L21" i="3" s="1"/>
  <c r="L20" i="3" s="1"/>
  <c r="L19" i="3" s="1"/>
  <c r="L18" i="3" s="1"/>
  <c r="L17" i="3" s="1"/>
  <c r="L308" i="3" l="1"/>
  <c r="L307" i="3" s="1"/>
  <c r="L306" i="3" s="1"/>
  <c r="L329" i="3"/>
  <c r="L328" i="3" s="1"/>
  <c r="L327" i="3" s="1"/>
  <c r="L326" i="3" s="1"/>
  <c r="L325" i="3" s="1"/>
  <c r="L390" i="3"/>
  <c r="L389" i="3" s="1"/>
  <c r="L388" i="3" s="1"/>
  <c r="L412" i="3"/>
  <c r="L411" i="3" s="1"/>
  <c r="L410" i="3" s="1"/>
  <c r="L645" i="3"/>
  <c r="L889" i="3"/>
  <c r="L370" i="3"/>
  <c r="L868" i="3"/>
  <c r="L508" i="3"/>
  <c r="L507" i="3" s="1"/>
  <c r="L466" i="3"/>
  <c r="L465" i="3" s="1"/>
  <c r="L39" i="3"/>
  <c r="L374" i="3"/>
  <c r="L402" i="3"/>
  <c r="L401" i="3" s="1"/>
  <c r="L400" i="3" s="1"/>
  <c r="L399" i="3" s="1"/>
  <c r="L559" i="3"/>
  <c r="L578" i="3"/>
  <c r="L577" i="3" s="1"/>
  <c r="L854" i="3"/>
  <c r="L853" i="3" s="1"/>
  <c r="L852" i="3" s="1"/>
  <c r="L851" i="3" s="1"/>
  <c r="L850" i="3" s="1"/>
  <c r="L886" i="3"/>
  <c r="L664" i="3"/>
  <c r="L663" i="3" s="1"/>
  <c r="L662" i="3" s="1"/>
  <c r="L661" i="3" s="1"/>
  <c r="L660" i="3" s="1"/>
  <c r="L653" i="3" s="1"/>
  <c r="L876" i="3"/>
  <c r="L597" i="3"/>
  <c r="L865" i="3"/>
  <c r="L873" i="3"/>
  <c r="L567" i="3"/>
  <c r="L120" i="3"/>
  <c r="L119" i="3" s="1"/>
  <c r="L118" i="3" s="1"/>
  <c r="L36" i="3"/>
  <c r="L546" i="3"/>
  <c r="L543" i="3"/>
  <c r="L550" i="3"/>
  <c r="L554" i="3"/>
  <c r="L742" i="3"/>
  <c r="L892" i="3"/>
  <c r="L820" i="3"/>
  <c r="L819" i="3" s="1"/>
  <c r="L818" i="3" s="1"/>
  <c r="L817" i="3" s="1"/>
  <c r="L816" i="3" s="1"/>
  <c r="L775" i="3"/>
  <c r="L774" i="3" s="1"/>
  <c r="L631" i="3"/>
  <c r="L648" i="3"/>
  <c r="L182" i="3"/>
  <c r="L181" i="3" s="1"/>
  <c r="L110" i="3"/>
  <c r="L148" i="3"/>
  <c r="L98" i="3"/>
  <c r="L97" i="3" s="1"/>
  <c r="L96" i="3" s="1"/>
  <c r="L95" i="3" s="1"/>
  <c r="L159" i="3"/>
  <c r="L158" i="3" s="1"/>
  <c r="L157" i="3" s="1"/>
  <c r="L134" i="3"/>
  <c r="L133" i="3" s="1"/>
  <c r="L132" i="3" s="1"/>
  <c r="L829" i="3"/>
  <c r="L828" i="3" s="1"/>
  <c r="L827" i="3" s="1"/>
  <c r="L826" i="3" s="1"/>
  <c r="L474" i="3"/>
  <c r="L473" i="3" s="1"/>
  <c r="L472" i="3" s="1"/>
  <c r="L471" i="3" s="1"/>
  <c r="L671" i="3"/>
  <c r="L670" i="3"/>
  <c r="L669" i="3" s="1"/>
  <c r="L367" i="3"/>
  <c r="L366" i="3" s="1"/>
  <c r="L365" i="3" s="1"/>
  <c r="L361" i="3" s="1"/>
  <c r="L55" i="3"/>
  <c r="L54" i="3" s="1"/>
  <c r="L53" i="3" s="1"/>
  <c r="L52" i="3" s="1"/>
  <c r="L51" i="3" s="1"/>
  <c r="L864" i="3" l="1"/>
  <c r="L863" i="3" s="1"/>
  <c r="L862" i="3" s="1"/>
  <c r="L861" i="3" s="1"/>
  <c r="L369" i="3"/>
  <c r="L368" i="3" s="1"/>
  <c r="L360" i="3" s="1"/>
  <c r="L464" i="3"/>
  <c r="L463" i="3" s="1"/>
  <c r="L462" i="3" s="1"/>
  <c r="L461" i="3" s="1"/>
  <c r="L460" i="3" s="1"/>
  <c r="L885" i="3"/>
  <c r="L884" i="3" s="1"/>
  <c r="L883" i="3" s="1"/>
  <c r="L882" i="3" s="1"/>
  <c r="L180" i="3"/>
  <c r="L179" i="3" s="1"/>
  <c r="L178" i="3" s="1"/>
  <c r="L490" i="3"/>
  <c r="L489" i="3" s="1"/>
  <c r="L359" i="3" l="1"/>
  <c r="L358" i="3" s="1"/>
  <c r="L860" i="3"/>
  <c r="L859" i="3" s="1"/>
  <c r="L444" i="3" l="1"/>
  <c r="L443" i="3" s="1"/>
  <c r="M649" i="3" l="1"/>
  <c r="L773" i="3" l="1"/>
  <c r="L772" i="3" s="1"/>
  <c r="L771" i="3"/>
  <c r="L770" i="3"/>
  <c r="L769" i="3"/>
  <c r="L684" i="3"/>
  <c r="L683" i="3" s="1"/>
  <c r="L717" i="3"/>
  <c r="L716" i="3" s="1"/>
  <c r="L704" i="3"/>
  <c r="L703" i="3" s="1"/>
  <c r="L682" i="3"/>
  <c r="L681" i="3" s="1"/>
  <c r="H142" i="7"/>
  <c r="L538" i="3"/>
  <c r="L540" i="3"/>
  <c r="L768" i="3" l="1"/>
  <c r="L767" i="3" s="1"/>
  <c r="L536" i="3"/>
  <c r="M645" i="3"/>
  <c r="L564" i="3"/>
  <c r="M563" i="3"/>
  <c r="L563" i="3" s="1"/>
  <c r="L562" i="3" l="1"/>
  <c r="H359" i="7"/>
  <c r="H358" i="7" s="1"/>
  <c r="H357" i="7" s="1"/>
  <c r="L298" i="3"/>
  <c r="L297" i="3" s="1"/>
  <c r="L296" i="3" l="1"/>
  <c r="L295" i="3" s="1"/>
  <c r="L294" i="3" s="1"/>
  <c r="L293" i="3" s="1"/>
  <c r="L292" i="3" s="1"/>
  <c r="L291" i="3" s="1"/>
  <c r="M304" i="3"/>
  <c r="M303" i="3" s="1"/>
  <c r="L849" i="3" l="1"/>
  <c r="L848" i="3" s="1"/>
  <c r="L220" i="3"/>
  <c r="L219" i="3" s="1"/>
  <c r="L218" i="3" s="1"/>
  <c r="L217" i="3" s="1"/>
  <c r="L216" i="3" s="1"/>
  <c r="L215" i="3" s="1"/>
  <c r="L84" i="3" l="1"/>
  <c r="L82" i="3" s="1"/>
  <c r="L81" i="3" s="1"/>
  <c r="L71" i="3"/>
  <c r="L70" i="3" s="1"/>
  <c r="L69" i="3" s="1"/>
  <c r="L76" i="3"/>
  <c r="L75" i="3"/>
  <c r="L74" i="3" s="1"/>
  <c r="L73" i="3" l="1"/>
  <c r="M786" i="3"/>
  <c r="L628" i="3"/>
  <c r="L627" i="3" s="1"/>
  <c r="L626" i="3" s="1"/>
  <c r="L625" i="3" s="1"/>
  <c r="L730" i="3"/>
  <c r="L729" i="3" s="1"/>
  <c r="L765" i="3"/>
  <c r="L764" i="3" s="1"/>
  <c r="L763" i="3" s="1"/>
  <c r="L762" i="3" s="1"/>
  <c r="L593" i="3"/>
  <c r="L594" i="3"/>
  <c r="L534" i="3"/>
  <c r="L535" i="3"/>
  <c r="L494" i="3"/>
  <c r="L493" i="3" s="1"/>
  <c r="L488" i="3" s="1"/>
  <c r="L527" i="3"/>
  <c r="L528" i="3"/>
  <c r="L588" i="3"/>
  <c r="L586" i="3"/>
  <c r="L739" i="3"/>
  <c r="L738" i="3" s="1"/>
  <c r="L737" i="3" s="1"/>
  <c r="L736" i="3" s="1"/>
  <c r="M708" i="3"/>
  <c r="L708" i="3" s="1"/>
  <c r="L707" i="3" s="1"/>
  <c r="L487" i="3" l="1"/>
  <c r="L486" i="3" s="1"/>
  <c r="L485" i="3" s="1"/>
  <c r="L786" i="3"/>
  <c r="L785" i="3" s="1"/>
  <c r="L784" i="3" s="1"/>
  <c r="H230" i="7"/>
  <c r="L68" i="3"/>
  <c r="L67" i="3" s="1"/>
  <c r="L56" i="3" s="1"/>
  <c r="L533" i="3"/>
  <c r="L592" i="3"/>
  <c r="L585" i="3"/>
  <c r="L525" i="3"/>
  <c r="M845" i="3"/>
  <c r="L845" i="3" s="1"/>
  <c r="L844" i="3" s="1"/>
  <c r="L843" i="3" s="1"/>
  <c r="L842" i="3" s="1"/>
  <c r="L841" i="3" s="1"/>
  <c r="L840" i="3" s="1"/>
  <c r="L839" i="3" s="1"/>
  <c r="L825" i="3" s="1"/>
  <c r="M694" i="3"/>
  <c r="L694" i="3" s="1"/>
  <c r="L693" i="3" s="1"/>
  <c r="L692" i="3" s="1"/>
  <c r="L691" i="3" s="1"/>
  <c r="L690" i="3" s="1"/>
  <c r="L689" i="3" s="1"/>
  <c r="L686" i="3"/>
  <c r="L685" i="3" s="1"/>
  <c r="H194" i="7"/>
  <c r="H193" i="7" s="1"/>
  <c r="M721" i="3"/>
  <c r="L584" i="3" l="1"/>
  <c r="L583" i="3" s="1"/>
  <c r="L582" i="3" s="1"/>
  <c r="L680" i="3"/>
  <c r="L679" i="3" s="1"/>
  <c r="L678" i="3" s="1"/>
  <c r="L677" i="3" s="1"/>
  <c r="L676" i="3" s="1"/>
  <c r="M748" i="3"/>
  <c r="L748" i="3" s="1"/>
  <c r="L746" i="3" s="1"/>
  <c r="L741" i="3" s="1"/>
  <c r="L740" i="3" s="1"/>
  <c r="L735" i="3" s="1"/>
  <c r="L734" i="3" s="1"/>
  <c r="M576" i="3" l="1"/>
  <c r="L576" i="3" s="1"/>
  <c r="L575" i="3" s="1"/>
  <c r="L571" i="3" s="1"/>
  <c r="H95" i="7" l="1"/>
  <c r="H94" i="7" s="1"/>
  <c r="H90" i="7" s="1"/>
  <c r="M575" i="3"/>
  <c r="M571" i="3" s="1"/>
  <c r="M566" i="3"/>
  <c r="L346" i="3"/>
  <c r="L344" i="3" s="1"/>
  <c r="L343" i="3" s="1"/>
  <c r="L342" i="3" s="1"/>
  <c r="L341" i="3" s="1"/>
  <c r="L340" i="3" s="1"/>
  <c r="L339" i="3" s="1"/>
  <c r="M565" i="3" l="1"/>
  <c r="L566" i="3"/>
  <c r="L565" i="3" s="1"/>
  <c r="H83" i="7"/>
  <c r="H82" i="7" s="1"/>
  <c r="L524" i="3" l="1"/>
  <c r="L523" i="3" s="1"/>
  <c r="L522" i="3" s="1"/>
  <c r="L521" i="3" s="1"/>
  <c r="M446" i="3" l="1"/>
  <c r="M438" i="3"/>
  <c r="L438" i="3" s="1"/>
  <c r="L437" i="3" s="1"/>
  <c r="L434" i="3" s="1"/>
  <c r="L433" i="3" s="1"/>
  <c r="L432" i="3" s="1"/>
  <c r="L431" i="3" s="1"/>
  <c r="H400" i="7"/>
  <c r="H85" i="7" l="1"/>
  <c r="H84" i="7" s="1"/>
  <c r="L446" i="3"/>
  <c r="L445" i="3" s="1"/>
  <c r="L442" i="3" s="1"/>
  <c r="L441" i="3" s="1"/>
  <c r="L440" i="3" s="1"/>
  <c r="L439" i="3" s="1"/>
  <c r="L430" i="3" s="1"/>
  <c r="M445" i="3"/>
  <c r="H456" i="7" l="1"/>
  <c r="H455" i="7" s="1"/>
  <c r="H454" i="7" s="1"/>
  <c r="H453" i="7" s="1"/>
  <c r="M193" i="3"/>
  <c r="M192" i="3" s="1"/>
  <c r="M191" i="3" s="1"/>
  <c r="M190" i="3" s="1"/>
  <c r="M189" i="3" s="1"/>
  <c r="M923" i="3" s="1"/>
  <c r="L117" i="3"/>
  <c r="L116" i="3" s="1"/>
  <c r="L115" i="3" s="1"/>
  <c r="L109" i="3" s="1"/>
  <c r="L108" i="3" s="1"/>
  <c r="L107" i="3" s="1"/>
  <c r="L94" i="3" s="1"/>
  <c r="H460" i="7" l="1"/>
  <c r="H459" i="7" s="1"/>
  <c r="H458" i="7" s="1"/>
  <c r="M60" i="3"/>
  <c r="M59" i="3" s="1"/>
  <c r="M58" i="3" s="1"/>
  <c r="M57" i="3" s="1"/>
  <c r="M714" i="3" l="1"/>
  <c r="L714" i="3" s="1"/>
  <c r="L713" i="3" s="1"/>
  <c r="L702" i="3" s="1"/>
  <c r="M726" i="3" l="1"/>
  <c r="H198" i="7" l="1"/>
  <c r="H197" i="7" s="1"/>
  <c r="L726" i="3"/>
  <c r="L725" i="3" s="1"/>
  <c r="M725" i="3"/>
  <c r="M715" i="3" s="1"/>
  <c r="L28" i="3"/>
  <c r="L27" i="3" s="1"/>
  <c r="L26" i="3" l="1"/>
  <c r="L25" i="3" s="1"/>
  <c r="L24" i="3" s="1"/>
  <c r="L23" i="3" s="1"/>
  <c r="L16" i="3" s="1"/>
  <c r="L715" i="3"/>
  <c r="L701" i="3" s="1"/>
  <c r="L208" i="3"/>
  <c r="L207" i="3" s="1"/>
  <c r="L206" i="3" s="1"/>
  <c r="L205" i="3" s="1"/>
  <c r="L204" i="3" s="1"/>
  <c r="L203" i="3" s="1"/>
  <c r="L202" i="3" s="1"/>
  <c r="M201" i="3"/>
  <c r="L201" i="3" s="1"/>
  <c r="L200" i="3" s="1"/>
  <c r="L199" i="3" s="1"/>
  <c r="L198" i="3" s="1"/>
  <c r="L197" i="3" s="1"/>
  <c r="L196" i="3" s="1"/>
  <c r="L195" i="3" s="1"/>
  <c r="H467" i="7"/>
  <c r="H465" i="7"/>
  <c r="H464" i="7" s="1"/>
  <c r="H463" i="7"/>
  <c r="H462" i="7" s="1"/>
  <c r="M183" i="3"/>
  <c r="M185" i="3"/>
  <c r="L429" i="3" l="1"/>
  <c r="L428" i="3" s="1"/>
  <c r="L425" i="3" s="1"/>
  <c r="L424" i="3" s="1"/>
  <c r="L423" i="3" l="1"/>
  <c r="L422" i="3" s="1"/>
  <c r="L421" i="3" s="1"/>
  <c r="L357" i="3" s="1"/>
  <c r="L636" i="3" l="1"/>
  <c r="L635" i="3" s="1"/>
  <c r="L630" i="3" s="1"/>
  <c r="L629" i="3" s="1"/>
  <c r="L624" i="3" s="1"/>
  <c r="L623" i="3" s="1"/>
  <c r="M172" i="3" l="1"/>
  <c r="L172" i="3" s="1"/>
  <c r="L171" i="3" s="1"/>
  <c r="L168" i="3" s="1"/>
  <c r="L167" i="3" l="1"/>
  <c r="L166" i="3" s="1"/>
  <c r="L147" i="3" s="1"/>
  <c r="L131" i="3" s="1"/>
  <c r="L15" i="3" s="1"/>
  <c r="H147" i="7"/>
  <c r="H149" i="7"/>
  <c r="M585" i="3"/>
  <c r="M651" i="3" l="1"/>
  <c r="M648" i="3" s="1"/>
  <c r="M597" i="3"/>
  <c r="H57" i="7"/>
  <c r="H55" i="7"/>
  <c r="H54" i="7"/>
  <c r="M536" i="3"/>
  <c r="H53" i="7" l="1"/>
  <c r="M610" i="3"/>
  <c r="M609" i="3" s="1"/>
  <c r="M608" i="3" s="1"/>
  <c r="L610" i="3" l="1"/>
  <c r="L609" i="3" s="1"/>
  <c r="L608" i="3" s="1"/>
  <c r="L581" i="3" s="1"/>
  <c r="L484" i="3" s="1"/>
  <c r="M354" i="3"/>
  <c r="M353" i="3" s="1"/>
  <c r="M352" i="3" s="1"/>
  <c r="M351" i="3" s="1"/>
  <c r="M350" i="3" s="1"/>
  <c r="L470" i="3" l="1"/>
  <c r="H336" i="7" l="1"/>
  <c r="H335" i="7" s="1"/>
  <c r="H334" i="7" s="1"/>
  <c r="H333" i="7" s="1"/>
  <c r="H567" i="7" l="1"/>
  <c r="H566" i="7"/>
  <c r="H565" i="7"/>
  <c r="H564" i="7" l="1"/>
  <c r="H563" i="7" s="1"/>
  <c r="M82" i="3"/>
  <c r="M81" i="3" s="1"/>
  <c r="H270" i="7" l="1"/>
  <c r="H201" i="7"/>
  <c r="M696" i="3"/>
  <c r="M695" i="3" s="1"/>
  <c r="M785" i="3" l="1"/>
  <c r="L766" i="3" l="1"/>
  <c r="L761" i="3" s="1"/>
  <c r="L760" i="3" s="1"/>
  <c r="H233" i="7"/>
  <c r="H232" i="7" s="1"/>
  <c r="H231" i="7" s="1"/>
  <c r="L789" i="3"/>
  <c r="L788" i="3" s="1"/>
  <c r="L787" i="3" s="1"/>
  <c r="L783" i="3" s="1"/>
  <c r="M788" i="3"/>
  <c r="M787" i="3" s="1"/>
  <c r="L782" i="3" l="1"/>
  <c r="L781" i="3" s="1"/>
  <c r="L759" i="3" s="1"/>
  <c r="L751" i="3" s="1"/>
  <c r="L733" i="3"/>
  <c r="L732" i="3" s="1"/>
  <c r="L728" i="3" s="1"/>
  <c r="L727" i="3" s="1"/>
  <c r="L700" i="3" s="1"/>
  <c r="L699" i="3" s="1"/>
  <c r="L698" i="3" s="1"/>
  <c r="L668" i="3" s="1"/>
  <c r="H178" i="7"/>
  <c r="H177" i="7" s="1"/>
  <c r="M705" i="3"/>
  <c r="L14" i="3" l="1"/>
  <c r="H422" i="7" l="1"/>
  <c r="H421" i="7" s="1"/>
  <c r="M880" i="3"/>
  <c r="M879" i="3" s="1"/>
  <c r="H502" i="7" l="1"/>
  <c r="H501" i="7" s="1"/>
  <c r="M164" i="3"/>
  <c r="H401" i="7" l="1"/>
  <c r="H398" i="7" s="1"/>
  <c r="M374" i="3"/>
  <c r="H424" i="7" l="1"/>
  <c r="M397" i="3"/>
  <c r="M396" i="3" s="1"/>
  <c r="M395" i="3" s="1"/>
  <c r="M394" i="3" s="1"/>
  <c r="M550" i="3" l="1"/>
  <c r="M465" i="3" l="1"/>
  <c r="M464" i="3" l="1"/>
  <c r="M463" i="3" s="1"/>
  <c r="M462" i="3" s="1"/>
  <c r="M461" i="3" s="1"/>
  <c r="M460" i="3" s="1"/>
  <c r="H315" i="7"/>
  <c r="H314" i="7" s="1"/>
  <c r="H139" i="7" l="1"/>
  <c r="H138" i="7" s="1"/>
  <c r="M643" i="3"/>
  <c r="H255" i="7" l="1"/>
  <c r="H332" i="7" l="1"/>
  <c r="H331" i="7" s="1"/>
  <c r="H330" i="7" s="1"/>
  <c r="M125" i="3"/>
  <c r="M124" i="3" s="1"/>
  <c r="H186" i="7" l="1"/>
  <c r="H185" i="7" s="1"/>
  <c r="M713" i="3" l="1"/>
  <c r="M779" i="3" l="1"/>
  <c r="M169" i="3" l="1"/>
  <c r="M775" i="3" l="1"/>
  <c r="M774" i="3" s="1"/>
  <c r="H266" i="7" l="1"/>
  <c r="H265" i="7" s="1"/>
  <c r="H264" i="7"/>
  <c r="H263" i="7"/>
  <c r="H262" i="7"/>
  <c r="H261" i="7" l="1"/>
  <c r="H260" i="7" s="1"/>
  <c r="M389" i="3" l="1"/>
  <c r="M388" i="3" s="1"/>
  <c r="H397" i="7" l="1"/>
  <c r="H396" i="7" s="1"/>
  <c r="M746" i="3"/>
  <c r="H112" i="7" l="1"/>
  <c r="H111" i="7" l="1"/>
  <c r="H110" i="7" s="1"/>
  <c r="H532" i="7" l="1"/>
  <c r="H531" i="7"/>
  <c r="M39" i="3"/>
  <c r="H78" i="7"/>
  <c r="H77" i="7"/>
  <c r="H89" i="7"/>
  <c r="H88" i="7"/>
  <c r="H87" i="7"/>
  <c r="H76" i="7" l="1"/>
  <c r="H530" i="7"/>
  <c r="H86" i="7"/>
  <c r="M567" i="3"/>
  <c r="M562" i="3" l="1"/>
  <c r="H434" i="7"/>
  <c r="H435" i="7"/>
  <c r="M886" i="3"/>
  <c r="M892" i="3"/>
  <c r="M868" i="3"/>
  <c r="M873" i="3"/>
  <c r="H385" i="7" l="1"/>
  <c r="H384" i="7" s="1"/>
  <c r="H346" i="7"/>
  <c r="H345" i="7" s="1"/>
  <c r="H537" i="7"/>
  <c r="H536" i="7" s="1"/>
  <c r="M451" i="3" l="1"/>
  <c r="M450" i="3" s="1"/>
  <c r="M449" i="3" s="1"/>
  <c r="M448" i="3" s="1"/>
  <c r="M447" i="3" s="1"/>
  <c r="M323" i="3"/>
  <c r="M322" i="3" s="1"/>
  <c r="M321" i="3" s="1"/>
  <c r="M320" i="3" s="1"/>
  <c r="M319" i="3" s="1"/>
  <c r="M318" i="3" s="1"/>
  <c r="M200" i="3"/>
  <c r="M199" i="3" s="1"/>
  <c r="M198" i="3" s="1"/>
  <c r="M197" i="3" s="1"/>
  <c r="M196" i="3" s="1"/>
  <c r="M929" i="3" l="1"/>
  <c r="M195" i="3"/>
  <c r="M366" i="3" l="1"/>
  <c r="M402" i="3"/>
  <c r="M889" i="3" l="1"/>
  <c r="M885" i="3" s="1"/>
  <c r="D43" i="12" l="1"/>
  <c r="C43" i="12"/>
  <c r="D35" i="12"/>
  <c r="C35" i="12"/>
  <c r="D24" i="12"/>
  <c r="D16" i="12"/>
  <c r="H59" i="7" l="1"/>
  <c r="M595" i="3" l="1"/>
  <c r="H58" i="7" l="1"/>
  <c r="H24" i="7"/>
  <c r="M541" i="3"/>
  <c r="M514" i="3"/>
  <c r="M509" i="3" s="1"/>
  <c r="M508" i="3" l="1"/>
  <c r="M507" i="3" s="1"/>
  <c r="M495" i="3" l="1"/>
  <c r="H466" i="7" l="1"/>
  <c r="H461" i="7" s="1"/>
  <c r="H457" i="7" s="1"/>
  <c r="H508" i="7"/>
  <c r="M187" i="3" l="1"/>
  <c r="M182" i="3" s="1"/>
  <c r="M180" i="3" l="1"/>
  <c r="M179" i="3" s="1"/>
  <c r="M178" i="3" s="1"/>
  <c r="M181" i="3"/>
  <c r="M920" i="3" l="1"/>
  <c r="H373" i="7"/>
  <c r="M729" i="3" l="1"/>
  <c r="H205" i="7" l="1"/>
  <c r="H25" i="7" l="1"/>
  <c r="H36" i="7" l="1"/>
  <c r="H35" i="7" s="1"/>
  <c r="M437" i="3" l="1"/>
  <c r="M865" i="3" l="1"/>
  <c r="M600" i="3" l="1"/>
  <c r="H23" i="7" l="1"/>
  <c r="M482" i="3"/>
  <c r="M370" i="3"/>
  <c r="M344" i="3"/>
  <c r="M70" i="3"/>
  <c r="M49" i="3"/>
  <c r="M43" i="3"/>
  <c r="M21" i="3"/>
  <c r="M54" i="3" l="1"/>
  <c r="M53" i="3" s="1"/>
  <c r="M65" i="3" l="1"/>
  <c r="M120" i="3" l="1"/>
  <c r="H114" i="7" l="1"/>
  <c r="H113" i="7" s="1"/>
  <c r="H146" i="7"/>
  <c r="H555" i="7" l="1"/>
  <c r="H554" i="7" s="1"/>
  <c r="H553" i="7" s="1"/>
  <c r="M171" i="3"/>
  <c r="M168" i="3" s="1"/>
  <c r="M129" i="3"/>
  <c r="M128" i="3" s="1"/>
  <c r="M127" i="3" s="1"/>
  <c r="M167" i="3" l="1"/>
  <c r="M476" i="3"/>
  <c r="H61" i="7" l="1"/>
  <c r="H62" i="7"/>
  <c r="H60" i="7" l="1"/>
  <c r="M543" i="3" l="1"/>
  <c r="H152" i="7" l="1"/>
  <c r="H151" i="7" s="1"/>
  <c r="H150" i="7" s="1"/>
  <c r="H155" i="7"/>
  <c r="H154" i="7" s="1"/>
  <c r="H153" i="7" s="1"/>
  <c r="H158" i="7"/>
  <c r="H157" i="7" s="1"/>
  <c r="H156" i="7" s="1"/>
  <c r="M475" i="3"/>
  <c r="M479" i="3"/>
  <c r="M478" i="3" s="1"/>
  <c r="M481" i="3"/>
  <c r="H136" i="7"/>
  <c r="H135" i="7" s="1"/>
  <c r="H148" i="7"/>
  <c r="H145" i="7" l="1"/>
  <c r="M474" i="3"/>
  <c r="M473" i="3" s="1"/>
  <c r="M472" i="3" s="1"/>
  <c r="M471" i="3" s="1"/>
  <c r="H269" i="7" l="1"/>
  <c r="H259" i="7"/>
  <c r="H258" i="7" s="1"/>
  <c r="H257" i="7" s="1"/>
  <c r="H268" i="7" l="1"/>
  <c r="H267" i="7" s="1"/>
  <c r="M768" i="3" l="1"/>
  <c r="M757" i="3"/>
  <c r="M756" i="3" s="1"/>
  <c r="M755" i="3" s="1"/>
  <c r="M754" i="3" s="1"/>
  <c r="M753" i="3" s="1"/>
  <c r="M752" i="3" s="1"/>
  <c r="H540" i="7" l="1"/>
  <c r="M386" i="3" l="1"/>
  <c r="H166" i="7" l="1"/>
  <c r="H165" i="7" s="1"/>
  <c r="M683" i="3"/>
  <c r="H200" i="7" l="1"/>
  <c r="H199" i="7" s="1"/>
  <c r="H221" i="7"/>
  <c r="H220" i="7" s="1"/>
  <c r="H219" i="7" s="1"/>
  <c r="H291" i="7"/>
  <c r="H290" i="7" s="1"/>
  <c r="H289" i="7" s="1"/>
  <c r="H294" i="7"/>
  <c r="H293" i="7" s="1"/>
  <c r="H292" i="7" s="1"/>
  <c r="H297" i="7"/>
  <c r="H296" i="7" s="1"/>
  <c r="H295" i="7" s="1"/>
  <c r="M837" i="3" l="1"/>
  <c r="M836" i="3" s="1"/>
  <c r="M834" i="3"/>
  <c r="M833" i="3" s="1"/>
  <c r="M831" i="3"/>
  <c r="M830" i="3" s="1"/>
  <c r="M829" i="3" l="1"/>
  <c r="M828" i="3" s="1"/>
  <c r="M827" i="3" s="1"/>
  <c r="M826" i="3" s="1"/>
  <c r="M674" i="3" l="1"/>
  <c r="M673" i="3" s="1"/>
  <c r="M672" i="3" s="1"/>
  <c r="M670" i="3" l="1"/>
  <c r="M669" i="3" s="1"/>
  <c r="M671" i="3"/>
  <c r="H362" i="7" l="1"/>
  <c r="H361" i="7" s="1"/>
  <c r="H360" i="7" s="1"/>
  <c r="M316" i="3"/>
  <c r="M315" i="3" s="1"/>
  <c r="M693" i="3" l="1"/>
  <c r="M692" i="3" s="1"/>
  <c r="M691" i="3" l="1"/>
  <c r="M690" i="3" s="1"/>
  <c r="M689" i="3" s="1"/>
  <c r="M20" i="3" l="1"/>
  <c r="M19" i="3" s="1"/>
  <c r="M18" i="3" s="1"/>
  <c r="M17" i="3" s="1"/>
  <c r="M32" i="3"/>
  <c r="M34" i="3"/>
  <c r="M42" i="3"/>
  <c r="M48" i="3"/>
  <c r="M47" i="3" s="1"/>
  <c r="M46" i="3" s="1"/>
  <c r="M45" i="3" s="1"/>
  <c r="M905" i="3" s="1"/>
  <c r="M52" i="3"/>
  <c r="M51" i="3" s="1"/>
  <c r="M64" i="3"/>
  <c r="M63" i="3" s="1"/>
  <c r="M62" i="3" s="1"/>
  <c r="M69" i="3"/>
  <c r="M74" i="3"/>
  <c r="M76" i="3"/>
  <c r="M99" i="3"/>
  <c r="M101" i="3"/>
  <c r="M103" i="3"/>
  <c r="M105" i="3"/>
  <c r="M111" i="3"/>
  <c r="M113" i="3"/>
  <c r="M116" i="3"/>
  <c r="M115" i="3" s="1"/>
  <c r="M136" i="3"/>
  <c r="M135" i="3" s="1"/>
  <c r="M139" i="3"/>
  <c r="M138" i="3" s="1"/>
  <c r="M145" i="3"/>
  <c r="M144" i="3" s="1"/>
  <c r="M151" i="3"/>
  <c r="M150" i="3" s="1"/>
  <c r="M149" i="3" s="1"/>
  <c r="M155" i="3"/>
  <c r="M154" i="3" s="1"/>
  <c r="M153" i="3" s="1"/>
  <c r="M160" i="3"/>
  <c r="M162" i="3"/>
  <c r="M207" i="3"/>
  <c r="M206" i="3" s="1"/>
  <c r="M205" i="3" s="1"/>
  <c r="M204" i="3" s="1"/>
  <c r="M203" i="3" s="1"/>
  <c r="M219" i="3"/>
  <c r="M218" i="3" s="1"/>
  <c r="M217" i="3" s="1"/>
  <c r="M216" i="3" s="1"/>
  <c r="M215" i="3" s="1"/>
  <c r="M295" i="3"/>
  <c r="M313" i="3"/>
  <c r="M312" i="3" s="1"/>
  <c r="M308" i="3" s="1"/>
  <c r="M330" i="3"/>
  <c r="M348" i="3"/>
  <c r="M343" i="3" s="1"/>
  <c r="M363" i="3"/>
  <c r="M362" i="3" s="1"/>
  <c r="M378" i="3"/>
  <c r="M369" i="3" s="1"/>
  <c r="M383" i="3"/>
  <c r="M382" i="3" s="1"/>
  <c r="M401" i="3"/>
  <c r="M400" i="3" s="1"/>
  <c r="M399" i="3" s="1"/>
  <c r="M415" i="3"/>
  <c r="M414" i="3" s="1"/>
  <c r="M413" i="3" s="1"/>
  <c r="M428" i="3"/>
  <c r="M425" i="3" s="1"/>
  <c r="M435" i="3"/>
  <c r="M443" i="3"/>
  <c r="M458" i="3"/>
  <c r="M489" i="3"/>
  <c r="M491" i="3"/>
  <c r="M493" i="3"/>
  <c r="M497" i="3"/>
  <c r="M499" i="3"/>
  <c r="M519" i="3"/>
  <c r="M518" i="3" s="1"/>
  <c r="M546" i="3"/>
  <c r="M592" i="3"/>
  <c r="M681" i="3"/>
  <c r="M685" i="3"/>
  <c r="M703" i="3"/>
  <c r="M707" i="3"/>
  <c r="M709" i="3"/>
  <c r="M772" i="3"/>
  <c r="M767" i="3" s="1"/>
  <c r="M784" i="3"/>
  <c r="M820" i="3"/>
  <c r="M819" i="3" s="1"/>
  <c r="M818" i="3" s="1"/>
  <c r="M817" i="3" s="1"/>
  <c r="M816" i="3" s="1"/>
  <c r="M947" i="3" s="1"/>
  <c r="M854" i="3"/>
  <c r="M853" i="3" s="1"/>
  <c r="M852" i="3" s="1"/>
  <c r="M851" i="3" s="1"/>
  <c r="M850" i="3" s="1"/>
  <c r="M876" i="3"/>
  <c r="M488" i="3" l="1"/>
  <c r="M864" i="3"/>
  <c r="M863" i="3" s="1"/>
  <c r="M329" i="3"/>
  <c r="M328" i="3" s="1"/>
  <c r="M327" i="3" s="1"/>
  <c r="M326" i="3" s="1"/>
  <c r="M325" i="3" s="1"/>
  <c r="M412" i="3"/>
  <c r="M411" i="3" s="1"/>
  <c r="M410" i="3" s="1"/>
  <c r="M202" i="3"/>
  <c r="M584" i="3"/>
  <c r="M702" i="3"/>
  <c r="M680" i="3"/>
  <c r="M457" i="3"/>
  <c r="M456" i="3" s="1"/>
  <c r="M455" i="3" s="1"/>
  <c r="M454" i="3" s="1"/>
  <c r="M453" i="3" s="1"/>
  <c r="M442" i="3"/>
  <c r="M441" i="3" s="1"/>
  <c r="M440" i="3" s="1"/>
  <c r="M439" i="3" s="1"/>
  <c r="M783" i="3"/>
  <c r="M766" i="3"/>
  <c r="M159" i="3"/>
  <c r="M158" i="3" s="1"/>
  <c r="M157" i="3" s="1"/>
  <c r="M143" i="3"/>
  <c r="M142" i="3" s="1"/>
  <c r="M141" i="3" s="1"/>
  <c r="M916" i="3" s="1"/>
  <c r="M903" i="3"/>
  <c r="M434" i="3"/>
  <c r="M433" i="3" s="1"/>
  <c r="M432" i="3" s="1"/>
  <c r="M431" i="3" s="1"/>
  <c r="M517" i="3"/>
  <c r="M516" i="3" s="1"/>
  <c r="M166" i="3"/>
  <c r="M938" i="3"/>
  <c r="M907" i="3"/>
  <c r="M307" i="3"/>
  <c r="M306" i="3" s="1"/>
  <c r="M98" i="3"/>
  <c r="M97" i="3" s="1"/>
  <c r="M96" i="3" s="1"/>
  <c r="M95" i="3" s="1"/>
  <c r="M385" i="3"/>
  <c r="M884" i="3"/>
  <c r="M883" i="3" s="1"/>
  <c r="M882" i="3" s="1"/>
  <c r="M941" i="3" s="1"/>
  <c r="M664" i="3"/>
  <c r="M663" i="3" s="1"/>
  <c r="M662" i="3" s="1"/>
  <c r="M661" i="3" s="1"/>
  <c r="M660" i="3" s="1"/>
  <c r="M653" i="3" s="1"/>
  <c r="M342" i="3"/>
  <c r="M341" i="3" s="1"/>
  <c r="M340" i="3" s="1"/>
  <c r="M339" i="3" s="1"/>
  <c r="M134" i="3"/>
  <c r="M133" i="3" s="1"/>
  <c r="M132" i="3" s="1"/>
  <c r="M915" i="3" s="1"/>
  <c r="M110" i="3"/>
  <c r="M109" i="3" s="1"/>
  <c r="M848" i="3"/>
  <c r="M844" i="3"/>
  <c r="M365" i="3"/>
  <c r="M361" i="3" s="1"/>
  <c r="M764" i="3"/>
  <c r="M763" i="3" s="1"/>
  <c r="M762" i="3" s="1"/>
  <c r="M742" i="3"/>
  <c r="M741" i="3" s="1"/>
  <c r="M738" i="3"/>
  <c r="M737" i="3" s="1"/>
  <c r="M736" i="3" s="1"/>
  <c r="M732" i="3"/>
  <c r="M635" i="3"/>
  <c r="M631" i="3"/>
  <c r="M627" i="3"/>
  <c r="M626" i="3" s="1"/>
  <c r="M625" i="3" s="1"/>
  <c r="M578" i="3"/>
  <c r="M577" i="3" s="1"/>
  <c r="M554" i="3"/>
  <c r="M533" i="3"/>
  <c r="M525" i="3"/>
  <c r="M424" i="3"/>
  <c r="M294" i="3"/>
  <c r="M293" i="3" s="1"/>
  <c r="M148" i="3"/>
  <c r="M119" i="3"/>
  <c r="M118" i="3" s="1"/>
  <c r="M73" i="3"/>
  <c r="M68" i="3" s="1"/>
  <c r="M36" i="3"/>
  <c r="M26" i="3" s="1"/>
  <c r="M953" i="3" l="1"/>
  <c r="M956" i="3" s="1"/>
  <c r="M782" i="3"/>
  <c r="M781" i="3" s="1"/>
  <c r="M945" i="3" s="1"/>
  <c r="M524" i="3"/>
  <c r="M523" i="3" s="1"/>
  <c r="M522" i="3" s="1"/>
  <c r="M521" i="3" s="1"/>
  <c r="M430" i="3"/>
  <c r="M761" i="3"/>
  <c r="M760" i="3" s="1"/>
  <c r="M630" i="3"/>
  <c r="M629" i="3" s="1"/>
  <c r="M624" i="3" s="1"/>
  <c r="M623" i="3" s="1"/>
  <c r="M931" i="3" s="1"/>
  <c r="M147" i="3"/>
  <c r="M917" i="3" s="1"/>
  <c r="M108" i="3"/>
  <c r="M423" i="3"/>
  <c r="M422" i="3" s="1"/>
  <c r="M487" i="3"/>
  <c r="M486" i="3" s="1"/>
  <c r="M485" i="3" s="1"/>
  <c r="M862" i="3"/>
  <c r="M861" i="3" s="1"/>
  <c r="M679" i="3"/>
  <c r="M678" i="3" s="1"/>
  <c r="M677" i="3" s="1"/>
  <c r="M676" i="3" s="1"/>
  <c r="M701" i="3"/>
  <c r="M740" i="3"/>
  <c r="M735" i="3" s="1"/>
  <c r="M734" i="3" s="1"/>
  <c r="M935" i="3" s="1"/>
  <c r="M911" i="3"/>
  <c r="M67" i="3"/>
  <c r="M56" i="3" s="1"/>
  <c r="M368" i="3"/>
  <c r="M843" i="3"/>
  <c r="M842" i="3" s="1"/>
  <c r="M841" i="3" s="1"/>
  <c r="M840" i="3" s="1"/>
  <c r="M930" i="3" s="1"/>
  <c r="M951" i="3"/>
  <c r="M292" i="3"/>
  <c r="M291" i="3" s="1"/>
  <c r="M906" i="3"/>
  <c r="M728" i="3"/>
  <c r="M727" i="3" s="1"/>
  <c r="M25" i="3"/>
  <c r="M24" i="3" s="1"/>
  <c r="M23" i="3" s="1"/>
  <c r="M16" i="3" l="1"/>
  <c r="M926" i="3"/>
  <c r="M759" i="3"/>
  <c r="M751" i="3" s="1"/>
  <c r="M944" i="3"/>
  <c r="M948" i="3" s="1"/>
  <c r="M921" i="3"/>
  <c r="M924" i="3" s="1"/>
  <c r="M421" i="3"/>
  <c r="M360" i="3"/>
  <c r="M940" i="3"/>
  <c r="M942" i="3" s="1"/>
  <c r="M860" i="3"/>
  <c r="M859" i="3" s="1"/>
  <c r="M927" i="3"/>
  <c r="M107" i="3"/>
  <c r="M912" i="3" s="1"/>
  <c r="M839" i="3"/>
  <c r="M825" i="3" s="1"/>
  <c r="M700" i="3"/>
  <c r="M699" i="3" s="1"/>
  <c r="M934" i="3" s="1"/>
  <c r="M936" i="3" s="1"/>
  <c r="M131" i="3"/>
  <c r="M904" i="3"/>
  <c r="M359" i="3" l="1"/>
  <c r="M908" i="3" s="1"/>
  <c r="M913" i="3"/>
  <c r="M918" i="3"/>
  <c r="M94" i="3"/>
  <c r="M15" i="3" s="1"/>
  <c r="M698" i="3"/>
  <c r="M668" i="3" s="1"/>
  <c r="M358" i="3" l="1"/>
  <c r="M357" i="3" s="1"/>
  <c r="M909" i="3"/>
  <c r="H109" i="7"/>
  <c r="H108" i="7" s="1"/>
  <c r="H80" i="7" l="1"/>
  <c r="H81" i="7"/>
  <c r="H79" i="7" l="1"/>
  <c r="H247" i="7" l="1"/>
  <c r="H245" i="7" l="1"/>
  <c r="H529" i="7" l="1"/>
  <c r="H280" i="7" l="1"/>
  <c r="H20" i="7" l="1"/>
  <c r="H19" i="7" s="1"/>
  <c r="H49" i="7"/>
  <c r="H47" i="7" s="1"/>
  <c r="H168" i="7" l="1"/>
  <c r="H167" i="7" s="1"/>
  <c r="H473" i="7" l="1"/>
  <c r="H472" i="7" s="1"/>
  <c r="H575" i="7" l="1"/>
  <c r="H144" i="7"/>
  <c r="H143" i="7" s="1"/>
  <c r="H141" i="7"/>
  <c r="H140" i="7" s="1"/>
  <c r="H133" i="7"/>
  <c r="H123" i="7"/>
  <c r="H117" i="7"/>
  <c r="H115" i="7" s="1"/>
  <c r="H107" i="7"/>
  <c r="H106" i="7"/>
  <c r="H73" i="7"/>
  <c r="H72" i="7"/>
  <c r="H70" i="7"/>
  <c r="H69" i="7"/>
  <c r="H68" i="7"/>
  <c r="H66" i="7"/>
  <c r="H65" i="7"/>
  <c r="H64" i="7"/>
  <c r="H43" i="7"/>
  <c r="H32" i="7"/>
  <c r="H30" i="7"/>
  <c r="H28" i="7"/>
  <c r="H27" i="7"/>
  <c r="H129" i="7"/>
  <c r="H101" i="7"/>
  <c r="H52" i="7"/>
  <c r="H51" i="7"/>
  <c r="H45" i="7"/>
  <c r="H44" i="7"/>
  <c r="H105" i="7" l="1"/>
  <c r="H102" i="7"/>
  <c r="H128" i="7"/>
  <c r="H134" i="7"/>
  <c r="H46" i="7"/>
  <c r="H42" i="7" s="1"/>
  <c r="H18" i="7"/>
  <c r="H22" i="7"/>
  <c r="H131" i="7"/>
  <c r="H127" i="7"/>
  <c r="H657" i="7" l="1"/>
  <c r="H586" i="7"/>
  <c r="H585" i="7" s="1"/>
  <c r="H582" i="7"/>
  <c r="H581" i="7"/>
  <c r="H580" i="7"/>
  <c r="H549" i="7"/>
  <c r="H548" i="7"/>
  <c r="H545" i="7"/>
  <c r="H543" i="7"/>
  <c r="H539" i="7"/>
  <c r="H538" i="7" s="1"/>
  <c r="H535" i="7"/>
  <c r="H526" i="7"/>
  <c r="H524" i="7"/>
  <c r="H522" i="7"/>
  <c r="H520" i="7"/>
  <c r="H518" i="7"/>
  <c r="H517" i="7"/>
  <c r="H514" i="7"/>
  <c r="H498" i="7"/>
  <c r="H492" i="7"/>
  <c r="H488" i="7"/>
  <c r="H482" i="7"/>
  <c r="H476" i="7"/>
  <c r="H452" i="7"/>
  <c r="H438" i="7"/>
  <c r="H432" i="7"/>
  <c r="H431" i="7"/>
  <c r="H429" i="7"/>
  <c r="H428" i="7"/>
  <c r="H425" i="7"/>
  <c r="H423" i="7" s="1"/>
  <c r="H420" i="7" s="1"/>
  <c r="H419" i="7"/>
  <c r="H418" i="7"/>
  <c r="H416" i="7"/>
  <c r="H415" i="7"/>
  <c r="H411" i="7"/>
  <c r="H410" i="7"/>
  <c r="H408" i="7"/>
  <c r="H407" i="7"/>
  <c r="H395" i="7"/>
  <c r="H392" i="7"/>
  <c r="H391" i="7" s="1"/>
  <c r="H390" i="7" s="1"/>
  <c r="H387" i="7"/>
  <c r="H383" i="7"/>
  <c r="H382" i="7"/>
  <c r="H381" i="7"/>
  <c r="H379" i="7"/>
  <c r="H378" i="7"/>
  <c r="H377" i="7"/>
  <c r="H372" i="7"/>
  <c r="H370" i="7"/>
  <c r="H356" i="7"/>
  <c r="H351" i="7"/>
  <c r="H344" i="7"/>
  <c r="H343" i="7"/>
  <c r="H342" i="7"/>
  <c r="H329" i="7"/>
  <c r="H327" i="7"/>
  <c r="H323" i="7"/>
  <c r="H318" i="7"/>
  <c r="H309" i="7"/>
  <c r="H307" i="7"/>
  <c r="H305" i="7"/>
  <c r="H303" i="7"/>
  <c r="H288" i="7"/>
  <c r="H287" i="7"/>
  <c r="H286" i="7"/>
  <c r="H282" i="7"/>
  <c r="H281" i="7" s="1"/>
  <c r="H279" i="7"/>
  <c r="H278" i="7"/>
  <c r="H253" i="7"/>
  <c r="H239" i="7"/>
  <c r="H238" i="7"/>
  <c r="H237" i="7"/>
  <c r="H229" i="7"/>
  <c r="H218" i="7"/>
  <c r="H217" i="7"/>
  <c r="H216" i="7"/>
  <c r="H213" i="7"/>
  <c r="H214" i="7"/>
  <c r="H212" i="7"/>
  <c r="H208" i="7"/>
  <c r="H207" i="7" s="1"/>
  <c r="H192" i="7"/>
  <c r="H190" i="7"/>
  <c r="H189" i="7"/>
  <c r="H182" i="7"/>
  <c r="H181" i="7" s="1"/>
  <c r="H176" i="7"/>
  <c r="H173" i="7"/>
  <c r="H164" i="7"/>
  <c r="H188" i="7" l="1"/>
  <c r="H579" i="7"/>
  <c r="H578" i="7" s="1"/>
  <c r="H516" i="7"/>
  <c r="H547" i="7"/>
  <c r="H241" i="7"/>
  <c r="H240" i="7" s="1"/>
  <c r="H394" i="7"/>
  <c r="H393" i="7" s="1"/>
  <c r="H277" i="7"/>
  <c r="H368" i="7" l="1"/>
  <c r="H180" i="7" l="1"/>
  <c r="H206" i="7"/>
  <c r="H204" i="7" s="1"/>
  <c r="H328" i="7" l="1"/>
  <c r="H326" i="7" s="1"/>
  <c r="H500" i="7"/>
  <c r="H574" i="7" l="1"/>
  <c r="H573" i="7" s="1"/>
  <c r="H572" i="7" s="1"/>
  <c r="H571" i="7" s="1"/>
  <c r="H451" i="7" l="1"/>
  <c r="H448" i="7" s="1"/>
  <c r="H499" i="7" l="1"/>
  <c r="H521" i="7" l="1"/>
  <c r="H21" i="7" l="1"/>
  <c r="H122" i="7" l="1"/>
  <c r="H121" i="7" s="1"/>
  <c r="H187" i="7" l="1"/>
  <c r="H369" i="7" l="1"/>
  <c r="H386" i="7"/>
  <c r="H447" i="7" l="1"/>
  <c r="H446" i="7" s="1"/>
  <c r="H355" i="7" l="1"/>
  <c r="H354" i="7" s="1"/>
  <c r="H656" i="7" l="1"/>
  <c r="H649" i="7" s="1"/>
  <c r="H648" i="7" l="1"/>
  <c r="H17" i="7"/>
  <c r="H371" i="7" l="1"/>
  <c r="H471" i="7" l="1"/>
  <c r="H306" i="7"/>
  <c r="H317" i="7"/>
  <c r="H311" i="7" s="1"/>
  <c r="H308" i="7"/>
  <c r="H544" i="7" l="1"/>
  <c r="H542" i="7"/>
  <c r="H534" i="7"/>
  <c r="H533" i="7" s="1"/>
  <c r="H523" i="7"/>
  <c r="H541" i="7" l="1"/>
  <c r="H437" i="7"/>
  <c r="H436" i="7" s="1"/>
  <c r="H507" i="7" l="1"/>
  <c r="H506" i="7" s="1"/>
  <c r="H505" i="7" s="1"/>
  <c r="H504" i="7" s="1"/>
  <c r="H497" i="7"/>
  <c r="H496" i="7" s="1"/>
  <c r="H491" i="7"/>
  <c r="H490" i="7" s="1"/>
  <c r="H489" i="7" s="1"/>
  <c r="H487" i="7"/>
  <c r="H481" i="7"/>
  <c r="H480" i="7" s="1"/>
  <c r="H475" i="7"/>
  <c r="H474" i="7" s="1"/>
  <c r="H417" i="7"/>
  <c r="H414" i="7"/>
  <c r="H409" i="7"/>
  <c r="H406" i="7"/>
  <c r="H405" i="7" l="1"/>
  <c r="H495" i="7"/>
  <c r="H494" i="7" s="1"/>
  <c r="H479" i="7"/>
  <c r="H430" i="7"/>
  <c r="H433" i="7"/>
  <c r="H427" i="7"/>
  <c r="H486" i="7"/>
  <c r="H485" i="7" s="1"/>
  <c r="H367" i="7"/>
  <c r="H366" i="7" s="1"/>
  <c r="H322" i="7"/>
  <c r="H226" i="7"/>
  <c r="H365" i="7" l="1"/>
  <c r="H236" i="7"/>
  <c r="H235" i="7" s="1"/>
  <c r="H215" i="7"/>
  <c r="H285" i="7"/>
  <c r="H284" i="7" s="1"/>
  <c r="H283" i="7" s="1"/>
  <c r="H325" i="7"/>
  <c r="H211" i="7"/>
  <c r="H426" i="7"/>
  <c r="H404" i="7" s="1"/>
  <c r="H341" i="7"/>
  <c r="H340" i="7" s="1"/>
  <c r="H179" i="7"/>
  <c r="H172" i="7"/>
  <c r="H171" i="7" s="1"/>
  <c r="H163" i="7"/>
  <c r="H162" i="7" s="1"/>
  <c r="H71" i="7"/>
  <c r="H63" i="7"/>
  <c r="H50" i="7"/>
  <c r="H31" i="7"/>
  <c r="H29" i="7"/>
  <c r="H302" i="7"/>
  <c r="H324" i="7" l="1"/>
  <c r="H210" i="7"/>
  <c r="H209" i="7" s="1"/>
  <c r="H203" i="7"/>
  <c r="H175" i="7"/>
  <c r="H174" i="7" s="1"/>
  <c r="H26" i="7"/>
  <c r="H16" i="7" s="1"/>
  <c r="H126" i="7"/>
  <c r="H161" i="7" l="1"/>
  <c r="H202" i="7"/>
  <c r="H160" i="7" l="1"/>
  <c r="H546" i="7"/>
  <c r="H376" i="7"/>
  <c r="H380" i="7"/>
  <c r="H375" i="7" l="1"/>
  <c r="H374" i="7" s="1"/>
  <c r="H364" i="7" s="1"/>
  <c r="H234" i="7"/>
  <c r="H67" i="7" l="1"/>
  <c r="H41" i="7" l="1"/>
  <c r="H15" i="7" s="1"/>
  <c r="H130" i="7"/>
  <c r="H125" i="7" s="1"/>
  <c r="H124" i="7" l="1"/>
  <c r="H525" i="7"/>
  <c r="H304" i="7"/>
  <c r="H301" i="7" s="1"/>
  <c r="H300" i="7" s="1"/>
  <c r="H577" i="7" l="1"/>
  <c r="H672" i="7" s="1"/>
  <c r="H484" i="7"/>
  <c r="H478" i="7"/>
  <c r="H470" i="7"/>
  <c r="H469" i="7" s="1"/>
  <c r="H350" i="7"/>
  <c r="H349" i="7" s="1"/>
  <c r="H321" i="7"/>
  <c r="H276" i="7"/>
  <c r="H275" i="7" s="1"/>
  <c r="H228" i="7"/>
  <c r="H225" i="7"/>
  <c r="H310" i="7" l="1"/>
  <c r="H299" i="7" s="1"/>
  <c r="H224" i="7"/>
  <c r="H223" i="7" s="1"/>
  <c r="H339" i="7"/>
  <c r="H403" i="7"/>
  <c r="H338" i="7" l="1"/>
  <c r="H274" i="7" l="1"/>
  <c r="H513" i="7" l="1"/>
  <c r="H512" i="7" s="1"/>
  <c r="H528" i="7" l="1"/>
  <c r="H527" i="7" l="1"/>
  <c r="H515" i="7" s="1"/>
  <c r="H511" i="7" s="1"/>
  <c r="H510" i="7" l="1"/>
  <c r="H99" i="7" l="1"/>
  <c r="H98" i="7" s="1"/>
  <c r="H97" i="7" s="1"/>
  <c r="M583" i="3"/>
  <c r="M582" i="3" s="1"/>
  <c r="M581" i="3" s="1"/>
  <c r="M484" i="3" l="1"/>
  <c r="M470" i="3" s="1"/>
  <c r="M14" i="3" s="1"/>
  <c r="H96" i="7"/>
  <c r="H14" i="7" s="1"/>
  <c r="H13" i="7" s="1"/>
  <c r="M928" i="3"/>
  <c r="H668" i="7" l="1"/>
  <c r="M932" i="3"/>
  <c r="M957" i="3" s="1"/>
  <c r="H670" i="7" l="1"/>
  <c r="H674" i="7"/>
  <c r="H673" i="7" s="1"/>
</calcChain>
</file>

<file path=xl/sharedStrings.xml><?xml version="1.0" encoding="utf-8"?>
<sst xmlns="http://schemas.openxmlformats.org/spreadsheetml/2006/main" count="10828" uniqueCount="800">
  <si>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</si>
  <si>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</si>
  <si>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</si>
  <si>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</si>
  <si>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</si>
  <si>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</si>
  <si>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</si>
  <si>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</si>
  <si>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</si>
  <si>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</si>
  <si>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</si>
  <si>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</si>
  <si>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</si>
  <si>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</si>
  <si>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</si>
  <si>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</si>
  <si>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</si>
  <si>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</si>
  <si>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</si>
  <si>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</si>
  <si>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</si>
  <si>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</si>
  <si>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</si>
  <si>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</si>
  <si>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</si>
  <si>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</si>
  <si>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</si>
  <si>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</si>
  <si>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</si>
  <si>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</si>
  <si>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</si>
  <si>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</si>
  <si>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</si>
  <si>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</si>
  <si>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</si>
  <si>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</si>
  <si>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</si>
  <si>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</si>
  <si>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</si>
  <si>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</si>
  <si>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</si>
  <si>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</si>
  <si>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</si>
  <si>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</si>
  <si>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</si>
  <si>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</si>
  <si>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</si>
  <si>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</si>
  <si>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</si>
  <si>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</si>
  <si>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</si>
  <si>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</si>
  <si>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</si>
  <si>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</si>
  <si>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</si>
  <si>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</si>
  <si>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</si>
  <si>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</si>
  <si>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</si>
  <si>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</si>
  <si>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</si>
  <si>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</si>
  <si>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</si>
  <si>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</si>
  <si>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</si>
  <si>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</si>
  <si>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</si>
  <si>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</si>
  <si>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</si>
  <si>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</si>
  <si>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</si>
  <si>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</si>
  <si>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</si>
  <si>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</si>
  <si>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</si>
  <si>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</si>
  <si>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</si>
  <si>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</si>
  <si>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</si>
  <si>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</si>
  <si>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</si>
  <si>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</si>
  <si>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</si>
  <si>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</si>
  <si>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</si>
  <si>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</si>
  <si>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</si>
  <si>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</si>
  <si>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</si>
  <si>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</si>
  <si>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</si>
  <si>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</si>
  <si>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</si>
  <si>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</si>
  <si>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</si>
  <si>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</si>
  <si>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</si>
  <si>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</si>
  <si>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</si>
  <si>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</si>
  <si>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</si>
  <si>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</si>
  <si>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</si>
  <si>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</si>
  <si>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</si>
  <si>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</si>
  <si>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</si>
  <si>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</si>
  <si>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</si>
  <si>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</si>
  <si>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</si>
  <si>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</si>
  <si>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</si>
  <si>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</si>
  <si>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</si>
  <si>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</si>
  <si>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</si>
  <si>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</si>
  <si>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</si>
  <si>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</si>
  <si>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</si>
  <si>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</si>
  <si>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</si>
  <si>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</si>
  <si>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</si>
  <si>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</si>
  <si>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</si>
  <si>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</si>
  <si>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</si>
  <si>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</si>
  <si>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</si>
  <si>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</si>
  <si>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</si>
  <si>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</si>
  <si>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</si>
  <si>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</si>
  <si>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</si>
  <si>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</si>
  <si>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</si>
  <si>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</si>
  <si>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</si>
  <si>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</si>
  <si>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</si>
  <si>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</si>
  <si>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</si>
  <si>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</si>
  <si>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</si>
  <si>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</si>
  <si>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</si>
  <si>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</si>
  <si>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1 11 07015 05 0000 120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</si>
  <si>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</si>
  <si>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</si>
  <si>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</si>
  <si>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</si>
  <si>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</si>
  <si>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</si>
  <si>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</si>
  <si>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</si>
  <si>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</si>
  <si>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</si>
  <si>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</si>
  <si>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</si>
  <si>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</si>
  <si>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</si>
  <si>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</si>
  <si>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</si>
  <si>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</si>
  <si>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</si>
  <si>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</si>
  <si>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</si>
  <si>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</si>
  <si>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</si>
  <si>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</si>
  <si>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</si>
  <si>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</si>
  <si>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</si>
  <si>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</si>
  <si>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</si>
  <si>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</si>
  <si>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</si>
  <si>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</si>
  <si>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</si>
  <si>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</si>
  <si>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</si>
  <si>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</si>
  <si>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</si>
  <si>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</si>
  <si>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</si>
  <si>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</si>
  <si>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</si>
  <si>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</si>
  <si>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</si>
  <si>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</si>
  <si>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</si>
  <si>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</si>
  <si>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</si>
  <si>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</si>
  <si>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</si>
  <si>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</si>
  <si>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</si>
  <si>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</si>
  <si>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</si>
  <si>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</si>
  <si>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</si>
  <si>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</si>
  <si>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</si>
  <si>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</si>
  <si>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</si>
  <si>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</si>
  <si>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</si>
  <si>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</si>
  <si>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</si>
  <si>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</si>
  <si>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</si>
  <si>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</si>
  <si>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</si>
  <si>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</si>
  <si>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</si>
  <si>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</si>
  <si>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</si>
  <si>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</si>
  <si>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</si>
  <si>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</si>
  <si>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</si>
  <si>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</si>
  <si>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</si>
  <si>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</si>
  <si>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</si>
  <si>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</si>
  <si>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</si>
  <si>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</si>
  <si>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</si>
  <si>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</si>
  <si>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</si>
  <si>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</si>
  <si>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</si>
  <si>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</si>
  <si>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</si>
  <si>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</si>
  <si>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</si>
  <si>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</si>
  <si>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</si>
  <si>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</si>
  <si>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</si>
  <si>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</si>
  <si>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</si>
  <si>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</si>
  <si>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</si>
  <si>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</si>
  <si>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</si>
  <si>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</si>
  <si>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</si>
  <si>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</si>
  <si>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</si>
  <si>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</si>
  <si>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</si>
  <si>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 xml:space="preserve"> (тыс.рублей)</t>
  </si>
  <si>
    <t>№                п/п</t>
  </si>
  <si>
    <t>1.</t>
  </si>
  <si>
    <t>Объем</t>
  </si>
  <si>
    <t>погашение основной суммы долга</t>
  </si>
  <si>
    <t>Наименование межбюджетных трансфертов</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</si>
  <si>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</si>
  <si>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</si>
  <si>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</si>
  <si>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</si>
  <si>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</si>
  <si>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</si>
  <si>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</si>
  <si>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</si>
  <si>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</si>
  <si>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</si>
  <si>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</si>
  <si>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</si>
  <si>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</si>
  <si>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</si>
  <si>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</si>
  <si>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</si>
  <si>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</si>
  <si>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</si>
  <si>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</si>
  <si>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</si>
  <si>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</si>
  <si>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</si>
  <si>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</si>
  <si>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</si>
  <si>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</si>
  <si>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</si>
  <si>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</si>
  <si>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</si>
  <si>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</si>
  <si>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</si>
  <si>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</si>
  <si>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</si>
  <si>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</si>
  <si>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</si>
  <si>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</si>
  <si>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</si>
  <si>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</si>
  <si>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</si>
  <si>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</si>
  <si>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</si>
  <si>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</si>
  <si>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</si>
  <si>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</si>
  <si>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</si>
  <si>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</si>
  <si>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</si>
  <si>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</si>
  <si>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</si>
  <si>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</si>
  <si>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</si>
  <si>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</si>
  <si>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</si>
  <si>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</si>
  <si>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</si>
  <si>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</si>
  <si>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Всего</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</si>
  <si>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</si>
  <si>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</si>
  <si>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</si>
  <si>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</si>
  <si>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</si>
  <si>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</si>
  <si>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</si>
  <si>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</si>
  <si>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</si>
  <si>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</si>
  <si>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</si>
  <si>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</si>
  <si>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</si>
  <si>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</si>
  <si>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</si>
  <si>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</si>
  <si>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</si>
  <si>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</si>
  <si>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</si>
  <si>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</si>
  <si>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</si>
  <si>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</si>
  <si>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</si>
  <si>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</si>
  <si>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</si>
  <si>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</si>
  <si>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</si>
  <si>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</si>
  <si>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</si>
  <si>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</si>
  <si>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</si>
  <si>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</si>
  <si>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</si>
  <si>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</si>
  <si>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</si>
  <si>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</si>
  <si>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</si>
  <si>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</si>
  <si>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</si>
  <si>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</si>
  <si>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</si>
  <si>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</si>
  <si>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</si>
  <si>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</si>
  <si>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</si>
  <si>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</si>
  <si>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</si>
  <si>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</si>
  <si>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</si>
  <si>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</si>
  <si>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Вид заимствований</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</si>
  <si>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</si>
  <si>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</si>
  <si>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</si>
  <si>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</si>
  <si>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</si>
  <si>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</si>
  <si>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</si>
  <si>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</si>
  <si>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</si>
  <si>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</si>
  <si>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</si>
  <si>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</si>
  <si>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</si>
  <si>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</si>
  <si>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</si>
  <si>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</si>
  <si>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</si>
  <si>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</si>
  <si>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</si>
  <si>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</si>
  <si>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</si>
  <si>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</si>
  <si>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</si>
  <si>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</si>
  <si>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</si>
  <si>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</si>
  <si>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</si>
  <si>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</si>
  <si>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</si>
  <si>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</si>
  <si>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</si>
  <si>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</si>
  <si>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</si>
  <si>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</si>
  <si>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</si>
  <si>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</si>
  <si>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</si>
  <si>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</si>
  <si>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</si>
  <si>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</si>
  <si>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</si>
  <si>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</si>
  <si>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</si>
  <si>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</si>
  <si>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</si>
  <si>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Создание условий для организации досуга и обеспечения жителей услугами организаций культуры</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</si>
  <si>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</si>
  <si>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</si>
  <si>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</si>
  <si>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</si>
  <si>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С0820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</si>
  <si>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</si>
  <si>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</si>
  <si>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</si>
  <si>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</si>
  <si>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</si>
  <si>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</si>
  <si>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925</t>
  </si>
  <si>
    <t>1 06 02000 02 0000 110</t>
  </si>
  <si>
    <t>Налог на имущество организаций*</t>
  </si>
  <si>
    <t xml:space="preserve">Программа муниципальных внутренних заимствований муниципального </t>
  </si>
  <si>
    <t>Дотации бюджетам муниципальных районов на выравнивание бюджетной обеспеченности из бюджета субъекта Российской Федерации</t>
  </si>
  <si>
    <t>Профилактика терроризма</t>
  </si>
  <si>
    <t>S0460</t>
  </si>
  <si>
    <t>Иные межбюджетные трансферты бюджетам бюджетной системы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</si>
  <si>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</si>
  <si>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</si>
  <si>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</si>
  <si>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</si>
  <si>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</si>
  <si>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</si>
  <si>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</si>
  <si>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</si>
  <si>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</si>
  <si>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</si>
  <si>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</si>
  <si>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</si>
  <si>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</si>
  <si>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чрезвычайной ситуации</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</si>
  <si>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</si>
  <si>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</si>
  <si>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</si>
  <si>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</si>
  <si>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</si>
  <si>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</si>
  <si>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</si>
  <si>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</si>
  <si>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</si>
  <si>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</si>
  <si>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</si>
  <si>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2023 год</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</si>
  <si>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</si>
  <si>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</si>
  <si>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</si>
  <si>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</si>
  <si>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</si>
  <si>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</si>
  <si>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</si>
  <si>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</si>
  <si>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</si>
  <si>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</si>
  <si>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</si>
  <si>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</si>
  <si>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</si>
  <si>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</si>
  <si>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</si>
  <si>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F3</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</si>
  <si>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</si>
  <si>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</si>
  <si>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</si>
  <si>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</si>
  <si>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Бюджетные кредиты,  привлеченные в бюджет  муниципального образования  Апшеронский район из других  бюджетов бюджетной системы Российской Федерации, всего</t>
  </si>
  <si>
    <t>привлечение (предельный срок погашения - до 10 лет)</t>
  </si>
  <si>
    <t>Переселение граждан из аварийного жилищного фонда</t>
  </si>
  <si>
    <t>8</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</si>
  <si>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</si>
  <si>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</si>
  <si>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2 02 25228 00 0000 150</t>
  </si>
  <si>
    <t>Субсидии бюджетам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</si>
  <si>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</si>
  <si>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</si>
  <si>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P5</t>
  </si>
  <si>
    <t>Федеральный проект "Спорт – норма жизни"</t>
  </si>
  <si>
    <t>Оснащение объектов спортивной инфраструктуры спортивно-технологическим оборудованием</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</si>
  <si>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</si>
  <si>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</si>
  <si>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</si>
  <si>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</si>
  <si>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</si>
  <si>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</si>
  <si>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</si>
  <si>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</si>
  <si>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</si>
  <si>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52280</t>
  </si>
  <si>
    <t>Организация газоснабжения населения (поселений) (строительство подводящих газопроводов, распределительных газопроводов)</t>
  </si>
  <si>
    <t>субсидии на защиту населения и территории муниципального образования от чрезвычайных ситуаций природного характера на объектах туристского показа, находящихся в муниципальной собственности</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</si>
  <si>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</si>
  <si>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</si>
  <si>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</si>
  <si>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</si>
  <si>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</si>
  <si>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</si>
  <si>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субсидии на участие в профилактике терроризма в части обеспечения инженерно-технической защищенности муниципальных образовательных организаций</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</si>
  <si>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</si>
  <si>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</si>
  <si>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</si>
  <si>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</si>
  <si>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</si>
  <si>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</si>
  <si>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</si>
  <si>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</si>
  <si>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 xml:space="preserve">                                Приложение 11 к решению Совета муниципального образования</t>
  </si>
  <si>
    <t>6748S</t>
  </si>
  <si>
    <t>0501</t>
  </si>
  <si>
    <t>Мероприятия по профилактике детского дорожно-транспортного травматизма в муниципальных образовательных учреждениях</t>
  </si>
  <si>
    <t>10220</t>
  </si>
  <si>
    <t>53032</t>
  </si>
  <si>
    <t>Муниципальные ценные бумаги  муниципального образования  Апшеронский район, всего</t>
  </si>
  <si>
    <t>2.</t>
  </si>
  <si>
    <t>3.</t>
  </si>
  <si>
    <t>Кредиты,  привлеченные в бюджет  муниципального образования  Апшеронский район от кредитных организаций, всего</t>
  </si>
  <si>
    <t>________________________</t>
  </si>
  <si>
    <t>S3350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</si>
  <si>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</si>
  <si>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Защита населения и территории муниципальных образований от чрезвычайных ситуаций природного характера на объектах туристского показа, находящихся в муниципальной собственности</t>
  </si>
  <si>
    <t>10230</t>
  </si>
  <si>
    <t>Обеспечение функционирования системы персонифицированного финансирования дополнительного образования детей</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</si>
  <si>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</si>
  <si>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</si>
  <si>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</si>
  <si>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</si>
  <si>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</si>
  <si>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</si>
  <si>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подготовку изменений в генеральные планы муниципальных образований Краснодарского края</t>
  </si>
  <si>
    <t>S2560</t>
  </si>
  <si>
    <t>Подготовка изменений в генеральные планы муниципальных образований Краснодарского края</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</si>
  <si>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</si>
  <si>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</si>
  <si>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</si>
  <si>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</si>
  <si>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</si>
  <si>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</si>
  <si>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</si>
  <si>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</si>
  <si>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</si>
  <si>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</si>
  <si>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</si>
  <si>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</si>
  <si>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</si>
  <si>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</si>
  <si>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S3410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</si>
  <si>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</si>
  <si>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</si>
  <si>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</si>
  <si>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</si>
  <si>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 xml:space="preserve">                                Приложение 5 к решению Совета муниципального образования</t>
  </si>
  <si>
    <t>Содействие развитию физической культуры и спорта</t>
  </si>
  <si>
    <t>Реализация мероприятий в области строительства, архитектуры и градостроительства</t>
  </si>
  <si>
    <t>11420</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</si>
  <si>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</si>
  <si>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</si>
  <si>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</si>
  <si>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</si>
  <si>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</si>
  <si>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</si>
  <si>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</si>
  <si>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Построение и развитие АПК "Безопасный город" и системы "112"</t>
  </si>
  <si>
    <t>субсидии на реализацию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</si>
  <si>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S3570</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</si>
  <si>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</si>
  <si>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27000</t>
  </si>
  <si>
    <t>Организация подвоза обучающихся, проживающих на территории Туапсинского района</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</si>
  <si>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</si>
  <si>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</si>
  <si>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</si>
  <si>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</si>
  <si>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</si>
  <si>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субсидии на создание условий для массового отдыха и организации обустройства мест массового отдыха в границах туристского кластера "Курджипский"</t>
  </si>
  <si>
    <t>S3590</t>
  </si>
  <si>
    <t>Создание условий для массового отдыха и организации обустройства мест массового отдыха в границах туристского кластера "Курджипский"</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</si>
  <si>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</si>
  <si>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 xml:space="preserve">Создание условий для массового отдыха и организации обустройства мест массового отдыха в границах туристского кластера "Курджипский" </t>
  </si>
  <si>
    <t>19</t>
  </si>
  <si>
    <t>Объем поступлений доходов в районный бюджет по кодам видов (подвидов) доходов на 2023 год и плановый период 2024 и 2025 годов</t>
  </si>
  <si>
    <t>2025 год</t>
  </si>
  <si>
    <t>классификации расходов бюджетов на 2023 год и плановый период 2024 и 2025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</si>
  <si>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2023 год</t>
  </si>
  <si>
    <t>Ведомственная структура расходов районного бюджета на 2023 год</t>
  </si>
  <si>
    <t>Источники финансирования дефицита районного бюджета,                                                                                                                                                                                                                                                                перечень статей источников финансирования дефицитов бюджетов на 2023 год и плановый период 2024 и 2025 годов</t>
  </si>
  <si>
    <t>Объем межбюджетных трансфертов, предоставляемых другим бюджетам бюджетной системы Российской Федерации, на 2023 год и плановый период 2024 и 2025 годов</t>
  </si>
  <si>
    <t>образования Апшеронский  район на 2023 год и плановый период 2024 и 2025 годов</t>
  </si>
  <si>
    <r>
      <t xml:space="preserve">Раздел 1. </t>
    </r>
    <r>
      <rPr>
        <sz val="14"/>
        <rFont val="Times New Roman"/>
        <family val="1"/>
        <charset val="204"/>
      </rPr>
      <t>Программа муниципальных внутренних заимствований муниципального образования Апшеронский район на 2023 год</t>
    </r>
  </si>
  <si>
    <r>
      <t xml:space="preserve">Раздел 2. </t>
    </r>
    <r>
      <rPr>
        <sz val="14"/>
        <rFont val="Times New Roman"/>
        <family val="1"/>
        <charset val="204"/>
      </rPr>
      <t>Программа муниципальных внутренних заимствований муниципального образования Апшеронский  район на 2024 и 2025 годы</t>
    </r>
  </si>
  <si>
    <t>69160</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</si>
  <si>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</si>
  <si>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12 к решению Совета муниципального образования</t>
  </si>
  <si>
    <t xml:space="preserve">                                Приложение 14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</si>
  <si>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</si>
  <si>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Безвозмездные поступления от других бюджетов бюджетной системы Российской Федерации
 в 2023 году</t>
  </si>
  <si>
    <t>Непрограммные расходы органов 
местного самоуправления</t>
  </si>
  <si>
    <t>2 02 20299 00 0000 150</t>
  </si>
  <si>
    <t>2 02 20299 05 0000 150</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</si>
  <si>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</si>
  <si>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</si>
  <si>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</si>
  <si>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</si>
  <si>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</si>
  <si>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субсидии на 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</si>
  <si>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Субсидии бюджетам муниципальных районов на реализацию мероприятий по модернизации школьных систем образования</t>
  </si>
  <si>
    <t>2 02 25750 05 0000 150</t>
  </si>
  <si>
    <t>Субсидии бюджетам на реализацию мероприятий по модернизации школьных систем образования</t>
  </si>
  <si>
    <t>2 02 25750 00 0000 150</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</si>
  <si>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</si>
  <si>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</si>
  <si>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</si>
  <si>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</si>
  <si>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67484</t>
  </si>
  <si>
    <t>67483</t>
  </si>
  <si>
    <t>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</si>
  <si>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S0640</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</si>
  <si>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</si>
  <si>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</si>
  <si>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</si>
  <si>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</si>
  <si>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</si>
  <si>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</si>
  <si>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</si>
  <si>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</si>
  <si>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</si>
  <si>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</si>
  <si>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</si>
  <si>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</si>
  <si>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</si>
  <si>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</si>
  <si>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1 11 03050 05 0000 120</t>
  </si>
  <si>
    <t>проценты, полученные от предоставления бюджетных кредитов внутри страны за счет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</si>
  <si>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</si>
  <si>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</si>
  <si>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</si>
  <si>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</si>
  <si>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</si>
  <si>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</si>
  <si>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</si>
  <si>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</si>
  <si>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</si>
  <si>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</si>
  <si>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Реализация мероприятий по модернизации школьных систем образования</t>
  </si>
  <si>
    <t>EB</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</si>
  <si>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</si>
  <si>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</si>
  <si>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</si>
  <si>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</si>
  <si>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</si>
  <si>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Федеральный проект "Патриотическое воспитание граждан Российской Федерации"</t>
  </si>
  <si>
    <t>L7500</t>
  </si>
  <si>
    <r>
      <rPr>
        <i/>
        <sz val="14"/>
        <rFont val="Times New Roman"/>
        <family val="1"/>
        <charset val="204"/>
      </rPr>
      <t xml:space="preserve">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t>
    </r>
    <r>
      <rPr>
        <sz val="14"/>
        <rFont val="Times New Roman"/>
        <family val="1"/>
        <charset val="204"/>
      </rPr>
      <t xml:space="preserve">
</t>
    </r>
  </si>
  <si>
    <t>до изменений (скрыть)</t>
  </si>
  <si>
    <t>изменения</t>
  </si>
  <si>
    <t>с учетом изменений</t>
  </si>
  <si>
    <t>Апшеронский район от 22.12.2022 № 163</t>
  </si>
  <si>
    <t>2 02 35179 00 0000 150</t>
  </si>
  <si>
    <t>2 02 35179 05 0000 150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</si>
  <si>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</si>
  <si>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</si>
  <si>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18</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</si>
  <si>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</si>
  <si>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</si>
  <si>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</si>
  <si>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</si>
  <si>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63690</t>
  </si>
  <si>
    <t>Прочие межбюджетные трансферты общего характера</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</si>
  <si>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</si>
  <si>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98</t>
  </si>
  <si>
    <t>Мероприятия, направленные на предупреждение и ликвидацию чрезвычайных ситуаций и их последствий, а также на иные мероприятия (неотложные расходы), не относящиеся к публичным нормативным обязательствам</t>
  </si>
  <si>
    <t>90020</t>
  </si>
  <si>
    <t>Иные межбюджетные трансферты бюджетам поселений за счет средств резервного фонда администрации муниципального образования Апшеронский район</t>
  </si>
  <si>
    <t>Софинансирование расходных обязательств по объекту «Реконструкция дороги общего пользования местного значения по улице Мостовая включая «Автомобильный мост 1», «Автомобильный мост 2» в станице Куринской Куринского сельского поселения Апшеронского района</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</si>
  <si>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</si>
  <si>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</si>
  <si>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</si>
  <si>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</si>
  <si>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</si>
  <si>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</si>
  <si>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</si>
  <si>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</si>
  <si>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62980</t>
  </si>
  <si>
    <t>Дополнительная помощь местным бюджетам для решения социально значимых вопросов местного значения</t>
  </si>
  <si>
    <t>2 18 05010 05 0000 150</t>
  </si>
  <si>
    <t>Доходы бюджетов муниципальных районов от возврата бюджетными учреждениями остатков субсидий прошлых лет</t>
  </si>
  <si>
    <t>2 19 25304 05 0000 150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</si>
  <si>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</si>
  <si>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2 19 35303 05 0000 150</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</si>
  <si>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</si>
  <si>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</si>
  <si>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</si>
  <si>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</si>
  <si>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</si>
  <si>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Спорт высших достижений</t>
  </si>
  <si>
    <t>1103</t>
  </si>
  <si>
    <t>Текущий ремонт моста в ст-це Нефтяной по ул. Заречной (через р. Туха) Нефтегорского городского поселения Апшеронского района</t>
  </si>
  <si>
    <t>Поддержка местных инициатив по итогам краевого конкурса</t>
  </si>
  <si>
    <t>62950</t>
  </si>
  <si>
    <t>2 02 19999 00 0000 150</t>
  </si>
  <si>
    <t>Прочие дотации</t>
  </si>
  <si>
    <t>2 02 19999 05 0000 150</t>
  </si>
  <si>
    <t>Прочие дотации бюджетам муниципальных районов</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</si>
  <si>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</si>
  <si>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</si>
  <si>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</si>
  <si>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</si>
  <si>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Оплата исполнительных листов Арбитражного суда Краснодарского края, в части расходов по оплате стоимости фактических потерь электроэнергии и расходов по оплате государственной пошлины в пользу акционерного общества «Независимая энергосбытовая компания Краснодарского края»</t>
  </si>
  <si>
    <t>62590</t>
  </si>
  <si>
    <t>Средства резервного фонда администрации Краснодарского края</t>
  </si>
  <si>
    <t>Капитальный ремонт автомобильной дороги по ул. Социалистической в г. Апшеронске (устройство недостающего тротуара от ул. Пролетарской до парковки возле ГБУЗ «ЦРБ Апшеронского района» МЗ КК)</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</si>
  <si>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</si>
  <si>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</si>
  <si>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</si>
  <si>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10140</t>
  </si>
  <si>
    <t>Меры социальной поддержки отдельным категориям работников здравоохранения</t>
  </si>
  <si>
    <t>Единовременная выплата отдельным категориям работников, являющихся работниками учреждений здравоохранения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</si>
  <si>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бюджета Краснодарского края</t>
  </si>
  <si>
    <t>10150</t>
  </si>
  <si>
    <t>Меры социальной поддержки отдельным категориям работников общеобразовательных организаций</t>
  </si>
  <si>
    <t>Единовременная выплата отдельным категориям работников, являющихся работниками общеобразовательных организаций</t>
  </si>
  <si>
    <t>Социальное обеспечение населения</t>
  </si>
  <si>
    <t>Приобретение товаров, работ (услуг) в целях реализации мер, направленных на обеспечение инженерно-технической защищенности административных зданий органов внутренних дел</t>
  </si>
  <si>
    <t>Текущий ремонт подвесного моста через реку Пшиш по улице Пионерской в станице Кабардинской Кабардинского сельского поселения Апшеронского района</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</si>
  <si>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</si>
  <si>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</si>
  <si>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 xml:space="preserve">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 </t>
  </si>
  <si>
    <t xml:space="preserve">субсидии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</si>
  <si>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</si>
  <si>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Установка уличного освещения в поселке Новый Режет Отдаленного сельского поселения Апшеронского района по улицам: Железнодорожная, Заречная, Клубная, Коммунаров</t>
  </si>
  <si>
    <t>иные межбюджетные трансферты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</si>
  <si>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</si>
  <si>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 xml:space="preserve">иные межбюджетные трансферты на дополнительную помощь местным бюджетам для решения социально значимых вопросов местного значения </t>
  </si>
  <si>
    <t>Разработка схемы газоснабжения поселка Асфальтовая Гора Апшеронского района Краснодарского края</t>
  </si>
  <si>
    <t>Ремонт строений из 3-х нежилых помещений, в том числе 2 раздевалки на футбольном поле по адресу г. Апшеронск, пересечение улиц Лесозаводская – Стадионная – Заводская (район ФЗО)</t>
  </si>
  <si>
    <t>Иные межбюджетные трансферты на поддержку мер по обеспечению сбалансированности бюджетов поселений</t>
  </si>
  <si>
    <t>10720</t>
  </si>
  <si>
    <t>Устройство контейнерных площадок на территории Нефтегорского городского поселения Апшеронского района</t>
  </si>
  <si>
    <t>Устройство тротуара, парковки и остановочной площадки общественного транспорта по ул. Красной (от ул. Кузнечной до ул. Комсомольской) в станице Кубанской Апшеронского района</t>
  </si>
  <si>
    <t>S3490</t>
  </si>
  <si>
    <t>Создание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образовательных организациях, в том числе для размещения детей в возрасте до 3 лет)</t>
  </si>
  <si>
    <t>субсидии на создание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образовательных организациях, в том числе для размещения детей в возрасте до 3 лет)</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</si>
  <si>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</si>
  <si>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69120</t>
  </si>
  <si>
    <t>Капитальный ремонт котла ДКВр-2,5-13 котельной, расположенной по адресу: Краснодарский край, г. Апшеронск, ул. Пролетарская, 204</t>
  </si>
  <si>
    <t>Устройство кабельной линии освещения на общественной территории «Бульвар по ул. Коммунистической от ул. Комарова до ул. Партизанской; по пер. Транспортному от ул. Коммунистической до парка культуры и отдыха «Юность» в г. Апшеронске Краснодарского края»</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</si>
  <si>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</si>
  <si>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</si>
  <si>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Размещение и питание граждан Российской Федерации, иностранных граждан и лиц без гражданства, постоянно проживающих на территории Украины, а также на территориях субъектов Российской Федерации, на которых введены максимальный и средний уровни реагирования, вынужденно покинувших жилые помещения и находившихся в пунктах временного размещения и питания на территории Краснодарского края</t>
  </si>
  <si>
    <t>16</t>
  </si>
  <si>
    <t>Ремонт тротуара по ул. К. Маркса от ул. Ленина до ул. Профсоюзной в г. Хадыженске Хадыженского городского поселения Апшеронского района</t>
  </si>
  <si>
    <t>Устройство тротуара по ул. Шаумяна (от ул. Мира до ул. Гагарина) и по ул. Гагарина (от ул. Шаумяна до МБОУСОШ № 11) в с. Черниговское Черниговского сельского поселения Апшеронского района</t>
  </si>
  <si>
    <t>Подготовка проекта материалов, обосновывающих создание особо охраняемой территории местного значения «Припшехский лес» в границах земельного участка с кадастровым номером 23:02:0000000:3128 (с корректировкой) площадью 76,35 га в г. Апшеронске</t>
  </si>
  <si>
    <t>Выполнение работ по проведению экстренных мероприятий по ликвидации последствий чрезвычайной ситуации в с. Черниговское Черниговского сельского поселения Апшеронского района</t>
  </si>
  <si>
    <t>Изготовление и поставка каркасного здания из легких стальных конструкций с внутренней отделкой</t>
  </si>
  <si>
    <t>Разработка продольных водоотводных и нагорных канав и восстановление профиля (грейдирование) и ровности проезжей части автомобильных дорог по ул. Заводской, пер. Садовому в ст. Нефтяной Нефтегорского городского поселения Апшеронского района</t>
  </si>
  <si>
    <t>2 07 05000 05 0000 150</t>
  </si>
  <si>
    <t>Прочие безвозмездные поступления в бюджеты муниципальных районов</t>
  </si>
  <si>
    <t>000 01 03 00 00 00 0000 000</t>
  </si>
  <si>
    <t>Бюджетные кредиты от других бюджетов бюджетной системы Российской Федерации</t>
  </si>
  <si>
    <t>000 01 03 01 00 00 0000 000</t>
  </si>
  <si>
    <t>000 01 03 01 00 00 0000 700</t>
  </si>
  <si>
    <t>000 01 03 01 00 05 0000 710</t>
  </si>
  <si>
    <t>000 01 03 01 00 00 0000 800</t>
  </si>
  <si>
    <t>000 01 03 01 00 05 0000 810</t>
  </si>
  <si>
    <t>000 01 06 05 00 00 0000 500</t>
  </si>
  <si>
    <t>000 01 06 05 02 00 0000 500</t>
  </si>
  <si>
    <t>000 01 06 05 02 05 0000 540</t>
  </si>
  <si>
    <t>Предоставление бюджетных кредитов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</si>
  <si>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</si>
  <si>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</si>
  <si>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</si>
  <si>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</si>
  <si>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</si>
  <si>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</si>
  <si>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</si>
  <si>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Обслуживание государственного (муниципального) долга</t>
  </si>
  <si>
    <t>Обслуживание государственного (муниципального) внутреннего долга</t>
  </si>
  <si>
    <t>Обеспечение своевременности и полноты исполнения долговых обязательств муниципального образования</t>
  </si>
  <si>
    <t>Процентные платежи по муниципальному долгу</t>
  </si>
  <si>
    <t>11810</t>
  </si>
  <si>
    <t>700</t>
  </si>
  <si>
    <t>1300</t>
  </si>
  <si>
    <t>1301</t>
  </si>
  <si>
    <t>11110</t>
  </si>
  <si>
    <t>Реализация мероприятий по газификации населенных пунктов поселений муниципального образования Апшеронский район</t>
  </si>
  <si>
    <t>Апшеронский район от 09.11.2023 № 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</si>
</sst>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 numFmtId="176" formatCode="0.000"/>
  </numFmts>
  <fonts count="26"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0"/>
      <name val="Times New Roman"/>
      <family val="1"/>
    </font>
    <font>
      <b/>
      <sz val="10"/>
      <name val="Times New Roman"/>
      <family val="1"/>
    </font>
    <font>
      <sz val="14"/>
      <name val="Arial Cyr"/>
      <charset val="204"/>
    </font>
    <font>
      <sz val="11"/>
      <name val="Calibri"/>
      <family val="2"/>
      <scheme val="minor"/>
    </font>
    <font>
      <sz val="11"/>
      <color theme="1"/>
      <name val="Calibri"/>
      <family val="2"/>
      <scheme val="minor"/>
    </font>
    <font>
      <sz val="11"/>
      <name val="Times New Roman"/>
      <family val="1"/>
      <charset val="204"/>
    </font>
    <font>
      <b/>
      <sz val="11"/>
      <name val="Times New Roman"/>
      <family val="1"/>
      <charset val="204"/>
    </font>
    <font>
      <sz val="11"/>
      <name val="Calibri"/>
      <family val="2"/>
    </font>
    <font>
      <sz val="14"/>
      <color rgb="FFFF0000"/>
      <name val="Times New Roman"/>
      <family val="1"/>
      <charset val="204"/>
    </font>
    <font>
      <sz val="14"/>
      <color rgb="FFFF0000"/>
      <name val="Times New Roman"/>
      <family val="1"/>
    </font>
    <font>
      <b/>
      <i/>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9" fillId="0" borderId="0" applyFont="0" applyFill="0" applyBorder="0" applyAlignment="0" applyProtection="0"/>
    <xf numFmtId="0" fontId="9" fillId="0" borderId="0"/>
    <xf numFmtId="0" fontId="5" fillId="0" borderId="0"/>
    <xf numFmtId="0" fontId="9" fillId="0" borderId="0"/>
    <xf numFmtId="0" fontId="19" fillId="0" borderId="0"/>
    <xf numFmtId="0" fontId="7" fillId="0" borderId="0"/>
    <xf numFmtId="43" fontId="19" fillId="0" borderId="0" applyFont="0" applyFill="0" applyBorder="0" applyAlignment="0" applyProtection="0"/>
  </cellStyleXfs>
  <cellXfs count="741">
    <xf numFmtId="0" fontId="0" fillId="0" borderId="0" xfId="0"/>
    <xf numFmtId="0" fontId="18"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8"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8"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20"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166" fontId="3" fillId="2" borderId="0" xfId="5" applyNumberFormat="1" applyFont="1" applyFill="1" applyBorder="1" applyAlignment="1">
      <alignment horizontal="right" wrapText="1"/>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166" fontId="3"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8"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0" fontId="1" fillId="2" borderId="0" xfId="7" applyFont="1" applyFill="1" applyBorder="1" applyAlignment="1">
      <alignment horizontal="left"/>
    </xf>
    <xf numFmtId="0" fontId="1" fillId="2" borderId="0" xfId="7" applyFont="1" applyFill="1" applyAlignment="1">
      <alignment horizontal="left"/>
    </xf>
    <xf numFmtId="168" fontId="1" fillId="2" borderId="0" xfId="7" applyNumberFormat="1" applyFont="1" applyFill="1" applyAlignment="1">
      <alignment horizontal="right"/>
    </xf>
    <xf numFmtId="0" fontId="3" fillId="2" borderId="0" xfId="5" applyFont="1" applyFill="1" applyBorder="1" applyAlignment="1">
      <alignment horizontal="left" vertical="top" wrapText="1"/>
    </xf>
    <xf numFmtId="0" fontId="2" fillId="2" borderId="1" xfId="0" applyFont="1" applyFill="1" applyBorder="1" applyAlignment="1">
      <alignment horizontal="center" vertical="top"/>
    </xf>
    <xf numFmtId="0" fontId="14" fillId="2" borderId="0" xfId="0" applyFont="1" applyFill="1"/>
    <xf numFmtId="0" fontId="10" fillId="2" borderId="0" xfId="0" applyFont="1" applyFill="1"/>
    <xf numFmtId="0" fontId="11" fillId="2" borderId="0" xfId="0" applyFont="1" applyFill="1"/>
    <xf numFmtId="0" fontId="22" fillId="2" borderId="0" xfId="0" applyFont="1" applyFill="1"/>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2"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8"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15" fillId="2" borderId="0" xfId="3" applyFont="1" applyFill="1"/>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3" fillId="2" borderId="0" xfId="0" applyFont="1" applyFill="1" applyAlignment="1"/>
    <xf numFmtId="0" fontId="4" fillId="2" borderId="1" xfId="0" applyFont="1" applyFill="1" applyBorder="1" applyAlignment="1">
      <alignment vertical="top"/>
    </xf>
    <xf numFmtId="166" fontId="4" fillId="2" borderId="1" xfId="0" applyNumberFormat="1" applyFont="1" applyFill="1" applyBorder="1" applyAlignment="1">
      <alignment vertical="top"/>
    </xf>
    <xf numFmtId="0" fontId="1" fillId="2" borderId="1" xfId="1" applyFont="1" applyFill="1" applyBorder="1" applyAlignment="1">
      <alignment wrapText="1"/>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0"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2" xfId="12" applyNumberFormat="1" applyFont="1" applyFill="1" applyBorder="1" applyAlignment="1">
      <alignment horizontal="center"/>
    </xf>
    <xf numFmtId="166" fontId="1" fillId="2" borderId="31"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3"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8" fillId="2" borderId="0" xfId="3" applyFont="1" applyFill="1"/>
    <xf numFmtId="0" fontId="8" fillId="2" borderId="0" xfId="3" applyFont="1" applyFill="1" applyAlignment="1">
      <alignment wrapText="1"/>
    </xf>
    <xf numFmtId="168" fontId="8" fillId="2" borderId="0" xfId="3" applyNumberFormat="1" applyFont="1" applyFill="1" applyAlignment="1">
      <alignment horizontal="right"/>
    </xf>
    <xf numFmtId="0" fontId="1" fillId="2" borderId="6" xfId="3" applyFont="1" applyFill="1" applyBorder="1" applyAlignment="1">
      <alignment horizontal="center" vertical="center" wrapText="1"/>
    </xf>
    <xf numFmtId="0" fontId="1" fillId="2" borderId="8" xfId="3" applyFont="1" applyFill="1" applyBorder="1" applyAlignment="1">
      <alignment horizontal="center" vertical="center" wrapText="1"/>
    </xf>
    <xf numFmtId="166" fontId="1" fillId="2" borderId="5" xfId="3" applyNumberFormat="1" applyFont="1" applyFill="1" applyBorder="1" applyAlignment="1">
      <alignment horizontal="center" vertical="center" wrapText="1"/>
    </xf>
    <xf numFmtId="0" fontId="1" fillId="2" borderId="15" xfId="3" applyFont="1" applyFill="1" applyBorder="1" applyAlignment="1">
      <alignment horizontal="left" wrapText="1"/>
    </xf>
    <xf numFmtId="0" fontId="1" fillId="2" borderId="0" xfId="3" applyFont="1" applyFill="1" applyBorder="1" applyAlignment="1">
      <alignment horizontal="center" vertical="center" wrapText="1"/>
    </xf>
    <xf numFmtId="166" fontId="1" fillId="2" borderId="12" xfId="3" applyNumberFormat="1" applyFont="1" applyFill="1" applyBorder="1" applyAlignment="1">
      <alignment horizontal="center" vertical="center" wrapText="1"/>
    </xf>
    <xf numFmtId="166" fontId="1" fillId="2" borderId="13" xfId="3" applyNumberFormat="1" applyFont="1" applyFill="1" applyBorder="1" applyAlignment="1">
      <alignment horizontal="center" vertical="center" wrapText="1"/>
    </xf>
    <xf numFmtId="167" fontId="1" fillId="2" borderId="12" xfId="3" applyNumberFormat="1" applyFont="1" applyFill="1" applyBorder="1" applyAlignment="1">
      <alignment horizontal="center"/>
    </xf>
    <xf numFmtId="0" fontId="1" fillId="2" borderId="0" xfId="3" applyFont="1" applyFill="1" applyBorder="1"/>
    <xf numFmtId="0" fontId="1" fillId="2" borderId="11" xfId="3" applyFont="1" applyFill="1" applyBorder="1" applyAlignment="1">
      <alignment horizontal="left" wrapText="1"/>
    </xf>
    <xf numFmtId="0" fontId="1" fillId="2" borderId="0" xfId="3" applyFont="1" applyFill="1" applyBorder="1" applyAlignment="1">
      <alignment horizontal="center" wrapText="1"/>
    </xf>
    <xf numFmtId="0" fontId="1" fillId="2" borderId="14" xfId="3" applyFont="1" applyFill="1" applyBorder="1" applyAlignment="1">
      <alignment horizontal="left" wrapText="1"/>
    </xf>
    <xf numFmtId="0" fontId="1" fillId="2" borderId="10" xfId="3" applyFont="1" applyFill="1" applyBorder="1" applyAlignment="1">
      <alignment horizontal="left" wrapText="1"/>
    </xf>
    <xf numFmtId="166" fontId="1" fillId="2" borderId="13" xfId="3" applyNumberFormat="1" applyFont="1" applyFill="1" applyBorder="1" applyAlignment="1">
      <alignment horizontal="center"/>
    </xf>
    <xf numFmtId="0" fontId="1" fillId="2" borderId="0" xfId="3" applyFont="1" applyFill="1" applyAlignment="1">
      <alignment wrapText="1"/>
    </xf>
    <xf numFmtId="0" fontId="1" fillId="2" borderId="0" xfId="3" applyFont="1" applyFill="1" applyAlignment="1">
      <alignment horizontal="center"/>
    </xf>
    <xf numFmtId="0" fontId="1" fillId="2" borderId="1" xfId="3" applyFont="1" applyFill="1" applyBorder="1" applyAlignment="1">
      <alignment horizontal="center" vertical="center" wrapText="1"/>
    </xf>
    <xf numFmtId="0" fontId="1" fillId="2" borderId="15" xfId="3" applyFont="1" applyFill="1" applyBorder="1" applyAlignment="1">
      <alignment horizontal="left" vertical="center" wrapText="1"/>
    </xf>
    <xf numFmtId="0" fontId="1" fillId="2" borderId="5" xfId="3" applyFont="1" applyFill="1" applyBorder="1" applyAlignment="1">
      <alignment horizontal="justify" vertical="top" wrapText="1"/>
    </xf>
    <xf numFmtId="167" fontId="1" fillId="2" borderId="5" xfId="3" applyNumberFormat="1" applyFont="1" applyFill="1" applyBorder="1" applyAlignment="1">
      <alignment horizontal="center"/>
    </xf>
    <xf numFmtId="0" fontId="1" fillId="2" borderId="12" xfId="3" applyFont="1" applyFill="1" applyBorder="1" applyAlignment="1">
      <alignment horizontal="left" wrapText="1"/>
    </xf>
    <xf numFmtId="0" fontId="1" fillId="2" borderId="13" xfId="3" applyFont="1" applyFill="1" applyBorder="1" applyAlignment="1">
      <alignment horizontal="left" wrapText="1"/>
    </xf>
    <xf numFmtId="167" fontId="1" fillId="2" borderId="13" xfId="3" applyNumberFormat="1" applyFont="1" applyFill="1" applyBorder="1" applyAlignment="1">
      <alignment horizontal="center"/>
    </xf>
    <xf numFmtId="0" fontId="1" fillId="2" borderId="0" xfId="3" applyFont="1" applyFill="1" applyBorder="1" applyAlignment="1">
      <alignment horizontal="center" vertical="justify"/>
    </xf>
    <xf numFmtId="0" fontId="1" fillId="2" borderId="0" xfId="3" applyFont="1" applyFill="1" applyBorder="1" applyAlignment="1">
      <alignment horizontal="left" wrapText="1"/>
    </xf>
    <xf numFmtId="0" fontId="1" fillId="2" borderId="0" xfId="3" applyFont="1" applyFill="1" applyBorder="1" applyAlignment="1">
      <alignment horizont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166" fontId="6" fillId="2" borderId="1" xfId="1"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25"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29" xfId="6" applyNumberFormat="1" applyFont="1" applyFill="1" applyBorder="1" applyAlignment="1">
      <alignment horizontal="center"/>
    </xf>
    <xf numFmtId="49" fontId="3" fillId="2" borderId="32"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3" xfId="11" applyNumberFormat="1" applyFont="1" applyFill="1" applyBorder="1" applyAlignment="1">
      <alignment horizontal="center"/>
    </xf>
    <xf numFmtId="49" fontId="3" fillId="2" borderId="34" xfId="16" applyNumberFormat="1" applyFont="1" applyFill="1" applyBorder="1" applyAlignment="1">
      <alignment horizontal="center"/>
    </xf>
    <xf numFmtId="49" fontId="3" fillId="2" borderId="35"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0" fontId="1" fillId="2" borderId="0" xfId="3" applyFont="1" applyFill="1" applyAlignment="1">
      <alignment wrapText="1"/>
    </xf>
    <xf numFmtId="166" fontId="1" fillId="2" borderId="36" xfId="16" applyNumberFormat="1" applyFont="1" applyFill="1" applyBorder="1" applyAlignment="1">
      <alignment horizontal="right"/>
    </xf>
    <xf numFmtId="49" fontId="1" fillId="2" borderId="17" xfId="14" applyNumberFormat="1" applyFont="1" applyFill="1" applyBorder="1" applyAlignment="1">
      <alignment horizontal="center"/>
    </xf>
    <xf numFmtId="166" fontId="1" fillId="2" borderId="22" xfId="16" applyNumberFormat="1" applyFont="1" applyFill="1" applyBorder="1" applyAlignment="1">
      <alignment horizontal="right"/>
    </xf>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49" fontId="1" fillId="2" borderId="31"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29" xfId="6" applyNumberFormat="1" applyFont="1" applyFill="1" applyBorder="1" applyAlignment="1">
      <alignment horizontal="center"/>
    </xf>
    <xf numFmtId="49" fontId="1" fillId="2" borderId="32"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29"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1" xfId="14" applyFont="1" applyFill="1" applyBorder="1" applyAlignment="1">
      <alignment horizontal="center" vertical="top"/>
    </xf>
    <xf numFmtId="49" fontId="1" fillId="2" borderId="31" xfId="11" applyNumberFormat="1" applyFont="1" applyFill="1" applyBorder="1" applyAlignment="1">
      <alignment horizontal="center"/>
    </xf>
    <xf numFmtId="49" fontId="1" fillId="2" borderId="38" xfId="6" applyNumberFormat="1" applyFont="1" applyFill="1" applyBorder="1" applyAlignment="1">
      <alignment horizontal="center"/>
    </xf>
    <xf numFmtId="49" fontId="1" fillId="2" borderId="37" xfId="14" applyNumberFormat="1" applyFont="1" applyFill="1" applyBorder="1" applyAlignment="1">
      <alignment horizontal="center"/>
    </xf>
    <xf numFmtId="49" fontId="1" fillId="2" borderId="30" xfId="14" applyNumberFormat="1" applyFont="1" applyFill="1" applyBorder="1" applyAlignment="1">
      <alignment horizontal="center"/>
    </xf>
    <xf numFmtId="49" fontId="1" fillId="2" borderId="38" xfId="14" applyNumberFormat="1" applyFont="1" applyFill="1" applyBorder="1" applyAlignment="1">
      <alignment horizontal="center"/>
    </xf>
    <xf numFmtId="0" fontId="4" fillId="2" borderId="0" xfId="0" applyFont="1" applyFill="1" applyAlignment="1">
      <alignment horizontal="center" wrapText="1"/>
    </xf>
    <xf numFmtId="166" fontId="3" fillId="2" borderId="0" xfId="0" applyNumberFormat="1" applyFont="1" applyFill="1" applyBorder="1" applyAlignment="1">
      <alignment horizontal="right"/>
    </xf>
    <xf numFmtId="166" fontId="8" fillId="2" borderId="0" xfId="7" applyNumberFormat="1" applyFont="1" applyFill="1"/>
    <xf numFmtId="166" fontId="21" fillId="2" borderId="1" xfId="0" applyNumberFormat="1" applyFont="1" applyFill="1" applyBorder="1"/>
    <xf numFmtId="166" fontId="20" fillId="2" borderId="0" xfId="0" applyNumberFormat="1" applyFont="1" applyFill="1" applyBorder="1"/>
    <xf numFmtId="166" fontId="3" fillId="2" borderId="0" xfId="0" applyNumberFormat="1" applyFont="1" applyFill="1" applyBorder="1"/>
    <xf numFmtId="166" fontId="18"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3" fillId="2" borderId="29" xfId="5" applyNumberFormat="1" applyFont="1" applyFill="1" applyBorder="1" applyAlignment="1">
      <alignment horizontal="center"/>
    </xf>
    <xf numFmtId="49" fontId="3" fillId="2" borderId="32" xfId="5" applyNumberFormat="1" applyFont="1" applyFill="1" applyBorder="1" applyAlignment="1">
      <alignment horizontal="center"/>
    </xf>
    <xf numFmtId="49" fontId="3" fillId="2" borderId="22" xfId="5" applyNumberFormat="1" applyFont="1" applyFill="1" applyBorder="1" applyAlignment="1">
      <alignment horizontal="center"/>
    </xf>
    <xf numFmtId="49" fontId="3" fillId="2" borderId="21" xfId="5" applyNumberFormat="1" applyFont="1" applyFill="1" applyBorder="1" applyAlignment="1">
      <alignment horizontal="center"/>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7" xfId="14" applyNumberFormat="1" applyFont="1" applyFill="1" applyBorder="1" applyAlignment="1">
      <alignment horizontal="center"/>
    </xf>
    <xf numFmtId="0" fontId="6" fillId="2" borderId="0" xfId="1" applyFont="1" applyFill="1" applyAlignment="1">
      <alignment wrapText="1"/>
    </xf>
    <xf numFmtId="0" fontId="18"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8"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49" fontId="1" fillId="2" borderId="3" xfId="8"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1" fillId="2" borderId="19" xfId="16" applyNumberFormat="1" applyFont="1" applyFill="1" applyBorder="1" applyAlignment="1">
      <alignmen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19" xfId="4" applyNumberFormat="1" applyFont="1" applyFill="1" applyBorder="1" applyAlignment="1">
      <alignmen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7"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49" fontId="1" fillId="2" borderId="26" xfId="16"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29" xfId="16" applyFont="1" applyFill="1" applyBorder="1" applyAlignment="1">
      <alignment horizontal="center" vertical="top"/>
    </xf>
    <xf numFmtId="49" fontId="1" fillId="2" borderId="32"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2" xfId="16" applyNumberFormat="1" applyFont="1" applyFill="1" applyBorder="1" applyAlignment="1">
      <alignment horizontal="center"/>
    </xf>
    <xf numFmtId="49" fontId="3" fillId="2" borderId="41"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49" fontId="3" fillId="2" borderId="19" xfId="5" applyNumberFormat="1" applyFont="1" applyFill="1" applyBorder="1" applyAlignment="1">
      <alignment wrapText="1"/>
    </xf>
    <xf numFmtId="49" fontId="3" fillId="2" borderId="39" xfId="11" applyNumberFormat="1" applyFont="1" applyFill="1" applyBorder="1" applyAlignment="1">
      <alignment horizontal="center" wrapText="1"/>
    </xf>
    <xf numFmtId="49" fontId="3" fillId="2" borderId="40" xfId="11" applyNumberFormat="1" applyFont="1" applyFill="1" applyBorder="1" applyAlignment="1">
      <alignment horizontal="center"/>
    </xf>
    <xf numFmtId="0" fontId="3" fillId="2" borderId="13" xfId="0" applyFont="1" applyFill="1" applyBorder="1" applyAlignment="1">
      <alignment horizontal="center" vertical="top"/>
    </xf>
    <xf numFmtId="0" fontId="3" fillId="2" borderId="0" xfId="0" applyFont="1" applyFill="1" applyAlignment="1">
      <alignment horizontal="left" vertical="top" wrapText="1"/>
    </xf>
    <xf numFmtId="167" fontId="3" fillId="2" borderId="13" xfId="0" applyNumberFormat="1" applyFont="1" applyFill="1" applyBorder="1" applyAlignment="1">
      <alignment horizontal="right" vertical="top"/>
    </xf>
    <xf numFmtId="167" fontId="1" fillId="2" borderId="13" xfId="0" applyNumberFormat="1" applyFont="1" applyFill="1" applyBorder="1" applyAlignment="1">
      <alignment horizontal="right" vertical="top"/>
    </xf>
    <xf numFmtId="167" fontId="1" fillId="2" borderId="13" xfId="1" applyNumberFormat="1" applyFont="1" applyFill="1" applyBorder="1" applyAlignment="1">
      <alignment horizontal="right" vertical="top"/>
    </xf>
    <xf numFmtId="0" fontId="1" fillId="2" borderId="0" xfId="3" applyFont="1" applyFill="1" applyAlignment="1">
      <alignment wrapText="1"/>
    </xf>
    <xf numFmtId="176" fontId="20" fillId="2" borderId="0" xfId="0" applyNumberFormat="1" applyFont="1" applyFill="1"/>
    <xf numFmtId="166" fontId="20" fillId="2" borderId="0" xfId="0" applyNumberFormat="1" applyFont="1" applyFill="1"/>
    <xf numFmtId="166" fontId="3" fillId="2" borderId="0" xfId="19" applyNumberFormat="1" applyFont="1" applyFill="1" applyAlignment="1">
      <alignment horizontal="right"/>
    </xf>
    <xf numFmtId="0" fontId="3" fillId="2" borderId="1" xfId="0" applyFont="1" applyFill="1" applyBorder="1" applyAlignment="1">
      <alignment horizontal="justify" vertical="top" wrapText="1"/>
    </xf>
    <xf numFmtId="49" fontId="3" fillId="2" borderId="0" xfId="14" applyNumberFormat="1" applyFont="1" applyFill="1" applyBorder="1" applyAlignment="1">
      <alignment horizontal="center"/>
    </xf>
    <xf numFmtId="0" fontId="1" fillId="2" borderId="21" xfId="16" applyFont="1" applyFill="1" applyBorder="1" applyAlignment="1">
      <alignment horizontal="center" vertical="top"/>
    </xf>
    <xf numFmtId="49" fontId="1" fillId="2" borderId="32" xfId="5" applyNumberFormat="1" applyFont="1" applyFill="1" applyBorder="1" applyAlignment="1">
      <alignment vertical="center" wrapText="1"/>
    </xf>
    <xf numFmtId="49" fontId="1" fillId="2" borderId="1" xfId="5" applyNumberFormat="1" applyFont="1" applyFill="1" applyBorder="1" applyAlignment="1">
      <alignment vertical="center" wrapText="1"/>
    </xf>
    <xf numFmtId="49" fontId="1" fillId="2" borderId="22" xfId="11" applyNumberFormat="1" applyFont="1" applyFill="1" applyBorder="1" applyAlignment="1">
      <alignment horizontal="center"/>
    </xf>
    <xf numFmtId="49" fontId="3" fillId="2" borderId="19" xfId="11" applyNumberFormat="1" applyFont="1" applyFill="1" applyBorder="1" applyAlignment="1">
      <alignment horizontal="center"/>
    </xf>
    <xf numFmtId="0" fontId="1" fillId="2" borderId="5" xfId="14" applyFont="1" applyFill="1" applyBorder="1" applyAlignment="1">
      <alignment horizontal="center" vertical="top"/>
    </xf>
    <xf numFmtId="49" fontId="1" fillId="2" borderId="36" xfId="16" applyNumberFormat="1" applyFont="1" applyFill="1" applyBorder="1" applyAlignment="1">
      <alignment vertical="center" wrapText="1"/>
    </xf>
    <xf numFmtId="49" fontId="3" fillId="2" borderId="1" xfId="5" applyNumberFormat="1" applyFont="1" applyFill="1" applyBorder="1" applyAlignment="1">
      <alignment wrapText="1"/>
    </xf>
    <xf numFmtId="49" fontId="3" fillId="2" borderId="1" xfId="11" applyNumberFormat="1" applyFont="1" applyFill="1" applyBorder="1" applyAlignment="1">
      <alignment horizontal="center" wrapText="1"/>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xf numFmtId="49" fontId="1" fillId="2" borderId="29" xfId="11" applyNumberFormat="1" applyFont="1" applyFill="1" applyBorder="1" applyAlignment="1">
      <alignment horizontal="center"/>
    </xf>
    <xf numFmtId="49" fontId="1" fillId="2" borderId="32"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1" xfId="11" applyNumberFormat="1" applyFont="1" applyFill="1" applyBorder="1" applyAlignment="1">
      <alignment vertical="center" wrapText="1"/>
    </xf>
    <xf numFmtId="49" fontId="1" fillId="2" borderId="2" xfId="11" applyNumberFormat="1" applyFont="1" applyFill="1" applyBorder="1" applyAlignment="1">
      <alignment horizontal="center"/>
    </xf>
    <xf numFmtId="49" fontId="1" fillId="2" borderId="3" xfId="16"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49" fontId="4" fillId="2" borderId="3" xfId="0" applyNumberFormat="1" applyFont="1" applyFill="1" applyBorder="1" applyAlignment="1">
      <alignment wrapText="1"/>
    </xf>
    <xf numFmtId="49" fontId="3" fillId="2" borderId="3" xfId="5" applyNumberFormat="1" applyFont="1" applyFill="1" applyBorder="1" applyAlignment="1">
      <alignment horizontal="left" wrapText="1"/>
    </xf>
    <xf numFmtId="49" fontId="1" fillId="2" borderId="3" xfId="5" applyNumberFormat="1" applyFont="1" applyFill="1" applyBorder="1" applyAlignment="1">
      <alignment horizontal="left" wrapText="1"/>
    </xf>
    <xf numFmtId="168"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wrapText="1"/>
    </xf>
    <xf numFmtId="0" fontId="1" fillId="2" borderId="17" xfId="16" applyFont="1" applyFill="1" applyBorder="1" applyAlignment="1">
      <alignment horizontal="center" vertical="top"/>
    </xf>
    <xf numFmtId="49" fontId="1" fillId="2" borderId="26" xfId="5" applyNumberFormat="1" applyFont="1" applyFill="1" applyBorder="1" applyAlignment="1">
      <alignment vertical="center" wrapText="1"/>
    </xf>
    <xf numFmtId="166" fontId="3" fillId="2" borderId="0" xfId="1" applyNumberFormat="1" applyFont="1" applyFill="1" applyBorder="1" applyAlignment="1">
      <alignment vertical="top"/>
    </xf>
    <xf numFmtId="0" fontId="6" fillId="2" borderId="1" xfId="5" applyFont="1" applyFill="1" applyBorder="1" applyAlignment="1">
      <alignment horizontal="left" vertical="top" wrapText="1"/>
    </xf>
    <xf numFmtId="49" fontId="1" fillId="2" borderId="26" xfId="11" applyNumberFormat="1" applyFont="1" applyFill="1" applyBorder="1" applyAlignment="1">
      <alignment horizontal="center" wrapText="1"/>
    </xf>
    <xf numFmtId="49" fontId="1" fillId="2" borderId="29" xfId="16" applyNumberFormat="1" applyFont="1" applyFill="1" applyBorder="1" applyAlignment="1">
      <alignment horizontal="center"/>
    </xf>
    <xf numFmtId="49" fontId="1" fillId="2" borderId="30" xfId="11" applyNumberFormat="1" applyFont="1" applyFill="1" applyBorder="1" applyAlignment="1">
      <alignment horizontal="center" wrapText="1"/>
    </xf>
    <xf numFmtId="0" fontId="1" fillId="2" borderId="0" xfId="7" applyFont="1" applyFill="1" applyAlignment="1">
      <alignment horizontal="left"/>
    </xf>
    <xf numFmtId="0" fontId="1" fillId="2" borderId="0" xfId="7" applyFont="1" applyFill="1" applyAlignment="1">
      <alignment horizontal="left"/>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0" fontId="1" fillId="2" borderId="0" xfId="7" applyFont="1" applyFill="1" applyBorder="1" applyAlignment="1">
      <alignment horizontal="left"/>
    </xf>
    <xf numFmtId="0" fontId="1" fillId="2" borderId="0" xfId="7" applyFont="1" applyFill="1" applyAlignment="1">
      <alignment horizontal="left"/>
    </xf>
    <xf numFmtId="174" fontId="3" fillId="2" borderId="12" xfId="13" applyNumberFormat="1" applyFont="1" applyFill="1" applyBorder="1" applyAlignment="1">
      <alignment horizontal="right" vertical="center"/>
    </xf>
    <xf numFmtId="174" fontId="3" fillId="2" borderId="11" xfId="0" applyNumberFormat="1" applyFont="1" applyFill="1" applyBorder="1" applyAlignment="1">
      <alignment vertical="top"/>
    </xf>
    <xf numFmtId="0" fontId="1" fillId="2" borderId="15" xfId="3" applyFont="1" applyFill="1" applyBorder="1"/>
    <xf numFmtId="0" fontId="3" fillId="2" borderId="12" xfId="3" applyFont="1" applyFill="1" applyBorder="1" applyAlignment="1">
      <alignment wrapText="1"/>
    </xf>
    <xf numFmtId="0" fontId="3" fillId="2" borderId="13" xfId="3" applyFont="1" applyFill="1" applyBorder="1" applyAlignment="1">
      <alignment wrapText="1"/>
    </xf>
    <xf numFmtId="174" fontId="1" fillId="2" borderId="13" xfId="3" applyNumberFormat="1" applyFont="1" applyFill="1" applyBorder="1" applyAlignment="1"/>
    <xf numFmtId="166" fontId="1" fillId="2" borderId="0" xfId="7" applyNumberFormat="1" applyFont="1" applyFill="1" applyAlignment="1">
      <alignment horizontal="right"/>
    </xf>
    <xf numFmtId="0" fontId="3" fillId="2" borderId="0" xfId="7" applyFont="1" applyFill="1" applyBorder="1" applyAlignment="1">
      <alignment horizontal="left"/>
    </xf>
    <xf numFmtId="0" fontId="3" fillId="2" borderId="0" xfId="7" applyFont="1" applyFill="1" applyAlignment="1">
      <alignment horizontal="left"/>
    </xf>
    <xf numFmtId="168" fontId="3" fillId="2" borderId="0" xfId="7" applyNumberFormat="1" applyFont="1" applyFill="1" applyAlignment="1">
      <alignment horizontal="right"/>
    </xf>
    <xf numFmtId="0" fontId="3" fillId="2" borderId="0" xfId="7" applyFont="1" applyFill="1" applyBorder="1" applyAlignment="1">
      <alignment horizontal="left" vertical="top"/>
    </xf>
    <xf numFmtId="0" fontId="3" fillId="2" borderId="0" xfId="7" applyFont="1" applyFill="1" applyAlignment="1">
      <alignment horizontal="left" vertical="top"/>
    </xf>
    <xf numFmtId="49" fontId="4" fillId="2" borderId="1" xfId="7" applyNumberFormat="1" applyFont="1" applyFill="1" applyBorder="1" applyAlignment="1">
      <alignment horizontal="left" wrapText="1"/>
    </xf>
    <xf numFmtId="166" fontId="1" fillId="2" borderId="40" xfId="0" applyNumberFormat="1" applyFont="1" applyFill="1" applyBorder="1" applyAlignment="1">
      <alignment horizontal="righ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4" fillId="2" borderId="0" xfId="0" applyFont="1" applyFill="1" applyAlignment="1">
      <alignment horizontal="center" wrapText="1"/>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0" xfId="0" applyFont="1" applyFill="1" applyAlignment="1">
      <alignment horizontal="center" vertical="center" wrapText="1"/>
    </xf>
    <xf numFmtId="0" fontId="1" fillId="2" borderId="2" xfId="3" applyFont="1" applyFill="1" applyBorder="1" applyAlignment="1">
      <alignment horizontal="center" vertical="justify" wrapText="1"/>
    </xf>
    <xf numFmtId="0" fontId="1" fillId="2" borderId="2" xfId="0" applyFont="1" applyFill="1" applyBorder="1" applyAlignment="1">
      <alignment horizontal="center" vertical="justify" wrapText="1"/>
    </xf>
    <xf numFmtId="0" fontId="1" fillId="2" borderId="6" xfId="3" applyFont="1" applyFill="1" applyBorder="1" applyAlignment="1">
      <alignment horizontal="justify" vertical="top" wrapText="1"/>
    </xf>
    <xf numFmtId="0" fontId="0" fillId="2" borderId="8" xfId="0" applyFill="1" applyBorder="1" applyAlignment="1">
      <alignment horizontal="justify" vertical="top" wrapText="1"/>
    </xf>
    <xf numFmtId="0" fontId="2" fillId="2" borderId="0" xfId="3" applyFont="1" applyFill="1" applyAlignment="1">
      <alignment horizontal="center"/>
    </xf>
    <xf numFmtId="0" fontId="16" fillId="2" borderId="0" xfId="0" applyFont="1" applyFill="1" applyAlignment="1">
      <alignment horizontal="center"/>
    </xf>
    <xf numFmtId="0" fontId="1" fillId="2" borderId="0" xfId="3" applyFont="1" applyFill="1" applyAlignment="1">
      <alignment horizontal="left" wrapText="1"/>
    </xf>
    <xf numFmtId="0" fontId="17" fillId="2" borderId="0" xfId="0" applyFont="1" applyFill="1" applyAlignment="1">
      <alignment horizontal="left" wrapText="1"/>
    </xf>
    <xf numFmtId="0" fontId="1" fillId="2" borderId="5" xfId="3" applyFont="1" applyFill="1" applyBorder="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1" fillId="2" borderId="2" xfId="3" applyFont="1" applyFill="1" applyBorder="1" applyAlignment="1">
      <alignment horizontal="center" vertical="center" wrapText="1"/>
    </xf>
    <xf numFmtId="0" fontId="0" fillId="2" borderId="3" xfId="0" applyFill="1" applyBorder="1" applyAlignment="1">
      <alignment horizontal="center" vertical="center" wrapText="1"/>
    </xf>
    <xf numFmtId="0" fontId="1" fillId="2" borderId="15" xfId="3" applyFont="1" applyFill="1" applyBorder="1" applyAlignment="1">
      <alignment horizontal="left" vertical="center" wrapText="1"/>
    </xf>
    <xf numFmtId="0" fontId="0" fillId="2" borderId="11" xfId="0" applyFill="1" applyBorder="1" applyAlignment="1">
      <alignment vertical="center" wrapText="1"/>
    </xf>
    <xf numFmtId="0" fontId="1" fillId="2" borderId="1" xfId="3" applyFont="1" applyFill="1" applyBorder="1" applyAlignment="1">
      <alignment horizontal="center" vertical="justify"/>
    </xf>
    <xf numFmtId="0" fontId="1" fillId="2" borderId="0" xfId="3" applyFont="1" applyFill="1" applyAlignment="1">
      <alignment wrapText="1"/>
    </xf>
    <xf numFmtId="0" fontId="17" fillId="2" borderId="0" xfId="0" applyFont="1" applyFill="1" applyAlignment="1">
      <alignment wrapText="1"/>
    </xf>
    <xf numFmtId="0" fontId="1" fillId="2" borderId="1" xfId="3" applyFont="1" applyFill="1" applyBorder="1" applyAlignment="1">
      <alignment horizontal="center" vertical="center" wrapText="1"/>
    </xf>
    <xf numFmtId="0" fontId="1" fillId="2" borderId="1" xfId="3" applyFont="1" applyFill="1" applyBorder="1" applyAlignment="1">
      <alignment horizontal="center" wrapText="1"/>
    </xf>
    <xf numFmtId="49" fontId="1" fillId="2" borderId="1" xfId="7" applyNumberFormat="1" applyFont="1" applyFill="1" applyBorder="1" applyAlignment="1">
      <alignment horizontal="left"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FCCCC"/>
      <color rgb="FFFFFFCC"/>
      <color rgb="FFF6FED8"/>
      <color rgb="FFFFFF99"/>
      <color rgb="FFDB8DBF"/>
      <color rgb="FF95C4D3"/>
      <color rgb="FFCCECFF"/>
      <color rgb="FF540000"/>
      <color rgb="FF74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44"/>
  <sheetViews>
    <sheetView tabSelected="1" topLeftCell="A25" zoomScale="80" zoomScaleNormal="80" zoomScaleSheetLayoutView="50" workbookViewId="0">
      <selection activeCell="F17" sqref="F17"/>
    </sheetView>
  </sheetViews>
  <sheetFormatPr defaultColWidth="9.109375" defaultRowHeight="18" x14ac:dyDescent="0.35"/>
  <cols>
    <col min="1" max="1" width="29.5546875" style="178" customWidth="1"/>
    <col min="2" max="2" width="60.109375" style="244" customWidth="1"/>
    <col min="3" max="3" width="15.6640625" style="176" customWidth="1"/>
    <col min="4" max="4" width="16.6640625" style="178" customWidth="1"/>
    <col min="5" max="5" width="15.6640625" style="178" customWidth="1"/>
    <col min="6" max="16384" width="9.109375" style="178"/>
  </cols>
  <sheetData>
    <row r="1" spans="1:5" s="187" customFormat="1" x14ac:dyDescent="0.35">
      <c r="A1" s="35"/>
      <c r="B1" s="35"/>
      <c r="E1" s="142" t="s">
        <v>513</v>
      </c>
    </row>
    <row r="2" spans="1:5" s="187" customFormat="1" x14ac:dyDescent="0.35">
      <c r="A2" s="35"/>
      <c r="B2" s="35"/>
      <c r="E2" s="142" t="s">
        <v>799</v>
      </c>
    </row>
    <row r="3" spans="1:5" s="187" customFormat="1" x14ac:dyDescent="0.35">
      <c r="A3" s="35"/>
      <c r="B3" s="35"/>
      <c r="E3" s="142"/>
    </row>
    <row r="4" spans="1:5" x14ac:dyDescent="0.35">
      <c r="E4" s="39" t="s">
        <v>513</v>
      </c>
    </row>
    <row r="5" spans="1:5" x14ac:dyDescent="0.35">
      <c r="E5" s="142" t="s">
        <v>669</v>
      </c>
    </row>
    <row r="8" spans="1:5" ht="11.25" customHeight="1" x14ac:dyDescent="0.35"/>
    <row r="9" spans="1:5" ht="36.75" customHeight="1" x14ac:dyDescent="0.35">
      <c r="A9" s="667" t="s">
        <v>593</v>
      </c>
      <c r="B9" s="667"/>
      <c r="C9" s="667"/>
      <c r="D9" s="667"/>
      <c r="E9" s="667"/>
    </row>
    <row r="11" spans="1:5" x14ac:dyDescent="0.35">
      <c r="E11" s="170" t="s">
        <v>22</v>
      </c>
    </row>
    <row r="12" spans="1:5" ht="20.399999999999999" customHeight="1" x14ac:dyDescent="0.35">
      <c r="A12" s="669" t="s">
        <v>13</v>
      </c>
      <c r="B12" s="671" t="s">
        <v>14</v>
      </c>
      <c r="C12" s="664" t="s">
        <v>15</v>
      </c>
      <c r="D12" s="665"/>
      <c r="E12" s="666"/>
    </row>
    <row r="13" spans="1:5" ht="20.399999999999999" customHeight="1" x14ac:dyDescent="0.35">
      <c r="A13" s="670"/>
      <c r="B13" s="672"/>
      <c r="C13" s="171" t="s">
        <v>460</v>
      </c>
      <c r="D13" s="171" t="s">
        <v>508</v>
      </c>
      <c r="E13" s="171" t="s">
        <v>594</v>
      </c>
    </row>
    <row r="14" spans="1:5" x14ac:dyDescent="0.35">
      <c r="A14" s="261">
        <v>1</v>
      </c>
      <c r="B14" s="262">
        <v>2</v>
      </c>
      <c r="C14" s="172">
        <v>3</v>
      </c>
      <c r="D14" s="263">
        <v>4</v>
      </c>
      <c r="E14" s="263">
        <v>5</v>
      </c>
    </row>
    <row r="15" spans="1:5" x14ac:dyDescent="0.35">
      <c r="A15" s="68" t="s">
        <v>134</v>
      </c>
      <c r="B15" s="69" t="s">
        <v>135</v>
      </c>
      <c r="C15" s="286">
        <v>705509.4</v>
      </c>
      <c r="D15" s="286">
        <v>677949.3</v>
      </c>
      <c r="E15" s="286">
        <v>714879.7</v>
      </c>
    </row>
    <row r="16" spans="1:5" x14ac:dyDescent="0.35">
      <c r="A16" s="38" t="s">
        <v>136</v>
      </c>
      <c r="B16" s="60" t="s">
        <v>137</v>
      </c>
      <c r="C16" s="287">
        <v>6060.5</v>
      </c>
      <c r="D16" s="288">
        <v>6400</v>
      </c>
      <c r="E16" s="289">
        <v>6760</v>
      </c>
    </row>
    <row r="17" spans="1:5" x14ac:dyDescent="0.35">
      <c r="A17" s="50" t="s">
        <v>138</v>
      </c>
      <c r="B17" s="70" t="s">
        <v>139</v>
      </c>
      <c r="C17" s="287">
        <v>390679.10000000003</v>
      </c>
      <c r="D17" s="288">
        <v>413409.5</v>
      </c>
      <c r="E17" s="289">
        <v>434080</v>
      </c>
    </row>
    <row r="18" spans="1:5" ht="167.25" customHeight="1" x14ac:dyDescent="0.35">
      <c r="A18" s="36" t="s">
        <v>140</v>
      </c>
      <c r="B18" s="71" t="s">
        <v>480</v>
      </c>
      <c r="C18" s="290">
        <v>6295.9</v>
      </c>
      <c r="D18" s="291">
        <v>6181.8</v>
      </c>
      <c r="E18" s="179">
        <v>6648.8</v>
      </c>
    </row>
    <row r="19" spans="1:5" ht="36" x14ac:dyDescent="0.35">
      <c r="A19" s="38" t="s">
        <v>314</v>
      </c>
      <c r="B19" s="61" t="s">
        <v>315</v>
      </c>
      <c r="C19" s="290">
        <v>167500</v>
      </c>
      <c r="D19" s="291">
        <v>164160</v>
      </c>
      <c r="E19" s="179">
        <v>177292.79999999999</v>
      </c>
    </row>
    <row r="20" spans="1:5" ht="36" x14ac:dyDescent="0.35">
      <c r="A20" s="38" t="s">
        <v>141</v>
      </c>
      <c r="B20" s="61" t="s">
        <v>333</v>
      </c>
      <c r="C20" s="290">
        <v>98</v>
      </c>
      <c r="D20" s="291">
        <v>80</v>
      </c>
      <c r="E20" s="179">
        <v>50</v>
      </c>
    </row>
    <row r="21" spans="1:5" x14ac:dyDescent="0.35">
      <c r="A21" s="38" t="s">
        <v>142</v>
      </c>
      <c r="B21" s="70" t="s">
        <v>143</v>
      </c>
      <c r="C21" s="290">
        <v>196</v>
      </c>
      <c r="D21" s="291">
        <v>205.5</v>
      </c>
      <c r="E21" s="179">
        <v>216</v>
      </c>
    </row>
    <row r="22" spans="1:5" ht="36" x14ac:dyDescent="0.35">
      <c r="A22" s="38" t="s">
        <v>144</v>
      </c>
      <c r="B22" s="61" t="s">
        <v>145</v>
      </c>
      <c r="C22" s="290">
        <v>19720</v>
      </c>
      <c r="D22" s="291">
        <v>20705</v>
      </c>
      <c r="E22" s="179">
        <v>21740</v>
      </c>
    </row>
    <row r="23" spans="1:5" x14ac:dyDescent="0.35">
      <c r="A23" s="38" t="s">
        <v>428</v>
      </c>
      <c r="B23" s="61" t="s">
        <v>429</v>
      </c>
      <c r="C23" s="290">
        <v>3645</v>
      </c>
      <c r="D23" s="291">
        <v>3681</v>
      </c>
      <c r="E23" s="179">
        <v>3720</v>
      </c>
    </row>
    <row r="24" spans="1:5" x14ac:dyDescent="0.35">
      <c r="A24" s="38" t="s">
        <v>146</v>
      </c>
      <c r="B24" s="70" t="s">
        <v>147</v>
      </c>
      <c r="C24" s="290">
        <v>10765</v>
      </c>
      <c r="D24" s="291">
        <v>9742</v>
      </c>
      <c r="E24" s="179">
        <v>9839.4</v>
      </c>
    </row>
    <row r="25" spans="1:5" ht="54.75" customHeight="1" x14ac:dyDescent="0.35">
      <c r="A25" s="38" t="s">
        <v>496</v>
      </c>
      <c r="B25" s="61" t="s">
        <v>497</v>
      </c>
      <c r="C25" s="290">
        <v>38147.100000000006</v>
      </c>
      <c r="D25" s="290">
        <v>36702</v>
      </c>
      <c r="E25" s="290">
        <v>37810</v>
      </c>
    </row>
    <row r="26" spans="1:5" ht="78" customHeight="1" x14ac:dyDescent="0.35">
      <c r="A26" s="38" t="s">
        <v>148</v>
      </c>
      <c r="B26" s="60" t="s">
        <v>498</v>
      </c>
      <c r="C26" s="290">
        <v>750</v>
      </c>
      <c r="D26" s="291">
        <v>465</v>
      </c>
      <c r="E26" s="179">
        <v>465</v>
      </c>
    </row>
    <row r="27" spans="1:5" ht="54" x14ac:dyDescent="0.35">
      <c r="A27" s="588" t="s">
        <v>644</v>
      </c>
      <c r="B27" s="589" t="s">
        <v>645</v>
      </c>
      <c r="C27" s="590">
        <v>17.3</v>
      </c>
      <c r="D27" s="591">
        <v>0</v>
      </c>
      <c r="E27" s="592">
        <v>0</v>
      </c>
    </row>
    <row r="28" spans="1:5" ht="93.6" customHeight="1" x14ac:dyDescent="0.35">
      <c r="A28" s="38" t="s">
        <v>149</v>
      </c>
      <c r="B28" s="61" t="s">
        <v>499</v>
      </c>
      <c r="C28" s="290">
        <v>35649.800000000003</v>
      </c>
      <c r="D28" s="291">
        <v>35092</v>
      </c>
      <c r="E28" s="179">
        <v>36200</v>
      </c>
    </row>
    <row r="29" spans="1:5" ht="108" x14ac:dyDescent="0.35">
      <c r="A29" s="38" t="s">
        <v>759</v>
      </c>
      <c r="B29" s="61" t="s">
        <v>760</v>
      </c>
      <c r="C29" s="290">
        <v>10.1</v>
      </c>
      <c r="D29" s="291">
        <v>0</v>
      </c>
      <c r="E29" s="179">
        <v>0</v>
      </c>
    </row>
    <row r="30" spans="1:5" ht="54" x14ac:dyDescent="0.35">
      <c r="A30" s="38" t="s">
        <v>313</v>
      </c>
      <c r="B30" s="61" t="s">
        <v>500</v>
      </c>
      <c r="C30" s="290">
        <v>1501.9</v>
      </c>
      <c r="D30" s="291">
        <v>927</v>
      </c>
      <c r="E30" s="179">
        <v>927</v>
      </c>
    </row>
    <row r="31" spans="1:5" ht="72" x14ac:dyDescent="0.35">
      <c r="A31" s="38" t="s">
        <v>150</v>
      </c>
      <c r="B31" s="61" t="s">
        <v>501</v>
      </c>
      <c r="C31" s="290">
        <v>10</v>
      </c>
      <c r="D31" s="291">
        <v>10</v>
      </c>
      <c r="E31" s="179">
        <v>10</v>
      </c>
    </row>
    <row r="32" spans="1:5" ht="108" x14ac:dyDescent="0.35">
      <c r="A32" s="38" t="s">
        <v>352</v>
      </c>
      <c r="B32" s="61" t="s">
        <v>502</v>
      </c>
      <c r="C32" s="290">
        <v>208</v>
      </c>
      <c r="D32" s="291">
        <v>208</v>
      </c>
      <c r="E32" s="179">
        <v>208</v>
      </c>
    </row>
    <row r="33" spans="1:5" ht="36" x14ac:dyDescent="0.35">
      <c r="A33" s="38" t="s">
        <v>151</v>
      </c>
      <c r="B33" s="61" t="s">
        <v>152</v>
      </c>
      <c r="C33" s="290">
        <v>73</v>
      </c>
      <c r="D33" s="291">
        <v>75</v>
      </c>
      <c r="E33" s="179">
        <v>78</v>
      </c>
    </row>
    <row r="34" spans="1:5" ht="36" x14ac:dyDescent="0.35">
      <c r="A34" s="38" t="s">
        <v>390</v>
      </c>
      <c r="B34" s="189" t="s">
        <v>408</v>
      </c>
      <c r="C34" s="290">
        <v>18109.7</v>
      </c>
      <c r="D34" s="291">
        <v>1367.1</v>
      </c>
      <c r="E34" s="179">
        <v>1367.1</v>
      </c>
    </row>
    <row r="35" spans="1:5" ht="36.6" customHeight="1" x14ac:dyDescent="0.35">
      <c r="A35" s="38" t="s">
        <v>153</v>
      </c>
      <c r="B35" s="61" t="s">
        <v>154</v>
      </c>
      <c r="C35" s="290">
        <v>37774.299999999996</v>
      </c>
      <c r="D35" s="291">
        <v>10804.4</v>
      </c>
      <c r="E35" s="179">
        <v>10841.6</v>
      </c>
    </row>
    <row r="36" spans="1:5" ht="18.75" customHeight="1" x14ac:dyDescent="0.35">
      <c r="A36" s="36" t="s">
        <v>155</v>
      </c>
      <c r="B36" s="61" t="s">
        <v>156</v>
      </c>
      <c r="C36" s="290">
        <v>6445.8</v>
      </c>
      <c r="D36" s="291">
        <v>4436</v>
      </c>
      <c r="E36" s="179">
        <v>4436</v>
      </c>
    </row>
    <row r="37" spans="1:5" x14ac:dyDescent="0.35">
      <c r="A37" s="85" t="s">
        <v>16</v>
      </c>
      <c r="B37" s="203" t="s">
        <v>316</v>
      </c>
      <c r="C37" s="173">
        <v>1824009.3785600001</v>
      </c>
      <c r="D37" s="173">
        <v>1280866</v>
      </c>
      <c r="E37" s="173">
        <v>1172345.8999999999</v>
      </c>
    </row>
    <row r="38" spans="1:5" ht="36.75" customHeight="1" x14ac:dyDescent="0.35">
      <c r="A38" s="79" t="s">
        <v>17</v>
      </c>
      <c r="B38" s="204" t="s">
        <v>18</v>
      </c>
      <c r="C38" s="289">
        <v>1839431.7</v>
      </c>
      <c r="D38" s="289">
        <v>1280866</v>
      </c>
      <c r="E38" s="289">
        <v>1172345.8999999999</v>
      </c>
    </row>
    <row r="39" spans="1:5" s="206" customFormat="1" ht="36" x14ac:dyDescent="0.35">
      <c r="A39" s="79" t="s">
        <v>400</v>
      </c>
      <c r="B39" s="205" t="s">
        <v>348</v>
      </c>
      <c r="C39" s="289">
        <v>256487.90000000002</v>
      </c>
      <c r="D39" s="289">
        <v>169927</v>
      </c>
      <c r="E39" s="289">
        <v>182469.7</v>
      </c>
    </row>
    <row r="40" spans="1:5" s="206" customFormat="1" ht="39" customHeight="1" x14ac:dyDescent="0.35">
      <c r="A40" s="11" t="s">
        <v>402</v>
      </c>
      <c r="B40" s="190" t="s">
        <v>311</v>
      </c>
      <c r="C40" s="289">
        <v>517736.4</v>
      </c>
      <c r="D40" s="289">
        <v>195281.50000000003</v>
      </c>
      <c r="E40" s="289">
        <v>72511.3</v>
      </c>
    </row>
    <row r="41" spans="1:5" ht="36" x14ac:dyDescent="0.35">
      <c r="A41" s="245" t="s">
        <v>404</v>
      </c>
      <c r="B41" s="205" t="s">
        <v>347</v>
      </c>
      <c r="C41" s="289">
        <v>996950.39999999991</v>
      </c>
      <c r="D41" s="289">
        <v>915657.5</v>
      </c>
      <c r="E41" s="289">
        <v>917364.89999999991</v>
      </c>
    </row>
    <row r="42" spans="1:5" x14ac:dyDescent="0.35">
      <c r="A42" s="79" t="s">
        <v>410</v>
      </c>
      <c r="B42" s="204" t="s">
        <v>157</v>
      </c>
      <c r="C42" s="174">
        <v>68257</v>
      </c>
      <c r="D42" s="174">
        <v>0</v>
      </c>
      <c r="E42" s="174">
        <v>0</v>
      </c>
    </row>
    <row r="43" spans="1:5" ht="36" x14ac:dyDescent="0.35">
      <c r="A43" s="79" t="s">
        <v>769</v>
      </c>
      <c r="B43" s="204" t="s">
        <v>770</v>
      </c>
      <c r="C43" s="289">
        <v>9124.1730000000007</v>
      </c>
      <c r="D43" s="289">
        <v>0</v>
      </c>
      <c r="E43" s="289">
        <v>0</v>
      </c>
    </row>
    <row r="44" spans="1:5" ht="54" x14ac:dyDescent="0.35">
      <c r="A44" s="79" t="s">
        <v>697</v>
      </c>
      <c r="B44" s="204" t="s">
        <v>698</v>
      </c>
      <c r="C44" s="174">
        <v>227.512</v>
      </c>
      <c r="D44" s="174">
        <v>0</v>
      </c>
      <c r="E44" s="174">
        <v>0</v>
      </c>
    </row>
    <row r="45" spans="1:5" ht="90" x14ac:dyDescent="0.35">
      <c r="A45" s="343" t="s">
        <v>705</v>
      </c>
      <c r="B45" s="597" t="s">
        <v>706</v>
      </c>
      <c r="C45" s="174">
        <v>287.29809999999998</v>
      </c>
      <c r="D45" s="174">
        <v>0</v>
      </c>
      <c r="E45" s="174">
        <v>0</v>
      </c>
    </row>
    <row r="46" spans="1:5" ht="108" x14ac:dyDescent="0.35">
      <c r="A46" s="343" t="s">
        <v>699</v>
      </c>
      <c r="B46" s="597" t="s">
        <v>700</v>
      </c>
      <c r="C46" s="174">
        <v>8586.6808799999999</v>
      </c>
      <c r="D46" s="174">
        <v>0</v>
      </c>
      <c r="E46" s="174">
        <v>0</v>
      </c>
    </row>
    <row r="47" spans="1:5" ht="90" x14ac:dyDescent="0.35">
      <c r="A47" s="343" t="s">
        <v>701</v>
      </c>
      <c r="B47" s="204" t="s">
        <v>704</v>
      </c>
      <c r="C47" s="174">
        <v>892.49612000000002</v>
      </c>
      <c r="D47" s="174">
        <v>0</v>
      </c>
      <c r="E47" s="174">
        <v>0</v>
      </c>
    </row>
    <row r="48" spans="1:5" ht="72" x14ac:dyDescent="0.35">
      <c r="A48" s="343" t="s">
        <v>702</v>
      </c>
      <c r="B48" s="204" t="s">
        <v>703</v>
      </c>
      <c r="C48" s="174">
        <v>15582.127540000001</v>
      </c>
      <c r="D48" s="174">
        <v>0</v>
      </c>
      <c r="E48" s="174">
        <v>0</v>
      </c>
    </row>
    <row r="49" spans="1:8" x14ac:dyDescent="0.35">
      <c r="A49" s="246"/>
      <c r="B49" s="203" t="s">
        <v>158</v>
      </c>
      <c r="C49" s="175">
        <v>2529518.77856</v>
      </c>
      <c r="D49" s="175">
        <v>1958815.3</v>
      </c>
      <c r="E49" s="175">
        <v>1887225.5999999999</v>
      </c>
    </row>
    <row r="50" spans="1:8" x14ac:dyDescent="0.35">
      <c r="A50" s="330" t="s">
        <v>531</v>
      </c>
      <c r="B50" s="331"/>
      <c r="C50" s="332"/>
      <c r="D50" s="332"/>
      <c r="E50" s="332"/>
    </row>
    <row r="51" spans="1:8" ht="37.5" customHeight="1" x14ac:dyDescent="0.35">
      <c r="A51" s="668" t="s">
        <v>317</v>
      </c>
      <c r="B51" s="668"/>
      <c r="C51" s="668"/>
      <c r="D51" s="668"/>
      <c r="E51" s="668"/>
    </row>
    <row r="52" spans="1:8" x14ac:dyDescent="0.35">
      <c r="A52" s="247"/>
    </row>
    <row r="53" spans="1:8" x14ac:dyDescent="0.35">
      <c r="A53" s="247"/>
    </row>
    <row r="54" spans="1:8" s="75" customFormat="1" x14ac:dyDescent="0.35">
      <c r="A54" s="641" t="s">
        <v>379</v>
      </c>
      <c r="B54" s="76"/>
      <c r="C54" s="77"/>
      <c r="D54" s="77"/>
      <c r="E54" s="77"/>
      <c r="F54" s="42"/>
      <c r="G54" s="105"/>
      <c r="H54" s="137"/>
    </row>
    <row r="55" spans="1:8" s="75" customFormat="1" x14ac:dyDescent="0.35">
      <c r="A55" s="641" t="s">
        <v>380</v>
      </c>
      <c r="B55" s="76"/>
      <c r="C55" s="77"/>
      <c r="D55" s="77"/>
      <c r="E55" s="77"/>
      <c r="F55" s="42"/>
      <c r="G55" s="105"/>
      <c r="H55" s="137"/>
    </row>
    <row r="56" spans="1:8" s="75" customFormat="1" x14ac:dyDescent="0.35">
      <c r="A56" s="642" t="s">
        <v>381</v>
      </c>
      <c r="B56" s="76"/>
      <c r="D56" s="77"/>
      <c r="E56" s="108" t="s">
        <v>391</v>
      </c>
      <c r="F56" s="42"/>
    </row>
    <row r="57" spans="1:8" s="75" customFormat="1" x14ac:dyDescent="0.35">
      <c r="A57" s="637"/>
      <c r="B57" s="76"/>
      <c r="D57" s="77"/>
      <c r="E57" s="108"/>
      <c r="F57" s="42"/>
    </row>
    <row r="59" spans="1:8" x14ac:dyDescent="0.35">
      <c r="B59" s="248"/>
      <c r="C59" s="177"/>
    </row>
    <row r="60" spans="1:8" x14ac:dyDescent="0.35">
      <c r="B60" s="248"/>
      <c r="C60" s="177"/>
    </row>
    <row r="67" spans="2:3" x14ac:dyDescent="0.35">
      <c r="B67" s="178"/>
      <c r="C67" s="178"/>
    </row>
    <row r="68" spans="2:3" x14ac:dyDescent="0.35">
      <c r="B68" s="178"/>
      <c r="C68" s="178"/>
    </row>
    <row r="69" spans="2:3" x14ac:dyDescent="0.35">
      <c r="B69" s="178"/>
      <c r="C69" s="178"/>
    </row>
    <row r="70" spans="2:3" x14ac:dyDescent="0.35">
      <c r="B70" s="178"/>
      <c r="C70" s="178"/>
    </row>
    <row r="71" spans="2:3" x14ac:dyDescent="0.35">
      <c r="B71" s="178"/>
      <c r="C71" s="178"/>
    </row>
    <row r="72" spans="2:3" x14ac:dyDescent="0.35">
      <c r="B72" s="178"/>
      <c r="C72" s="178"/>
    </row>
    <row r="73" spans="2:3" x14ac:dyDescent="0.35">
      <c r="B73" s="178"/>
      <c r="C73" s="178"/>
    </row>
    <row r="74" spans="2:3" x14ac:dyDescent="0.35">
      <c r="B74" s="178"/>
      <c r="C74" s="178"/>
    </row>
    <row r="75" spans="2:3" x14ac:dyDescent="0.35">
      <c r="B75" s="178"/>
      <c r="C75" s="178"/>
    </row>
    <row r="76" spans="2:3" x14ac:dyDescent="0.35">
      <c r="B76" s="178"/>
      <c r="C76" s="178"/>
    </row>
    <row r="77" spans="2:3" x14ac:dyDescent="0.35">
      <c r="B77" s="178"/>
      <c r="C77" s="178"/>
    </row>
    <row r="78" spans="2:3" x14ac:dyDescent="0.35">
      <c r="B78" s="178"/>
      <c r="C78" s="178"/>
    </row>
    <row r="79" spans="2:3" x14ac:dyDescent="0.35">
      <c r="B79" s="178"/>
      <c r="C79" s="178"/>
    </row>
    <row r="80" spans="2:3" x14ac:dyDescent="0.35">
      <c r="B80" s="178"/>
      <c r="C80" s="178"/>
    </row>
    <row r="81" spans="2:3" x14ac:dyDescent="0.35">
      <c r="B81" s="178"/>
      <c r="C81" s="178"/>
    </row>
    <row r="82" spans="2:3" x14ac:dyDescent="0.35">
      <c r="B82" s="178"/>
      <c r="C82" s="178"/>
    </row>
    <row r="83" spans="2:3" x14ac:dyDescent="0.35">
      <c r="B83" s="178"/>
      <c r="C83" s="178"/>
    </row>
    <row r="84" spans="2:3" x14ac:dyDescent="0.35">
      <c r="B84" s="178"/>
      <c r="C84" s="178"/>
    </row>
    <row r="85" spans="2:3" x14ac:dyDescent="0.35">
      <c r="B85" s="178"/>
      <c r="C85" s="178"/>
    </row>
    <row r="86" spans="2:3" x14ac:dyDescent="0.35">
      <c r="B86" s="178"/>
      <c r="C86" s="178"/>
    </row>
    <row r="87" spans="2:3" x14ac:dyDescent="0.35">
      <c r="B87" s="178"/>
      <c r="C87" s="178"/>
    </row>
    <row r="88" spans="2:3" x14ac:dyDescent="0.35">
      <c r="B88" s="178"/>
      <c r="C88" s="178"/>
    </row>
    <row r="89" spans="2:3" x14ac:dyDescent="0.35">
      <c r="B89" s="178"/>
      <c r="C89" s="178"/>
    </row>
    <row r="90" spans="2:3" x14ac:dyDescent="0.35">
      <c r="B90" s="178"/>
      <c r="C90" s="178"/>
    </row>
    <row r="91" spans="2:3" x14ac:dyDescent="0.35">
      <c r="B91" s="178"/>
      <c r="C91" s="178"/>
    </row>
    <row r="92" spans="2:3" x14ac:dyDescent="0.35">
      <c r="B92" s="178"/>
      <c r="C92" s="178"/>
    </row>
    <row r="93" spans="2:3" x14ac:dyDescent="0.35">
      <c r="B93" s="178"/>
      <c r="C93" s="178"/>
    </row>
    <row r="94" spans="2:3" x14ac:dyDescent="0.35">
      <c r="B94" s="178"/>
      <c r="C94" s="178"/>
    </row>
    <row r="95" spans="2:3" x14ac:dyDescent="0.35">
      <c r="B95" s="178"/>
      <c r="C95" s="178"/>
    </row>
    <row r="96" spans="2:3" x14ac:dyDescent="0.35">
      <c r="B96" s="178"/>
      <c r="C96" s="178"/>
    </row>
    <row r="97" spans="2:3" x14ac:dyDescent="0.35">
      <c r="B97" s="178"/>
      <c r="C97" s="178"/>
    </row>
    <row r="98" spans="2:3" x14ac:dyDescent="0.35">
      <c r="B98" s="178"/>
      <c r="C98" s="178"/>
    </row>
    <row r="99" spans="2:3" x14ac:dyDescent="0.35">
      <c r="B99" s="178"/>
      <c r="C99" s="178"/>
    </row>
    <row r="100" spans="2:3" x14ac:dyDescent="0.35">
      <c r="B100" s="178"/>
      <c r="C100" s="178"/>
    </row>
    <row r="101" spans="2:3" x14ac:dyDescent="0.35">
      <c r="B101" s="178"/>
      <c r="C101" s="178"/>
    </row>
    <row r="102" spans="2:3" x14ac:dyDescent="0.35">
      <c r="B102" s="178"/>
      <c r="C102" s="178"/>
    </row>
    <row r="103" spans="2:3" x14ac:dyDescent="0.35">
      <c r="B103" s="178"/>
      <c r="C103" s="178"/>
    </row>
    <row r="104" spans="2:3" x14ac:dyDescent="0.35">
      <c r="B104" s="178"/>
      <c r="C104" s="178"/>
    </row>
    <row r="105" spans="2:3" x14ac:dyDescent="0.35">
      <c r="B105" s="178"/>
      <c r="C105" s="178"/>
    </row>
    <row r="106" spans="2:3" x14ac:dyDescent="0.35">
      <c r="B106" s="178"/>
      <c r="C106" s="178"/>
    </row>
    <row r="107" spans="2:3" x14ac:dyDescent="0.35">
      <c r="B107" s="178"/>
      <c r="C107" s="178"/>
    </row>
    <row r="108" spans="2:3" x14ac:dyDescent="0.35">
      <c r="B108" s="178"/>
      <c r="C108" s="178"/>
    </row>
    <row r="109" spans="2:3" x14ac:dyDescent="0.35">
      <c r="B109" s="178"/>
      <c r="C109" s="178"/>
    </row>
    <row r="110" spans="2:3" x14ac:dyDescent="0.35">
      <c r="B110" s="178"/>
      <c r="C110" s="178"/>
    </row>
    <row r="111" spans="2:3" x14ac:dyDescent="0.35">
      <c r="B111" s="178"/>
      <c r="C111" s="178"/>
    </row>
    <row r="112" spans="2:3" x14ac:dyDescent="0.35">
      <c r="B112" s="178"/>
      <c r="C112" s="178"/>
    </row>
    <row r="113" spans="2:3" x14ac:dyDescent="0.35">
      <c r="B113" s="178"/>
      <c r="C113" s="178"/>
    </row>
    <row r="114" spans="2:3" x14ac:dyDescent="0.35">
      <c r="B114" s="178"/>
      <c r="C114" s="178"/>
    </row>
    <row r="115" spans="2:3" x14ac:dyDescent="0.35">
      <c r="B115" s="178"/>
      <c r="C115" s="178"/>
    </row>
    <row r="116" spans="2:3" x14ac:dyDescent="0.35">
      <c r="B116" s="178"/>
      <c r="C116" s="178"/>
    </row>
    <row r="117" spans="2:3" x14ac:dyDescent="0.35">
      <c r="B117" s="178"/>
      <c r="C117" s="178"/>
    </row>
    <row r="118" spans="2:3" x14ac:dyDescent="0.35">
      <c r="B118" s="178"/>
      <c r="C118" s="178"/>
    </row>
    <row r="119" spans="2:3" x14ac:dyDescent="0.35">
      <c r="B119" s="178"/>
      <c r="C119" s="178"/>
    </row>
    <row r="120" spans="2:3" x14ac:dyDescent="0.35">
      <c r="B120" s="178"/>
      <c r="C120" s="178"/>
    </row>
    <row r="121" spans="2:3" x14ac:dyDescent="0.35">
      <c r="B121" s="178"/>
      <c r="C121" s="178"/>
    </row>
    <row r="122" spans="2:3" x14ac:dyDescent="0.35">
      <c r="B122" s="178"/>
      <c r="C122" s="178"/>
    </row>
    <row r="123" spans="2:3" x14ac:dyDescent="0.35">
      <c r="B123" s="178"/>
      <c r="C123" s="178"/>
    </row>
    <row r="124" spans="2:3" x14ac:dyDescent="0.35">
      <c r="B124" s="178"/>
      <c r="C124" s="178"/>
    </row>
    <row r="125" spans="2:3" x14ac:dyDescent="0.35">
      <c r="B125" s="178"/>
      <c r="C125" s="178"/>
    </row>
    <row r="126" spans="2:3" x14ac:dyDescent="0.35">
      <c r="B126" s="178"/>
      <c r="C126" s="178"/>
    </row>
    <row r="127" spans="2:3" x14ac:dyDescent="0.35">
      <c r="B127" s="178"/>
      <c r="C127" s="178"/>
    </row>
    <row r="128" spans="2:3" x14ac:dyDescent="0.35">
      <c r="B128" s="178"/>
      <c r="C128" s="178"/>
    </row>
    <row r="129" spans="2:3" x14ac:dyDescent="0.35">
      <c r="B129" s="178"/>
      <c r="C129" s="178"/>
    </row>
    <row r="130" spans="2:3" x14ac:dyDescent="0.35">
      <c r="B130" s="178"/>
      <c r="C130" s="178"/>
    </row>
    <row r="131" spans="2:3" x14ac:dyDescent="0.35">
      <c r="B131" s="178"/>
      <c r="C131" s="178"/>
    </row>
    <row r="132" spans="2:3" x14ac:dyDescent="0.35">
      <c r="B132" s="178"/>
      <c r="C132" s="178"/>
    </row>
    <row r="133" spans="2:3" x14ac:dyDescent="0.35">
      <c r="B133" s="178"/>
      <c r="C133" s="178"/>
    </row>
    <row r="134" spans="2:3" x14ac:dyDescent="0.35">
      <c r="B134" s="178"/>
      <c r="C134" s="178"/>
    </row>
    <row r="135" spans="2:3" x14ac:dyDescent="0.35">
      <c r="B135" s="178"/>
      <c r="C135" s="178"/>
    </row>
    <row r="136" spans="2:3" x14ac:dyDescent="0.35">
      <c r="B136" s="178"/>
      <c r="C136" s="178"/>
    </row>
    <row r="137" spans="2:3" x14ac:dyDescent="0.35">
      <c r="B137" s="178"/>
      <c r="C137" s="178"/>
    </row>
    <row r="138" spans="2:3" x14ac:dyDescent="0.35">
      <c r="B138" s="178"/>
      <c r="C138" s="178"/>
    </row>
    <row r="139" spans="2:3" x14ac:dyDescent="0.35">
      <c r="B139" s="178"/>
      <c r="C139" s="178"/>
    </row>
    <row r="140" spans="2:3" x14ac:dyDescent="0.35">
      <c r="B140" s="178"/>
      <c r="C140" s="178"/>
    </row>
    <row r="141" spans="2:3" x14ac:dyDescent="0.35">
      <c r="B141" s="178"/>
      <c r="C141" s="178"/>
    </row>
    <row r="142" spans="2:3" x14ac:dyDescent="0.35">
      <c r="B142" s="178"/>
      <c r="C142" s="178"/>
    </row>
    <row r="143" spans="2:3" x14ac:dyDescent="0.35">
      <c r="B143" s="178"/>
      <c r="C143" s="178"/>
    </row>
    <row r="144" spans="2:3" x14ac:dyDescent="0.35">
      <c r="B144" s="178"/>
      <c r="C144" s="178"/>
    </row>
  </sheetData>
  <mergeCells count="5">
    <mergeCell ref="C12:E12"/>
    <mergeCell ref="A9:E9"/>
    <mergeCell ref="A51:E51"/>
    <mergeCell ref="A12:A13"/>
    <mergeCell ref="B12:B13"/>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437"/>
  <sheetViews>
    <sheetView topLeftCell="A94" zoomScale="80" zoomScaleNormal="80" zoomScaleSheetLayoutView="80" workbookViewId="0">
      <selection activeCell="G96" sqref="G96"/>
    </sheetView>
  </sheetViews>
  <sheetFormatPr defaultColWidth="8.88671875" defaultRowHeight="18" x14ac:dyDescent="0.35"/>
  <cols>
    <col min="1" max="1" width="28.109375" style="58" customWidth="1"/>
    <col min="2" max="2" width="72.6640625" style="58" customWidth="1"/>
    <col min="3" max="3" width="15" style="57" customWidth="1"/>
    <col min="4" max="4" width="7.6640625" style="34" hidden="1" customWidth="1"/>
    <col min="5" max="5" width="0" style="34" hidden="1" customWidth="1"/>
    <col min="6" max="16384" width="8.88671875" style="34"/>
  </cols>
  <sheetData>
    <row r="1" spans="1:3" s="178" customFormat="1" x14ac:dyDescent="0.35">
      <c r="B1" s="244"/>
      <c r="C1" s="39" t="s">
        <v>514</v>
      </c>
    </row>
    <row r="2" spans="1:3" s="178" customFormat="1" x14ac:dyDescent="0.35">
      <c r="B2" s="244"/>
      <c r="C2" s="142" t="s">
        <v>799</v>
      </c>
    </row>
    <row r="3" spans="1:3" s="178" customFormat="1" x14ac:dyDescent="0.35">
      <c r="B3" s="244"/>
      <c r="C3" s="142"/>
    </row>
    <row r="4" spans="1:3" x14ac:dyDescent="0.35">
      <c r="C4" s="39" t="s">
        <v>514</v>
      </c>
    </row>
    <row r="5" spans="1:3" x14ac:dyDescent="0.35">
      <c r="C5" s="142" t="s">
        <v>669</v>
      </c>
    </row>
    <row r="8" spans="1:3" ht="15.75" customHeight="1" x14ac:dyDescent="0.35"/>
    <row r="9" spans="1:3" ht="40.200000000000003" customHeight="1" x14ac:dyDescent="0.35">
      <c r="A9" s="673" t="s">
        <v>608</v>
      </c>
      <c r="B9" s="673"/>
      <c r="C9" s="673"/>
    </row>
    <row r="10" spans="1:3" x14ac:dyDescent="0.35">
      <c r="A10" s="59"/>
      <c r="B10" s="59"/>
      <c r="C10" s="47"/>
    </row>
    <row r="11" spans="1:3" x14ac:dyDescent="0.35">
      <c r="C11" s="48" t="s">
        <v>22</v>
      </c>
    </row>
    <row r="12" spans="1:3" x14ac:dyDescent="0.35">
      <c r="A12" s="38" t="s">
        <v>13</v>
      </c>
      <c r="B12" s="38" t="s">
        <v>14</v>
      </c>
      <c r="C12" s="49" t="s">
        <v>15</v>
      </c>
    </row>
    <row r="13" spans="1:3" x14ac:dyDescent="0.35">
      <c r="A13" s="38">
        <v>1</v>
      </c>
      <c r="B13" s="38">
        <v>2</v>
      </c>
      <c r="C13" s="51">
        <v>3</v>
      </c>
    </row>
    <row r="14" spans="1:3" ht="23.4" customHeight="1" x14ac:dyDescent="0.35">
      <c r="A14" s="40" t="s">
        <v>16</v>
      </c>
      <c r="B14" s="52" t="s">
        <v>316</v>
      </c>
      <c r="C14" s="53">
        <v>1839431.6999999997</v>
      </c>
    </row>
    <row r="15" spans="1:3" ht="38.4" customHeight="1" x14ac:dyDescent="0.35">
      <c r="A15" s="38" t="s">
        <v>17</v>
      </c>
      <c r="B15" s="60" t="s">
        <v>18</v>
      </c>
      <c r="C15" s="63">
        <v>1839431.6999999997</v>
      </c>
    </row>
    <row r="16" spans="1:3" ht="22.2" customHeight="1" x14ac:dyDescent="0.35">
      <c r="A16" s="38" t="s">
        <v>400</v>
      </c>
      <c r="B16" s="60" t="s">
        <v>345</v>
      </c>
      <c r="C16" s="63">
        <v>256487.90000000002</v>
      </c>
    </row>
    <row r="17" spans="1:3" ht="21.6" customHeight="1" x14ac:dyDescent="0.35">
      <c r="A17" s="38" t="s">
        <v>401</v>
      </c>
      <c r="B17" s="60" t="s">
        <v>19</v>
      </c>
      <c r="C17" s="63">
        <v>228558.1</v>
      </c>
    </row>
    <row r="18" spans="1:3" ht="54.75" customHeight="1" x14ac:dyDescent="0.35">
      <c r="A18" s="38" t="s">
        <v>397</v>
      </c>
      <c r="B18" s="60" t="s">
        <v>431</v>
      </c>
      <c r="C18" s="63">
        <v>228558.1</v>
      </c>
    </row>
    <row r="19" spans="1:3" ht="36" x14ac:dyDescent="0.35">
      <c r="A19" s="38" t="s">
        <v>716</v>
      </c>
      <c r="B19" s="60" t="s">
        <v>717</v>
      </c>
      <c r="C19" s="63">
        <v>6168.2</v>
      </c>
    </row>
    <row r="20" spans="1:3" ht="36" x14ac:dyDescent="0.35">
      <c r="A20" s="38" t="s">
        <v>718</v>
      </c>
      <c r="B20" s="60" t="s">
        <v>719</v>
      </c>
      <c r="C20" s="63">
        <v>6168.2</v>
      </c>
    </row>
    <row r="21" spans="1:3" x14ac:dyDescent="0.35">
      <c r="A21" s="38" t="s">
        <v>712</v>
      </c>
      <c r="B21" s="60" t="s">
        <v>713</v>
      </c>
      <c r="C21" s="63">
        <v>21761.599999999999</v>
      </c>
    </row>
    <row r="22" spans="1:3" x14ac:dyDescent="0.35">
      <c r="A22" s="38" t="s">
        <v>714</v>
      </c>
      <c r="B22" s="60" t="s">
        <v>715</v>
      </c>
      <c r="C22" s="63">
        <v>21761.599999999999</v>
      </c>
    </row>
    <row r="23" spans="1:3" ht="39.6" customHeight="1" x14ac:dyDescent="0.35">
      <c r="A23" s="38" t="s">
        <v>402</v>
      </c>
      <c r="B23" s="61" t="s">
        <v>373</v>
      </c>
      <c r="C23" s="63">
        <v>517736.4</v>
      </c>
    </row>
    <row r="24" spans="1:3" ht="34.5" customHeight="1" x14ac:dyDescent="0.35">
      <c r="A24" s="38" t="s">
        <v>423</v>
      </c>
      <c r="B24" s="61" t="s">
        <v>424</v>
      </c>
      <c r="C24" s="63">
        <v>243985.8</v>
      </c>
    </row>
    <row r="25" spans="1:3" ht="56.4" customHeight="1" x14ac:dyDescent="0.35">
      <c r="A25" s="38" t="s">
        <v>421</v>
      </c>
      <c r="B25" s="61" t="s">
        <v>422</v>
      </c>
      <c r="C25" s="63">
        <v>243985.8</v>
      </c>
    </row>
    <row r="26" spans="1:3" ht="90" x14ac:dyDescent="0.35">
      <c r="A26" s="38"/>
      <c r="B26" s="208" t="s">
        <v>541</v>
      </c>
      <c r="C26" s="65">
        <v>200176.5</v>
      </c>
    </row>
    <row r="27" spans="1:3" ht="54" x14ac:dyDescent="0.35">
      <c r="A27" s="37"/>
      <c r="B27" s="207" t="s">
        <v>465</v>
      </c>
      <c r="C27" s="64">
        <v>43809.3</v>
      </c>
    </row>
    <row r="28" spans="1:3" ht="126" x14ac:dyDescent="0.35">
      <c r="A28" s="38" t="s">
        <v>610</v>
      </c>
      <c r="B28" s="60" t="s">
        <v>689</v>
      </c>
      <c r="C28" s="64">
        <v>20989.9</v>
      </c>
    </row>
    <row r="29" spans="1:3" ht="126" x14ac:dyDescent="0.35">
      <c r="A29" s="38" t="s">
        <v>611</v>
      </c>
      <c r="B29" s="60" t="s">
        <v>690</v>
      </c>
      <c r="C29" s="64">
        <v>20989.9</v>
      </c>
    </row>
    <row r="30" spans="1:3" ht="108" x14ac:dyDescent="0.35">
      <c r="A30" s="38" t="s">
        <v>622</v>
      </c>
      <c r="B30" s="60" t="s">
        <v>623</v>
      </c>
      <c r="C30" s="64">
        <v>36665.9</v>
      </c>
    </row>
    <row r="31" spans="1:3" ht="108" x14ac:dyDescent="0.35">
      <c r="A31" s="38" t="s">
        <v>624</v>
      </c>
      <c r="B31" s="60" t="s">
        <v>625</v>
      </c>
      <c r="C31" s="64">
        <v>36665.9</v>
      </c>
    </row>
    <row r="32" spans="1:3" s="46" customFormat="1" ht="36" x14ac:dyDescent="0.35">
      <c r="A32" s="37" t="s">
        <v>487</v>
      </c>
      <c r="B32" s="61" t="s">
        <v>488</v>
      </c>
      <c r="C32" s="63">
        <v>1446.3999999999996</v>
      </c>
    </row>
    <row r="33" spans="1:3" s="46" customFormat="1" ht="57" customHeight="1" x14ac:dyDescent="0.35">
      <c r="A33" s="37" t="s">
        <v>489</v>
      </c>
      <c r="B33" s="61" t="s">
        <v>490</v>
      </c>
      <c r="C33" s="63">
        <v>1446.3999999999996</v>
      </c>
    </row>
    <row r="34" spans="1:3" s="46" customFormat="1" ht="75" customHeight="1" x14ac:dyDescent="0.35">
      <c r="A34" s="37" t="s">
        <v>459</v>
      </c>
      <c r="B34" s="61" t="s">
        <v>462</v>
      </c>
      <c r="C34" s="63">
        <v>48664.399999999994</v>
      </c>
    </row>
    <row r="35" spans="1:3" s="46" customFormat="1" ht="72" x14ac:dyDescent="0.35">
      <c r="A35" s="37" t="s">
        <v>455</v>
      </c>
      <c r="B35" s="61" t="s">
        <v>456</v>
      </c>
      <c r="C35" s="63">
        <v>48664.399999999994</v>
      </c>
    </row>
    <row r="36" spans="1:3" s="46" customFormat="1" x14ac:dyDescent="0.35">
      <c r="A36" s="37" t="s">
        <v>572</v>
      </c>
      <c r="B36" s="61" t="s">
        <v>573</v>
      </c>
      <c r="C36" s="63">
        <v>496.2</v>
      </c>
    </row>
    <row r="37" spans="1:3" s="46" customFormat="1" ht="36" customHeight="1" x14ac:dyDescent="0.35">
      <c r="A37" s="37" t="s">
        <v>571</v>
      </c>
      <c r="B37" s="61" t="s">
        <v>574</v>
      </c>
      <c r="C37" s="63">
        <v>496.2</v>
      </c>
    </row>
    <row r="38" spans="1:3" s="46" customFormat="1" ht="54" x14ac:dyDescent="0.35">
      <c r="A38" s="37"/>
      <c r="B38" s="208" t="s">
        <v>575</v>
      </c>
      <c r="C38" s="65">
        <v>496.2</v>
      </c>
    </row>
    <row r="39" spans="1:3" s="46" customFormat="1" ht="36" x14ac:dyDescent="0.35">
      <c r="A39" s="37" t="s">
        <v>621</v>
      </c>
      <c r="B39" s="61" t="s">
        <v>620</v>
      </c>
      <c r="C39" s="65">
        <v>39175.1</v>
      </c>
    </row>
    <row r="40" spans="1:3" s="46" customFormat="1" ht="36" x14ac:dyDescent="0.35">
      <c r="A40" s="37" t="s">
        <v>619</v>
      </c>
      <c r="B40" s="61" t="s">
        <v>618</v>
      </c>
      <c r="C40" s="65">
        <v>39175.1</v>
      </c>
    </row>
    <row r="41" spans="1:3" s="46" customFormat="1" ht="162" x14ac:dyDescent="0.35">
      <c r="A41" s="37"/>
      <c r="B41" s="208" t="s">
        <v>616</v>
      </c>
      <c r="C41" s="65">
        <v>39175.1</v>
      </c>
    </row>
    <row r="42" spans="1:3" s="46" customFormat="1" ht="90" x14ac:dyDescent="0.35">
      <c r="A42" s="37" t="s">
        <v>642</v>
      </c>
      <c r="B42" s="61" t="s">
        <v>643</v>
      </c>
      <c r="C42" s="65">
        <v>93.9</v>
      </c>
    </row>
    <row r="43" spans="1:3" s="46" customFormat="1" ht="90" x14ac:dyDescent="0.35">
      <c r="A43" s="37" t="s">
        <v>641</v>
      </c>
      <c r="B43" s="61" t="s">
        <v>640</v>
      </c>
      <c r="C43" s="65">
        <v>93.9</v>
      </c>
    </row>
    <row r="44" spans="1:3" s="46" customFormat="1" ht="201.6" customHeight="1" x14ac:dyDescent="0.35">
      <c r="A44" s="37"/>
      <c r="B44" s="61" t="s">
        <v>665</v>
      </c>
      <c r="C44" s="65">
        <v>93.9</v>
      </c>
    </row>
    <row r="45" spans="1:3" s="46" customFormat="1" ht="57.75" customHeight="1" x14ac:dyDescent="0.35">
      <c r="A45" s="37" t="s">
        <v>582</v>
      </c>
      <c r="B45" s="61" t="s">
        <v>583</v>
      </c>
      <c r="C45" s="63">
        <v>518.6</v>
      </c>
    </row>
    <row r="46" spans="1:3" s="46" customFormat="1" ht="38.25" customHeight="1" x14ac:dyDescent="0.35">
      <c r="A46" s="37" t="s">
        <v>584</v>
      </c>
      <c r="B46" s="61" t="s">
        <v>585</v>
      </c>
      <c r="C46" s="63">
        <v>518.6</v>
      </c>
    </row>
    <row r="47" spans="1:3" s="46" customFormat="1" ht="114.6" customHeight="1" x14ac:dyDescent="0.35">
      <c r="A47" s="37"/>
      <c r="B47" s="208" t="s">
        <v>586</v>
      </c>
      <c r="C47" s="63">
        <v>518.6</v>
      </c>
    </row>
    <row r="48" spans="1:3" ht="17.25" customHeight="1" x14ac:dyDescent="0.35">
      <c r="A48" s="37" t="s">
        <v>403</v>
      </c>
      <c r="B48" s="61" t="s">
        <v>310</v>
      </c>
      <c r="C48" s="63">
        <v>125700.2</v>
      </c>
    </row>
    <row r="49" spans="1:3" x14ac:dyDescent="0.35">
      <c r="A49" s="37" t="s">
        <v>394</v>
      </c>
      <c r="B49" s="61" t="s">
        <v>613</v>
      </c>
      <c r="C49" s="63">
        <v>125700.2</v>
      </c>
    </row>
    <row r="50" spans="1:3" ht="234" x14ac:dyDescent="0.35">
      <c r="A50" s="54"/>
      <c r="B50" s="207" t="s">
        <v>612</v>
      </c>
      <c r="C50" s="65">
        <v>40</v>
      </c>
    </row>
    <row r="51" spans="1:3" ht="54" x14ac:dyDescent="0.35">
      <c r="A51" s="54"/>
      <c r="B51" s="207" t="s">
        <v>411</v>
      </c>
      <c r="C51" s="65">
        <v>1903.3000000000002</v>
      </c>
    </row>
    <row r="52" spans="1:3" ht="72" x14ac:dyDescent="0.35">
      <c r="A52" s="54"/>
      <c r="B52" s="208" t="s">
        <v>505</v>
      </c>
      <c r="C52" s="65">
        <v>14222.4</v>
      </c>
    </row>
    <row r="53" spans="1:3" ht="36" x14ac:dyDescent="0.35">
      <c r="A53" s="54"/>
      <c r="B53" s="208" t="s">
        <v>543</v>
      </c>
      <c r="C53" s="65">
        <v>1690.7</v>
      </c>
    </row>
    <row r="54" spans="1:3" ht="79.95" customHeight="1" x14ac:dyDescent="0.35">
      <c r="A54" s="54"/>
      <c r="B54" s="208" t="s">
        <v>542</v>
      </c>
      <c r="C54" s="65">
        <v>11073.6</v>
      </c>
    </row>
    <row r="55" spans="1:3" ht="54" x14ac:dyDescent="0.35">
      <c r="A55" s="54"/>
      <c r="B55" s="208" t="s">
        <v>512</v>
      </c>
      <c r="C55" s="65">
        <v>1139.8</v>
      </c>
    </row>
    <row r="56" spans="1:3" ht="145.94999999999999" customHeight="1" x14ac:dyDescent="0.35">
      <c r="A56" s="54"/>
      <c r="B56" s="208" t="s">
        <v>577</v>
      </c>
      <c r="C56" s="65">
        <v>4276.7</v>
      </c>
    </row>
    <row r="57" spans="1:3" ht="54" x14ac:dyDescent="0.35">
      <c r="A57" s="54"/>
      <c r="B57" s="208" t="s">
        <v>587</v>
      </c>
      <c r="C57" s="65">
        <v>33037.5</v>
      </c>
    </row>
    <row r="58" spans="1:3" ht="90" x14ac:dyDescent="0.35">
      <c r="A58" s="54"/>
      <c r="B58" s="208" t="s">
        <v>617</v>
      </c>
      <c r="C58" s="65">
        <v>16290</v>
      </c>
    </row>
    <row r="59" spans="1:3" ht="54" x14ac:dyDescent="0.35">
      <c r="A59" s="54"/>
      <c r="B59" s="208" t="s">
        <v>724</v>
      </c>
      <c r="C59" s="65">
        <v>9603</v>
      </c>
    </row>
    <row r="60" spans="1:3" ht="144" x14ac:dyDescent="0.35">
      <c r="A60" s="54"/>
      <c r="B60" s="208" t="s">
        <v>739</v>
      </c>
      <c r="C60" s="65">
        <v>1395.8</v>
      </c>
    </row>
    <row r="61" spans="1:3" ht="72" x14ac:dyDescent="0.35">
      <c r="A61" s="54"/>
      <c r="B61" s="208" t="s">
        <v>740</v>
      </c>
      <c r="C61" s="65">
        <v>22330.7</v>
      </c>
    </row>
    <row r="62" spans="1:3" ht="126" x14ac:dyDescent="0.35">
      <c r="A62" s="54"/>
      <c r="B62" s="208" t="s">
        <v>754</v>
      </c>
      <c r="C62" s="65">
        <v>8696.7000000000007</v>
      </c>
    </row>
    <row r="63" spans="1:3" ht="36" x14ac:dyDescent="0.35">
      <c r="A63" s="38" t="s">
        <v>404</v>
      </c>
      <c r="B63" s="60" t="s">
        <v>346</v>
      </c>
      <c r="C63" s="63">
        <v>996950.39999999991</v>
      </c>
    </row>
    <row r="64" spans="1:3" ht="39" customHeight="1" x14ac:dyDescent="0.35">
      <c r="A64" s="38" t="s">
        <v>405</v>
      </c>
      <c r="B64" s="60" t="s">
        <v>20</v>
      </c>
      <c r="C64" s="63">
        <v>872477.39999999991</v>
      </c>
    </row>
    <row r="65" spans="1:3" ht="36" x14ac:dyDescent="0.35">
      <c r="A65" s="38" t="s">
        <v>395</v>
      </c>
      <c r="B65" s="60" t="s">
        <v>614</v>
      </c>
      <c r="C65" s="63">
        <v>872477.39999999991</v>
      </c>
    </row>
    <row r="66" spans="1:3" ht="144" x14ac:dyDescent="0.35">
      <c r="A66" s="38"/>
      <c r="B66" s="207" t="s">
        <v>425</v>
      </c>
      <c r="C66" s="65">
        <v>15.599999999999994</v>
      </c>
    </row>
    <row r="67" spans="1:3" ht="54" x14ac:dyDescent="0.35">
      <c r="A67" s="38"/>
      <c r="B67" s="208" t="s">
        <v>426</v>
      </c>
      <c r="C67" s="333">
        <v>11800.6</v>
      </c>
    </row>
    <row r="68" spans="1:3" s="55" customFormat="1" ht="72" x14ac:dyDescent="0.35">
      <c r="A68" s="54"/>
      <c r="B68" s="208" t="s">
        <v>266</v>
      </c>
      <c r="C68" s="333">
        <v>2182.1</v>
      </c>
    </row>
    <row r="69" spans="1:3" s="55" customFormat="1" ht="160.94999999999999" customHeight="1" x14ac:dyDescent="0.35">
      <c r="A69" s="38"/>
      <c r="B69" s="488" t="s">
        <v>615</v>
      </c>
      <c r="C69" s="333">
        <v>729.8</v>
      </c>
    </row>
    <row r="70" spans="1:3" ht="80.25" customHeight="1" x14ac:dyDescent="0.35">
      <c r="A70" s="62"/>
      <c r="B70" s="208" t="s">
        <v>21</v>
      </c>
      <c r="C70" s="333">
        <v>63</v>
      </c>
    </row>
    <row r="71" spans="1:3" s="55" customFormat="1" ht="147.75" customHeight="1" x14ac:dyDescent="0.35">
      <c r="A71" s="54"/>
      <c r="B71" s="208" t="s">
        <v>269</v>
      </c>
      <c r="C71" s="333">
        <v>2433.1999999999998</v>
      </c>
    </row>
    <row r="72" spans="1:3" s="55" customFormat="1" ht="60.75" customHeight="1" x14ac:dyDescent="0.35">
      <c r="A72" s="54" t="s">
        <v>265</v>
      </c>
      <c r="B72" s="208" t="s">
        <v>590</v>
      </c>
      <c r="C72" s="333">
        <v>2433.1999999999998</v>
      </c>
    </row>
    <row r="73" spans="1:3" ht="144" x14ac:dyDescent="0.35">
      <c r="A73" s="54"/>
      <c r="B73" s="208" t="s">
        <v>386</v>
      </c>
      <c r="C73" s="333">
        <v>84180.700000000012</v>
      </c>
    </row>
    <row r="74" spans="1:3" ht="132" customHeight="1" x14ac:dyDescent="0.35">
      <c r="A74" s="38"/>
      <c r="B74" s="208" t="s">
        <v>509</v>
      </c>
      <c r="C74" s="333">
        <v>3298.8</v>
      </c>
    </row>
    <row r="75" spans="1:3" ht="93.75" customHeight="1" x14ac:dyDescent="0.35">
      <c r="A75" s="54"/>
      <c r="B75" s="208" t="s">
        <v>349</v>
      </c>
      <c r="C75" s="333">
        <v>758704.5</v>
      </c>
    </row>
    <row r="76" spans="1:3" s="55" customFormat="1" ht="20.25" customHeight="1" x14ac:dyDescent="0.35">
      <c r="A76" s="54" t="s">
        <v>265</v>
      </c>
      <c r="B76" s="208" t="s">
        <v>267</v>
      </c>
      <c r="C76" s="64">
        <v>251582.4</v>
      </c>
    </row>
    <row r="77" spans="1:3" s="55" customFormat="1" x14ac:dyDescent="0.35">
      <c r="A77" s="54"/>
      <c r="B77" s="334" t="s">
        <v>268</v>
      </c>
      <c r="C77" s="64">
        <v>507122.1</v>
      </c>
    </row>
    <row r="78" spans="1:3" s="55" customFormat="1" ht="181.95" customHeight="1" x14ac:dyDescent="0.35">
      <c r="A78" s="54"/>
      <c r="B78" s="335" t="s">
        <v>486</v>
      </c>
      <c r="C78" s="333">
        <v>2222.1999999999998</v>
      </c>
    </row>
    <row r="79" spans="1:3" s="55" customFormat="1" ht="96.75" customHeight="1" x14ac:dyDescent="0.35">
      <c r="A79" s="54"/>
      <c r="B79" s="208" t="s">
        <v>445</v>
      </c>
      <c r="C79" s="333">
        <v>5574.7</v>
      </c>
    </row>
    <row r="80" spans="1:3" s="55" customFormat="1" ht="126" x14ac:dyDescent="0.35">
      <c r="A80" s="54"/>
      <c r="B80" s="208" t="s">
        <v>556</v>
      </c>
      <c r="C80" s="333">
        <v>1272.1999999999998</v>
      </c>
    </row>
    <row r="81" spans="1:12" s="45" customFormat="1" ht="94.5" customHeight="1" x14ac:dyDescent="0.3">
      <c r="A81" s="37" t="s">
        <v>406</v>
      </c>
      <c r="B81" s="60" t="s">
        <v>264</v>
      </c>
      <c r="C81" s="66">
        <v>6685.2</v>
      </c>
      <c r="D81" s="42"/>
      <c r="E81" s="43"/>
      <c r="F81" s="44"/>
    </row>
    <row r="82" spans="1:12" s="45" customFormat="1" ht="95.25" customHeight="1" x14ac:dyDescent="0.3">
      <c r="A82" s="37" t="s">
        <v>399</v>
      </c>
      <c r="B82" s="60" t="s">
        <v>8</v>
      </c>
      <c r="C82" s="66">
        <v>6685.2</v>
      </c>
      <c r="D82" s="42"/>
      <c r="G82" s="292"/>
      <c r="H82" s="293"/>
      <c r="I82" s="293"/>
      <c r="J82" s="293"/>
      <c r="K82" s="293"/>
      <c r="L82" s="293"/>
    </row>
    <row r="83" spans="1:12" ht="73.5" customHeight="1" x14ac:dyDescent="0.35">
      <c r="A83" s="38" t="s">
        <v>407</v>
      </c>
      <c r="B83" s="202" t="s">
        <v>385</v>
      </c>
      <c r="C83" s="63">
        <v>19.8</v>
      </c>
      <c r="G83" s="293"/>
      <c r="H83" s="293"/>
      <c r="I83" s="293"/>
      <c r="J83" s="293"/>
      <c r="K83" s="293"/>
      <c r="L83" s="293"/>
    </row>
    <row r="84" spans="1:12" ht="74.25" customHeight="1" x14ac:dyDescent="0.35">
      <c r="A84" s="38" t="s">
        <v>396</v>
      </c>
      <c r="B84" s="202" t="s">
        <v>374</v>
      </c>
      <c r="C84" s="63">
        <v>19.8</v>
      </c>
      <c r="G84" s="293"/>
      <c r="H84" s="293"/>
      <c r="I84" s="293"/>
      <c r="J84" s="293"/>
      <c r="K84" s="293"/>
      <c r="L84" s="293"/>
    </row>
    <row r="85" spans="1:12" ht="74.25" customHeight="1" x14ac:dyDescent="0.35">
      <c r="A85" s="38" t="s">
        <v>670</v>
      </c>
      <c r="B85" s="202" t="s">
        <v>672</v>
      </c>
      <c r="C85" s="63">
        <v>5560</v>
      </c>
      <c r="G85" s="293"/>
      <c r="H85" s="293"/>
      <c r="I85" s="293"/>
      <c r="J85" s="293"/>
      <c r="K85" s="293"/>
      <c r="L85" s="293"/>
    </row>
    <row r="86" spans="1:12" ht="74.25" customHeight="1" x14ac:dyDescent="0.35">
      <c r="A86" s="38" t="s">
        <v>671</v>
      </c>
      <c r="B86" s="202" t="s">
        <v>673</v>
      </c>
      <c r="C86" s="63">
        <v>5560</v>
      </c>
      <c r="G86" s="293"/>
      <c r="H86" s="293"/>
      <c r="I86" s="293"/>
      <c r="J86" s="293"/>
      <c r="K86" s="293"/>
      <c r="L86" s="293"/>
    </row>
    <row r="87" spans="1:12" ht="126" x14ac:dyDescent="0.35">
      <c r="A87" s="38" t="s">
        <v>510</v>
      </c>
      <c r="B87" s="202" t="s">
        <v>688</v>
      </c>
      <c r="C87" s="63">
        <v>36976.799999999996</v>
      </c>
      <c r="G87" s="293"/>
      <c r="H87" s="293"/>
      <c r="I87" s="293"/>
      <c r="J87" s="293"/>
      <c r="K87" s="293"/>
      <c r="L87" s="293"/>
    </row>
    <row r="88" spans="1:12" ht="126" x14ac:dyDescent="0.35">
      <c r="A88" s="38" t="s">
        <v>511</v>
      </c>
      <c r="B88" s="202" t="s">
        <v>687</v>
      </c>
      <c r="C88" s="63">
        <v>36976.799999999996</v>
      </c>
      <c r="G88" s="293"/>
      <c r="H88" s="293"/>
      <c r="I88" s="293"/>
      <c r="J88" s="293"/>
      <c r="K88" s="293"/>
      <c r="L88" s="293"/>
    </row>
    <row r="89" spans="1:12" ht="36" x14ac:dyDescent="0.35">
      <c r="A89" s="38" t="s">
        <v>562</v>
      </c>
      <c r="B89" s="202" t="s">
        <v>561</v>
      </c>
      <c r="C89" s="432">
        <v>75231.199999999997</v>
      </c>
    </row>
    <row r="90" spans="1:12" ht="36" x14ac:dyDescent="0.35">
      <c r="A90" s="38" t="s">
        <v>563</v>
      </c>
      <c r="B90" s="202" t="s">
        <v>564</v>
      </c>
      <c r="C90" s="432">
        <v>75231.199999999997</v>
      </c>
    </row>
    <row r="91" spans="1:12" ht="18" customHeight="1" x14ac:dyDescent="0.35">
      <c r="A91" s="38" t="s">
        <v>410</v>
      </c>
      <c r="B91" s="202" t="s">
        <v>435</v>
      </c>
      <c r="C91" s="63">
        <v>68257</v>
      </c>
    </row>
    <row r="92" spans="1:12" ht="72" x14ac:dyDescent="0.35">
      <c r="A92" s="79" t="s">
        <v>436</v>
      </c>
      <c r="B92" s="204" t="s">
        <v>437</v>
      </c>
      <c r="C92" s="63">
        <v>2360.3999999999996</v>
      </c>
    </row>
    <row r="93" spans="1:12" ht="90" x14ac:dyDescent="0.35">
      <c r="A93" s="79" t="s">
        <v>398</v>
      </c>
      <c r="B93" s="204" t="s">
        <v>5</v>
      </c>
      <c r="C93" s="63">
        <v>2360.3999999999996</v>
      </c>
    </row>
    <row r="94" spans="1:12" x14ac:dyDescent="0.35">
      <c r="A94" s="38" t="s">
        <v>691</v>
      </c>
      <c r="B94" s="202" t="s">
        <v>692</v>
      </c>
      <c r="C94" s="66">
        <v>65896.600000000006</v>
      </c>
    </row>
    <row r="95" spans="1:12" ht="36" x14ac:dyDescent="0.35">
      <c r="A95" s="38" t="s">
        <v>693</v>
      </c>
      <c r="B95" s="202" t="s">
        <v>694</v>
      </c>
      <c r="C95" s="66">
        <v>65896.600000000006</v>
      </c>
      <c r="D95" s="58"/>
      <c r="E95" s="58"/>
    </row>
    <row r="96" spans="1:12" ht="144" x14ac:dyDescent="0.35">
      <c r="A96" s="38"/>
      <c r="B96" s="632" t="s">
        <v>743</v>
      </c>
      <c r="C96" s="333">
        <v>15478.199999999999</v>
      </c>
      <c r="D96" s="58"/>
      <c r="E96" s="58"/>
    </row>
    <row r="97" spans="1:5" ht="72" x14ac:dyDescent="0.35">
      <c r="A97" s="38"/>
      <c r="B97" s="632" t="s">
        <v>744</v>
      </c>
      <c r="C97" s="333">
        <v>14918.399999999998</v>
      </c>
      <c r="D97" s="58"/>
      <c r="E97" s="58"/>
    </row>
    <row r="98" spans="1:5" ht="54" x14ac:dyDescent="0.35">
      <c r="A98" s="38"/>
      <c r="B98" s="632" t="s">
        <v>745</v>
      </c>
      <c r="C98" s="333">
        <v>35500</v>
      </c>
      <c r="D98" s="58">
        <v>926</v>
      </c>
      <c r="E98" s="58">
        <v>929</v>
      </c>
    </row>
    <row r="99" spans="1:5" x14ac:dyDescent="0.35">
      <c r="A99" s="67"/>
      <c r="B99" s="109"/>
      <c r="C99" s="631"/>
      <c r="D99" s="58"/>
      <c r="E99" s="58"/>
    </row>
    <row r="100" spans="1:5" x14ac:dyDescent="0.35">
      <c r="A100" s="67"/>
      <c r="B100" s="109"/>
      <c r="C100" s="631"/>
      <c r="D100" s="58"/>
      <c r="E100" s="58"/>
    </row>
    <row r="101" spans="1:5" x14ac:dyDescent="0.35">
      <c r="A101" s="67"/>
      <c r="B101" s="109"/>
      <c r="C101" s="56"/>
    </row>
    <row r="102" spans="1:5" x14ac:dyDescent="0.35">
      <c r="A102" s="653" t="s">
        <v>379</v>
      </c>
      <c r="B102" s="41"/>
      <c r="C102" s="42"/>
    </row>
    <row r="103" spans="1:5" x14ac:dyDescent="0.35">
      <c r="A103" s="653" t="s">
        <v>380</v>
      </c>
      <c r="B103" s="41"/>
      <c r="C103" s="42"/>
    </row>
    <row r="104" spans="1:5" x14ac:dyDescent="0.35">
      <c r="A104" s="654" t="s">
        <v>381</v>
      </c>
      <c r="B104" s="41"/>
      <c r="C104" s="652" t="s">
        <v>391</v>
      </c>
    </row>
    <row r="436" spans="10:11" x14ac:dyDescent="0.35">
      <c r="J436" s="34">
        <v>135.4</v>
      </c>
      <c r="K436" s="34">
        <v>140.9</v>
      </c>
    </row>
    <row r="437" spans="10:11" x14ac:dyDescent="0.35">
      <c r="J437" s="34">
        <v>27088.9</v>
      </c>
      <c r="K437" s="34">
        <v>28171.4</v>
      </c>
    </row>
  </sheetData>
  <autoFilter ref="B1:C437"/>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67"/>
  <sheetViews>
    <sheetView topLeftCell="A46" zoomScale="90" zoomScaleNormal="90" zoomScaleSheetLayoutView="80" workbookViewId="0">
      <selection activeCell="G37" sqref="G37"/>
    </sheetView>
  </sheetViews>
  <sheetFormatPr defaultColWidth="9.109375" defaultRowHeight="18" x14ac:dyDescent="0.35"/>
  <cols>
    <col min="1" max="1" width="6.109375" style="264" customWidth="1"/>
    <col min="2" max="2" width="9.109375" style="264" customWidth="1"/>
    <col min="3" max="3" width="59.88671875" style="264" customWidth="1"/>
    <col min="4" max="4" width="18.6640625" style="265" customWidth="1"/>
    <col min="5" max="5" width="15.33203125" style="264" customWidth="1"/>
    <col min="6" max="6" width="14.33203125" style="264" customWidth="1"/>
    <col min="7" max="16384" width="9.109375" style="264"/>
  </cols>
  <sheetData>
    <row r="1" spans="1:6" x14ac:dyDescent="0.35">
      <c r="F1" s="142" t="s">
        <v>515</v>
      </c>
    </row>
    <row r="2" spans="1:6" x14ac:dyDescent="0.35">
      <c r="F2" s="142" t="s">
        <v>799</v>
      </c>
    </row>
    <row r="3" spans="1:6" x14ac:dyDescent="0.35">
      <c r="F3" s="142"/>
    </row>
    <row r="4" spans="1:6" x14ac:dyDescent="0.35">
      <c r="A4" s="34"/>
      <c r="B4" s="34"/>
      <c r="C4" s="34"/>
      <c r="D4" s="264"/>
      <c r="F4" s="142" t="s">
        <v>517</v>
      </c>
    </row>
    <row r="5" spans="1:6" x14ac:dyDescent="0.35">
      <c r="A5" s="34"/>
      <c r="B5" s="34"/>
      <c r="C5" s="34"/>
      <c r="D5" s="264"/>
      <c r="F5" s="142" t="s">
        <v>669</v>
      </c>
    </row>
    <row r="8" spans="1:6" x14ac:dyDescent="0.35">
      <c r="A8" s="677" t="s">
        <v>159</v>
      </c>
      <c r="B8" s="677"/>
      <c r="C8" s="677"/>
      <c r="D8" s="677"/>
      <c r="E8" s="677"/>
      <c r="F8" s="677"/>
    </row>
    <row r="9" spans="1:6" x14ac:dyDescent="0.35">
      <c r="A9" s="677" t="s">
        <v>595</v>
      </c>
      <c r="B9" s="677"/>
      <c r="C9" s="677"/>
      <c r="D9" s="677"/>
      <c r="E9" s="677"/>
      <c r="F9" s="677"/>
    </row>
    <row r="10" spans="1:6" x14ac:dyDescent="0.35">
      <c r="D10" s="264"/>
    </row>
    <row r="11" spans="1:6" x14ac:dyDescent="0.35">
      <c r="D11" s="264"/>
      <c r="F11" s="266" t="s">
        <v>22</v>
      </c>
    </row>
    <row r="12" spans="1:6" ht="22.95" customHeight="1" x14ac:dyDescent="0.35">
      <c r="A12" s="678" t="s">
        <v>160</v>
      </c>
      <c r="B12" s="680" t="s">
        <v>329</v>
      </c>
      <c r="C12" s="680" t="s">
        <v>24</v>
      </c>
      <c r="D12" s="674" t="s">
        <v>15</v>
      </c>
      <c r="E12" s="675"/>
      <c r="F12" s="676"/>
    </row>
    <row r="13" spans="1:6" x14ac:dyDescent="0.35">
      <c r="A13" s="679"/>
      <c r="B13" s="681"/>
      <c r="C13" s="681"/>
      <c r="D13" s="171" t="s">
        <v>460</v>
      </c>
      <c r="E13" s="171" t="s">
        <v>508</v>
      </c>
      <c r="F13" s="171" t="s">
        <v>594</v>
      </c>
    </row>
    <row r="14" spans="1:6" x14ac:dyDescent="0.35">
      <c r="A14" s="210">
        <v>1</v>
      </c>
      <c r="B14" s="210">
        <v>2</v>
      </c>
      <c r="C14" s="210">
        <v>3</v>
      </c>
      <c r="D14" s="211">
        <v>4</v>
      </c>
      <c r="E14" s="284">
        <v>5</v>
      </c>
      <c r="F14" s="284">
        <v>6</v>
      </c>
    </row>
    <row r="15" spans="1:6" x14ac:dyDescent="0.35">
      <c r="A15" s="229"/>
      <c r="B15" s="229"/>
      <c r="C15" s="268" t="s">
        <v>161</v>
      </c>
      <c r="D15" s="269">
        <v>2679458.8748999997</v>
      </c>
      <c r="E15" s="269">
        <v>1958815.3</v>
      </c>
      <c r="F15" s="269">
        <v>1887225.6</v>
      </c>
    </row>
    <row r="16" spans="1:6" x14ac:dyDescent="0.35">
      <c r="A16" s="229"/>
      <c r="B16" s="229"/>
      <c r="C16" s="270" t="s">
        <v>162</v>
      </c>
      <c r="D16" s="186"/>
      <c r="E16" s="280"/>
      <c r="F16" s="267"/>
    </row>
    <row r="17" spans="1:6" x14ac:dyDescent="0.35">
      <c r="A17" s="213">
        <v>1</v>
      </c>
      <c r="B17" s="271" t="s">
        <v>163</v>
      </c>
      <c r="C17" s="272" t="s">
        <v>36</v>
      </c>
      <c r="D17" s="215">
        <v>284975.21402999997</v>
      </c>
      <c r="E17" s="215">
        <v>225385.13160000002</v>
      </c>
      <c r="F17" s="215">
        <v>233653.23160000003</v>
      </c>
    </row>
    <row r="18" spans="1:6" ht="54" x14ac:dyDescent="0.35">
      <c r="A18" s="216"/>
      <c r="B18" s="184" t="s">
        <v>164</v>
      </c>
      <c r="C18" s="185" t="s">
        <v>165</v>
      </c>
      <c r="D18" s="186">
        <v>2536.8000000000002</v>
      </c>
      <c r="E18" s="181">
        <v>2612.1999999999998</v>
      </c>
      <c r="F18" s="181">
        <v>2612.1999999999998</v>
      </c>
    </row>
    <row r="19" spans="1:6" ht="72" x14ac:dyDescent="0.35">
      <c r="A19" s="216"/>
      <c r="B19" s="184" t="s">
        <v>166</v>
      </c>
      <c r="C19" s="185" t="s">
        <v>51</v>
      </c>
      <c r="D19" s="186">
        <v>84433.932450000008</v>
      </c>
      <c r="E19" s="181">
        <v>83362.000000000015</v>
      </c>
      <c r="F19" s="181">
        <v>83398.000000000015</v>
      </c>
    </row>
    <row r="20" spans="1:6" x14ac:dyDescent="0.35">
      <c r="A20" s="216"/>
      <c r="B20" s="184" t="s">
        <v>392</v>
      </c>
      <c r="C20" s="198" t="s">
        <v>387</v>
      </c>
      <c r="D20" s="186">
        <v>19.8</v>
      </c>
      <c r="E20" s="181">
        <v>20.3</v>
      </c>
      <c r="F20" s="181">
        <v>17.7</v>
      </c>
    </row>
    <row r="21" spans="1:6" ht="54" x14ac:dyDescent="0.35">
      <c r="A21" s="216"/>
      <c r="B21" s="184" t="s">
        <v>167</v>
      </c>
      <c r="C21" s="185" t="s">
        <v>129</v>
      </c>
      <c r="D21" s="186">
        <v>37963.306999999993</v>
      </c>
      <c r="E21" s="181">
        <v>37649.699999999997</v>
      </c>
      <c r="F21" s="181">
        <v>37650.5</v>
      </c>
    </row>
    <row r="22" spans="1:6" x14ac:dyDescent="0.35">
      <c r="A22" s="216"/>
      <c r="B22" s="184" t="s">
        <v>168</v>
      </c>
      <c r="C22" s="185" t="s">
        <v>66</v>
      </c>
      <c r="D22" s="186">
        <v>10135.905939999995</v>
      </c>
      <c r="E22" s="181">
        <v>29961.8</v>
      </c>
      <c r="F22" s="181">
        <v>35000</v>
      </c>
    </row>
    <row r="23" spans="1:6" x14ac:dyDescent="0.35">
      <c r="A23" s="216"/>
      <c r="B23" s="184" t="s">
        <v>169</v>
      </c>
      <c r="C23" s="185" t="s">
        <v>70</v>
      </c>
      <c r="D23" s="186">
        <v>149885.46863999998</v>
      </c>
      <c r="E23" s="181">
        <v>71779.131600000008</v>
      </c>
      <c r="F23" s="181">
        <v>74974.831600000005</v>
      </c>
    </row>
    <row r="24" spans="1:6" ht="35.4" x14ac:dyDescent="0.35">
      <c r="A24" s="213">
        <v>2</v>
      </c>
      <c r="B24" s="271" t="s">
        <v>170</v>
      </c>
      <c r="C24" s="272" t="s">
        <v>78</v>
      </c>
      <c r="D24" s="215">
        <v>22550.347999999998</v>
      </c>
      <c r="E24" s="215">
        <v>12719.499999999996</v>
      </c>
      <c r="F24" s="215">
        <v>12720.499999999996</v>
      </c>
    </row>
    <row r="25" spans="1:6" ht="54" x14ac:dyDescent="0.35">
      <c r="A25" s="216"/>
      <c r="B25" s="184" t="s">
        <v>463</v>
      </c>
      <c r="C25" s="185" t="s">
        <v>464</v>
      </c>
      <c r="D25" s="186">
        <v>9496.6999999999989</v>
      </c>
      <c r="E25" s="181">
        <v>362.29999999999995</v>
      </c>
      <c r="F25" s="181">
        <v>362.29999999999995</v>
      </c>
    </row>
    <row r="26" spans="1:6" ht="36" x14ac:dyDescent="0.35">
      <c r="A26" s="216"/>
      <c r="B26" s="184" t="s">
        <v>171</v>
      </c>
      <c r="C26" s="185" t="s">
        <v>87</v>
      </c>
      <c r="D26" s="186">
        <v>13053.647999999999</v>
      </c>
      <c r="E26" s="181">
        <v>12357.199999999997</v>
      </c>
      <c r="F26" s="181">
        <v>12358.199999999997</v>
      </c>
    </row>
    <row r="27" spans="1:6" x14ac:dyDescent="0.35">
      <c r="A27" s="213">
        <v>3</v>
      </c>
      <c r="B27" s="271" t="s">
        <v>172</v>
      </c>
      <c r="C27" s="272" t="s">
        <v>92</v>
      </c>
      <c r="D27" s="215">
        <v>95982.915599999993</v>
      </c>
      <c r="E27" s="215">
        <v>27573.599999999999</v>
      </c>
      <c r="F27" s="215">
        <v>26840.6</v>
      </c>
    </row>
    <row r="28" spans="1:6" x14ac:dyDescent="0.35">
      <c r="A28" s="213"/>
      <c r="B28" s="184" t="s">
        <v>173</v>
      </c>
      <c r="C28" s="185" t="s">
        <v>93</v>
      </c>
      <c r="D28" s="186">
        <v>14369.400000000001</v>
      </c>
      <c r="E28" s="181">
        <v>19075.7</v>
      </c>
      <c r="F28" s="181">
        <v>19075.7</v>
      </c>
    </row>
    <row r="29" spans="1:6" x14ac:dyDescent="0.35">
      <c r="A29" s="216"/>
      <c r="B29" s="184" t="s">
        <v>174</v>
      </c>
      <c r="C29" s="185" t="s">
        <v>98</v>
      </c>
      <c r="D29" s="186">
        <v>12364.4156</v>
      </c>
      <c r="E29" s="181">
        <v>6181.8</v>
      </c>
      <c r="F29" s="181">
        <v>6648.8</v>
      </c>
    </row>
    <row r="30" spans="1:6" ht="36" x14ac:dyDescent="0.35">
      <c r="A30" s="216"/>
      <c r="B30" s="184" t="s">
        <v>175</v>
      </c>
      <c r="C30" s="185" t="s">
        <v>106</v>
      </c>
      <c r="D30" s="186">
        <v>69249.099999999991</v>
      </c>
      <c r="E30" s="181">
        <v>2316.1</v>
      </c>
      <c r="F30" s="181">
        <v>1116.0999999999999</v>
      </c>
    </row>
    <row r="31" spans="1:6" x14ac:dyDescent="0.35">
      <c r="A31" s="213">
        <v>4</v>
      </c>
      <c r="B31" s="271" t="s">
        <v>176</v>
      </c>
      <c r="C31" s="272" t="s">
        <v>177</v>
      </c>
      <c r="D31" s="215">
        <v>115563</v>
      </c>
      <c r="E31" s="215">
        <v>69245.3</v>
      </c>
      <c r="F31" s="215">
        <v>5773.4</v>
      </c>
    </row>
    <row r="32" spans="1:6" x14ac:dyDescent="0.35">
      <c r="A32" s="216"/>
      <c r="B32" s="184" t="s">
        <v>523</v>
      </c>
      <c r="C32" s="185" t="s">
        <v>479</v>
      </c>
      <c r="D32" s="186">
        <v>60690.600000000006</v>
      </c>
      <c r="E32" s="186">
        <v>0</v>
      </c>
      <c r="F32" s="186">
        <v>0</v>
      </c>
    </row>
    <row r="33" spans="1:6" x14ac:dyDescent="0.35">
      <c r="A33" s="213"/>
      <c r="B33" s="184" t="s">
        <v>340</v>
      </c>
      <c r="C33" s="185" t="s">
        <v>338</v>
      </c>
      <c r="D33" s="186">
        <v>47793.5</v>
      </c>
      <c r="E33" s="186">
        <v>63486.700000000004</v>
      </c>
      <c r="F33" s="186">
        <v>0</v>
      </c>
    </row>
    <row r="34" spans="1:6" x14ac:dyDescent="0.35">
      <c r="A34" s="213"/>
      <c r="B34" s="184" t="s">
        <v>639</v>
      </c>
      <c r="C34" s="566" t="s">
        <v>637</v>
      </c>
      <c r="D34" s="186">
        <v>7078.9000000000005</v>
      </c>
      <c r="E34" s="186">
        <v>5758.6</v>
      </c>
      <c r="F34" s="186">
        <v>5773.4</v>
      </c>
    </row>
    <row r="35" spans="1:6" x14ac:dyDescent="0.35">
      <c r="A35" s="213">
        <v>5</v>
      </c>
      <c r="B35" s="271" t="s">
        <v>178</v>
      </c>
      <c r="C35" s="272" t="s">
        <v>179</v>
      </c>
      <c r="D35" s="215">
        <v>1697672.3213000002</v>
      </c>
      <c r="E35" s="215">
        <v>1336307.4999999998</v>
      </c>
      <c r="F35" s="215">
        <v>1349950.5</v>
      </c>
    </row>
    <row r="36" spans="1:6" x14ac:dyDescent="0.35">
      <c r="A36" s="216"/>
      <c r="B36" s="184" t="s">
        <v>180</v>
      </c>
      <c r="C36" s="185" t="s">
        <v>181</v>
      </c>
      <c r="D36" s="186">
        <v>513016.27999999997</v>
      </c>
      <c r="E36" s="186">
        <v>386488.20000000007</v>
      </c>
      <c r="F36" s="186">
        <v>399716.60000000003</v>
      </c>
    </row>
    <row r="37" spans="1:6" x14ac:dyDescent="0.35">
      <c r="A37" s="216"/>
      <c r="B37" s="184" t="s">
        <v>182</v>
      </c>
      <c r="C37" s="185" t="s">
        <v>183</v>
      </c>
      <c r="D37" s="186">
        <v>924458.88829999999</v>
      </c>
      <c r="E37" s="186">
        <v>722307.79999999981</v>
      </c>
      <c r="F37" s="186">
        <v>712311.5</v>
      </c>
    </row>
    <row r="38" spans="1:6" x14ac:dyDescent="0.35">
      <c r="A38" s="216"/>
      <c r="B38" s="184" t="s">
        <v>353</v>
      </c>
      <c r="C38" s="185" t="s">
        <v>354</v>
      </c>
      <c r="D38" s="186">
        <v>159787.04700000002</v>
      </c>
      <c r="E38" s="186">
        <v>130206.39999999999</v>
      </c>
      <c r="F38" s="186">
        <v>140861.70000000001</v>
      </c>
    </row>
    <row r="39" spans="1:6" ht="36" x14ac:dyDescent="0.35">
      <c r="A39" s="216"/>
      <c r="B39" s="184" t="s">
        <v>537</v>
      </c>
      <c r="C39" s="185" t="s">
        <v>538</v>
      </c>
      <c r="D39" s="186">
        <v>284.59299999999996</v>
      </c>
      <c r="E39" s="186">
        <v>190.7</v>
      </c>
      <c r="F39" s="186">
        <v>190.7</v>
      </c>
    </row>
    <row r="40" spans="1:6" x14ac:dyDescent="0.35">
      <c r="A40" s="213"/>
      <c r="B40" s="184" t="s">
        <v>184</v>
      </c>
      <c r="C40" s="185" t="s">
        <v>355</v>
      </c>
      <c r="D40" s="186">
        <v>5951.9699999999993</v>
      </c>
      <c r="E40" s="186">
        <v>3836.5</v>
      </c>
      <c r="F40" s="186">
        <v>3836.5</v>
      </c>
    </row>
    <row r="41" spans="1:6" x14ac:dyDescent="0.35">
      <c r="A41" s="216"/>
      <c r="B41" s="184" t="s">
        <v>185</v>
      </c>
      <c r="C41" s="185" t="s">
        <v>186</v>
      </c>
      <c r="D41" s="186">
        <v>94173.543000000005</v>
      </c>
      <c r="E41" s="186">
        <v>93277.900000000009</v>
      </c>
      <c r="F41" s="186">
        <v>93033.500000000015</v>
      </c>
    </row>
    <row r="42" spans="1:6" x14ac:dyDescent="0.35">
      <c r="A42" s="213">
        <v>6</v>
      </c>
      <c r="B42" s="271" t="s">
        <v>187</v>
      </c>
      <c r="C42" s="272" t="s">
        <v>188</v>
      </c>
      <c r="D42" s="215">
        <v>67380</v>
      </c>
      <c r="E42" s="215">
        <v>35657.800000000003</v>
      </c>
      <c r="F42" s="215">
        <v>35603.899999999994</v>
      </c>
    </row>
    <row r="43" spans="1:6" x14ac:dyDescent="0.35">
      <c r="A43" s="216"/>
      <c r="B43" s="184" t="s">
        <v>189</v>
      </c>
      <c r="C43" s="185" t="s">
        <v>190</v>
      </c>
      <c r="D43" s="186">
        <v>54957.999999999993</v>
      </c>
      <c r="E43" s="186">
        <v>24215.8</v>
      </c>
      <c r="F43" s="186">
        <v>24157.399999999998</v>
      </c>
    </row>
    <row r="44" spans="1:6" ht="18.75" customHeight="1" x14ac:dyDescent="0.35">
      <c r="A44" s="216"/>
      <c r="B44" s="184" t="s">
        <v>191</v>
      </c>
      <c r="C44" s="185" t="s">
        <v>192</v>
      </c>
      <c r="D44" s="186">
        <v>12422</v>
      </c>
      <c r="E44" s="181">
        <v>11442</v>
      </c>
      <c r="F44" s="181">
        <v>11446.5</v>
      </c>
    </row>
    <row r="45" spans="1:6" s="273" customFormat="1" ht="17.399999999999999" x14ac:dyDescent="0.3">
      <c r="A45" s="213">
        <v>7</v>
      </c>
      <c r="B45" s="213">
        <v>1000</v>
      </c>
      <c r="C45" s="272" t="s">
        <v>119</v>
      </c>
      <c r="D45" s="215">
        <v>168396.27597000002</v>
      </c>
      <c r="E45" s="215">
        <v>129641.1684</v>
      </c>
      <c r="F45" s="215">
        <v>131142.96840000001</v>
      </c>
    </row>
    <row r="46" spans="1:6" x14ac:dyDescent="0.35">
      <c r="A46" s="216"/>
      <c r="B46" s="216">
        <v>1001</v>
      </c>
      <c r="C46" s="185" t="s">
        <v>360</v>
      </c>
      <c r="D46" s="186">
        <v>1504.6</v>
      </c>
      <c r="E46" s="186">
        <v>1320</v>
      </c>
      <c r="F46" s="186">
        <v>1320</v>
      </c>
    </row>
    <row r="47" spans="1:6" x14ac:dyDescent="0.35">
      <c r="A47" s="216"/>
      <c r="B47" s="216">
        <v>1003</v>
      </c>
      <c r="C47" s="185" t="s">
        <v>734</v>
      </c>
      <c r="D47" s="186">
        <v>2070</v>
      </c>
      <c r="E47" s="186">
        <v>0</v>
      </c>
      <c r="F47" s="186">
        <v>0</v>
      </c>
    </row>
    <row r="48" spans="1:6" x14ac:dyDescent="0.35">
      <c r="A48" s="216"/>
      <c r="B48" s="216">
        <v>1004</v>
      </c>
      <c r="C48" s="185" t="s">
        <v>193</v>
      </c>
      <c r="D48" s="186">
        <v>153353.17597000001</v>
      </c>
      <c r="E48" s="186">
        <v>118276.7684</v>
      </c>
      <c r="F48" s="186">
        <v>119778.5684</v>
      </c>
    </row>
    <row r="49" spans="1:6" x14ac:dyDescent="0.35">
      <c r="A49" s="216"/>
      <c r="B49" s="216">
        <v>1006</v>
      </c>
      <c r="C49" s="185" t="s">
        <v>194</v>
      </c>
      <c r="D49" s="186">
        <v>11468.5</v>
      </c>
      <c r="E49" s="186">
        <v>10044.400000000001</v>
      </c>
      <c r="F49" s="186">
        <v>10044.400000000001</v>
      </c>
    </row>
    <row r="50" spans="1:6" x14ac:dyDescent="0.35">
      <c r="A50" s="213">
        <v>8</v>
      </c>
      <c r="B50" s="274">
        <v>1100</v>
      </c>
      <c r="C50" s="268" t="s">
        <v>195</v>
      </c>
      <c r="D50" s="215">
        <v>153356.80000000002</v>
      </c>
      <c r="E50" s="215">
        <v>79997.3</v>
      </c>
      <c r="F50" s="215">
        <v>38624.5</v>
      </c>
    </row>
    <row r="51" spans="1:6" x14ac:dyDescent="0.35">
      <c r="A51" s="216"/>
      <c r="B51" s="275">
        <v>1101</v>
      </c>
      <c r="C51" s="276" t="s">
        <v>365</v>
      </c>
      <c r="D51" s="186">
        <v>83059.106480000002</v>
      </c>
      <c r="E51" s="186">
        <v>15512.600000000002</v>
      </c>
      <c r="F51" s="186">
        <v>3622.8</v>
      </c>
    </row>
    <row r="52" spans="1:6" x14ac:dyDescent="0.35">
      <c r="A52" s="213"/>
      <c r="B52" s="184" t="s">
        <v>196</v>
      </c>
      <c r="C52" s="218" t="s">
        <v>197</v>
      </c>
      <c r="D52" s="186">
        <v>27213.8</v>
      </c>
      <c r="E52" s="186">
        <v>30481.200000000001</v>
      </c>
      <c r="F52" s="186">
        <v>629.70000000000005</v>
      </c>
    </row>
    <row r="53" spans="1:6" x14ac:dyDescent="0.35">
      <c r="A53" s="213"/>
      <c r="B53" s="184" t="s">
        <v>708</v>
      </c>
      <c r="C53" s="218" t="s">
        <v>707</v>
      </c>
      <c r="D53" s="186">
        <v>40112.793519999992</v>
      </c>
      <c r="E53" s="186">
        <v>30944.799999999999</v>
      </c>
      <c r="F53" s="186">
        <v>31312.2</v>
      </c>
    </row>
    <row r="54" spans="1:6" ht="36" x14ac:dyDescent="0.35">
      <c r="A54" s="216"/>
      <c r="B54" s="184" t="s">
        <v>198</v>
      </c>
      <c r="C54" s="223" t="s">
        <v>199</v>
      </c>
      <c r="D54" s="186">
        <v>2971.1000000000004</v>
      </c>
      <c r="E54" s="181">
        <v>3058.7000000000003</v>
      </c>
      <c r="F54" s="181">
        <v>3059.7999999999997</v>
      </c>
    </row>
    <row r="55" spans="1:6" ht="35.4" x14ac:dyDescent="0.35">
      <c r="A55" s="213">
        <v>9</v>
      </c>
      <c r="B55" s="271" t="s">
        <v>795</v>
      </c>
      <c r="C55" s="655" t="s">
        <v>789</v>
      </c>
      <c r="D55" s="215">
        <v>6</v>
      </c>
      <c r="E55" s="215">
        <v>0</v>
      </c>
      <c r="F55" s="215">
        <v>0</v>
      </c>
    </row>
    <row r="56" spans="1:6" ht="36" x14ac:dyDescent="0.35">
      <c r="A56" s="216"/>
      <c r="B56" s="184" t="s">
        <v>796</v>
      </c>
      <c r="C56" s="223" t="s">
        <v>790</v>
      </c>
      <c r="D56" s="186">
        <v>6</v>
      </c>
      <c r="E56" s="181">
        <v>0</v>
      </c>
      <c r="F56" s="181">
        <v>0</v>
      </c>
    </row>
    <row r="57" spans="1:6" ht="52.8" x14ac:dyDescent="0.35">
      <c r="A57" s="213">
        <v>10</v>
      </c>
      <c r="B57" s="274">
        <v>1400</v>
      </c>
      <c r="C57" s="272" t="s">
        <v>200</v>
      </c>
      <c r="D57" s="277">
        <v>73576</v>
      </c>
      <c r="E57" s="277">
        <v>7500</v>
      </c>
      <c r="F57" s="277">
        <v>7500</v>
      </c>
    </row>
    <row r="58" spans="1:6" ht="54" x14ac:dyDescent="0.35">
      <c r="A58" s="278"/>
      <c r="B58" s="275">
        <v>1401</v>
      </c>
      <c r="C58" s="185" t="s">
        <v>201</v>
      </c>
      <c r="D58" s="279">
        <v>7500</v>
      </c>
      <c r="E58" s="221">
        <v>7500</v>
      </c>
      <c r="F58" s="221">
        <v>7500</v>
      </c>
    </row>
    <row r="59" spans="1:6" ht="36" x14ac:dyDescent="0.35">
      <c r="A59" s="278"/>
      <c r="B59" s="275">
        <v>1403</v>
      </c>
      <c r="C59" s="185" t="s">
        <v>680</v>
      </c>
      <c r="D59" s="279">
        <v>66076</v>
      </c>
      <c r="E59" s="221">
        <v>0</v>
      </c>
      <c r="F59" s="221">
        <v>0</v>
      </c>
    </row>
    <row r="60" spans="1:6" s="187" customFormat="1" ht="17.399999999999999" x14ac:dyDescent="0.3">
      <c r="A60" s="212">
        <v>11</v>
      </c>
      <c r="B60" s="214"/>
      <c r="C60" s="182" t="s">
        <v>367</v>
      </c>
      <c r="D60" s="219">
        <v>0</v>
      </c>
      <c r="E60" s="219">
        <v>34788</v>
      </c>
      <c r="F60" s="219">
        <v>45416</v>
      </c>
    </row>
    <row r="61" spans="1:6" s="187" customFormat="1" x14ac:dyDescent="0.35">
      <c r="A61" s="220"/>
      <c r="B61" s="217"/>
      <c r="C61" s="183" t="s">
        <v>367</v>
      </c>
      <c r="D61" s="221">
        <v>0</v>
      </c>
      <c r="E61" s="221">
        <v>34788</v>
      </c>
      <c r="F61" s="221">
        <v>45416</v>
      </c>
    </row>
    <row r="64" spans="1:6" s="283" customFormat="1" x14ac:dyDescent="0.35">
      <c r="A64" s="650" t="s">
        <v>379</v>
      </c>
      <c r="B64" s="281"/>
      <c r="C64" s="282"/>
      <c r="D64" s="282"/>
      <c r="E64" s="282"/>
      <c r="F64" s="282"/>
    </row>
    <row r="65" spans="1:6" s="283" customFormat="1" x14ac:dyDescent="0.35">
      <c r="A65" s="650" t="s">
        <v>380</v>
      </c>
      <c r="B65" s="281"/>
      <c r="C65" s="282"/>
      <c r="D65" s="282"/>
      <c r="E65" s="282"/>
      <c r="F65" s="282"/>
    </row>
    <row r="66" spans="1:6" s="283" customFormat="1" x14ac:dyDescent="0.35">
      <c r="A66" s="651" t="s">
        <v>381</v>
      </c>
      <c r="B66" s="281"/>
      <c r="E66" s="282"/>
      <c r="F66" s="652" t="s">
        <v>391</v>
      </c>
    </row>
    <row r="67" spans="1:6" x14ac:dyDescent="0.35">
      <c r="A67" s="636"/>
    </row>
  </sheetData>
  <autoFilter ref="A1:A66"/>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674"/>
  <sheetViews>
    <sheetView zoomScale="80" zoomScaleNormal="80" zoomScaleSheetLayoutView="80" workbookViewId="0">
      <pane xSplit="1" ySplit="6" topLeftCell="B654" activePane="bottomRight" state="frozen"/>
      <selection activeCell="D47" sqref="D47"/>
      <selection pane="topRight" activeCell="D47" sqref="D47"/>
      <selection pane="bottomLeft" activeCell="D47" sqref="D47"/>
      <selection pane="bottomRight" activeCell="M517" sqref="M517"/>
    </sheetView>
  </sheetViews>
  <sheetFormatPr defaultColWidth="9.109375" defaultRowHeight="15.6" x14ac:dyDescent="0.3"/>
  <cols>
    <col min="1" max="1" width="4.5546875" style="338" customWidth="1"/>
    <col min="2" max="2" width="62.44140625" style="401" customWidth="1"/>
    <col min="3" max="3" width="3.109375" style="402" customWidth="1"/>
    <col min="4" max="4" width="2" style="402" customWidth="1"/>
    <col min="5" max="5" width="3.109375" style="402" customWidth="1"/>
    <col min="6" max="6" width="8.6640625" style="402" customWidth="1"/>
    <col min="7" max="7" width="5.5546875" style="400" customWidth="1"/>
    <col min="8" max="8" width="15.6640625" style="339" customWidth="1"/>
    <col min="9" max="9" width="9.109375" style="45"/>
    <col min="10" max="10" width="17.6640625" style="45" customWidth="1"/>
    <col min="11" max="14" width="9.109375" style="45"/>
    <col min="15" max="15" width="58.6640625" style="45" customWidth="1"/>
    <col min="16" max="16384" width="9.109375" style="45"/>
  </cols>
  <sheetData>
    <row r="1" spans="1:12" ht="18" x14ac:dyDescent="0.35">
      <c r="H1" s="142" t="s">
        <v>516</v>
      </c>
    </row>
    <row r="2" spans="1:12" ht="18" x14ac:dyDescent="0.35">
      <c r="H2" s="142" t="s">
        <v>799</v>
      </c>
    </row>
    <row r="3" spans="1:12" ht="18" x14ac:dyDescent="0.35">
      <c r="H3" s="142"/>
    </row>
    <row r="4" spans="1:12" s="35" customFormat="1" ht="18" x14ac:dyDescent="0.35">
      <c r="H4" s="142" t="s">
        <v>518</v>
      </c>
      <c r="K4" s="39"/>
      <c r="L4" s="594"/>
    </row>
    <row r="5" spans="1:12" s="35" customFormat="1" ht="18" x14ac:dyDescent="0.35">
      <c r="H5" s="142" t="s">
        <v>669</v>
      </c>
      <c r="K5" s="39"/>
      <c r="L5" s="595"/>
    </row>
    <row r="8" spans="1:12" ht="72" customHeight="1" x14ac:dyDescent="0.3">
      <c r="A8" s="682" t="s">
        <v>596</v>
      </c>
      <c r="B8" s="682"/>
      <c r="C8" s="682"/>
      <c r="D8" s="682"/>
      <c r="E8" s="682"/>
      <c r="F8" s="682"/>
      <c r="G8" s="682"/>
      <c r="H8" s="682"/>
    </row>
    <row r="9" spans="1:12" x14ac:dyDescent="0.3">
      <c r="A9" s="45"/>
      <c r="B9" s="45"/>
      <c r="C9" s="338"/>
      <c r="D9" s="338"/>
      <c r="E9" s="338"/>
      <c r="F9" s="338"/>
      <c r="G9" s="339"/>
    </row>
    <row r="10" spans="1:12" ht="18" x14ac:dyDescent="0.35">
      <c r="A10" s="340"/>
      <c r="B10" s="41"/>
      <c r="C10" s="42"/>
      <c r="D10" s="42"/>
      <c r="E10" s="42"/>
      <c r="F10" s="42"/>
      <c r="G10" s="45"/>
      <c r="H10" s="404" t="s">
        <v>22</v>
      </c>
    </row>
    <row r="11" spans="1:12" ht="37.200000000000003" customHeight="1" x14ac:dyDescent="0.3">
      <c r="A11" s="639" t="s">
        <v>23</v>
      </c>
      <c r="B11" s="640" t="s">
        <v>24</v>
      </c>
      <c r="C11" s="683" t="s">
        <v>28</v>
      </c>
      <c r="D11" s="684"/>
      <c r="E11" s="684"/>
      <c r="F11" s="685"/>
      <c r="G11" s="640" t="s">
        <v>29</v>
      </c>
      <c r="H11" s="405" t="s">
        <v>15</v>
      </c>
    </row>
    <row r="12" spans="1:12" ht="18" x14ac:dyDescent="0.35">
      <c r="A12" s="210">
        <v>1</v>
      </c>
      <c r="B12" s="342">
        <v>2</v>
      </c>
      <c r="C12" s="686" t="s">
        <v>30</v>
      </c>
      <c r="D12" s="687"/>
      <c r="E12" s="687"/>
      <c r="F12" s="688"/>
      <c r="G12" s="222" t="s">
        <v>31</v>
      </c>
      <c r="H12" s="211">
        <v>5</v>
      </c>
    </row>
    <row r="13" spans="1:12" ht="19.5" customHeight="1" x14ac:dyDescent="0.35">
      <c r="A13" s="343"/>
      <c r="B13" s="344" t="s">
        <v>202</v>
      </c>
      <c r="C13" s="345"/>
      <c r="D13" s="345"/>
      <c r="E13" s="345"/>
      <c r="F13" s="345"/>
      <c r="G13" s="346"/>
      <c r="H13" s="347">
        <f>H14+H160+H223+H274+H299+H338+H364+H403+H469+H478+H484+H494+H504+H510+H577+H648+H446+H571+H588+0.03</f>
        <v>2679458.8748999997</v>
      </c>
      <c r="J13" s="406"/>
    </row>
    <row r="14" spans="1:12" s="352" customFormat="1" ht="52.2" x14ac:dyDescent="0.3">
      <c r="A14" s="348">
        <v>1</v>
      </c>
      <c r="B14" s="493" t="s">
        <v>205</v>
      </c>
      <c r="C14" s="349" t="s">
        <v>39</v>
      </c>
      <c r="D14" s="349" t="s">
        <v>42</v>
      </c>
      <c r="E14" s="349" t="s">
        <v>43</v>
      </c>
      <c r="F14" s="350" t="s">
        <v>44</v>
      </c>
      <c r="G14" s="351"/>
      <c r="H14" s="238">
        <f>H15+H96+H124</f>
        <v>1616293.2583000001</v>
      </c>
    </row>
    <row r="15" spans="1:12" ht="18" x14ac:dyDescent="0.35">
      <c r="A15" s="343"/>
      <c r="B15" s="494" t="s">
        <v>206</v>
      </c>
      <c r="C15" s="658" t="s">
        <v>39</v>
      </c>
      <c r="D15" s="658" t="s">
        <v>45</v>
      </c>
      <c r="E15" s="658" t="s">
        <v>43</v>
      </c>
      <c r="F15" s="659" t="s">
        <v>44</v>
      </c>
      <c r="G15" s="222"/>
      <c r="H15" s="200">
        <f>H16+H41+H90</f>
        <v>1440841.3683</v>
      </c>
    </row>
    <row r="16" spans="1:12" ht="18" x14ac:dyDescent="0.35">
      <c r="A16" s="343"/>
      <c r="B16" s="494" t="s">
        <v>272</v>
      </c>
      <c r="C16" s="191" t="s">
        <v>39</v>
      </c>
      <c r="D16" s="192" t="s">
        <v>45</v>
      </c>
      <c r="E16" s="192" t="s">
        <v>37</v>
      </c>
      <c r="F16" s="193" t="s">
        <v>44</v>
      </c>
      <c r="G16" s="222"/>
      <c r="H16" s="200">
        <f>H26+H29+H31+H17+H21+H23+H19+H35+H37+H33+H39</f>
        <v>518604.68</v>
      </c>
    </row>
    <row r="17" spans="1:8" ht="36" x14ac:dyDescent="0.35">
      <c r="A17" s="343"/>
      <c r="B17" s="494" t="s">
        <v>466</v>
      </c>
      <c r="C17" s="191" t="s">
        <v>39</v>
      </c>
      <c r="D17" s="192" t="s">
        <v>45</v>
      </c>
      <c r="E17" s="192" t="s">
        <v>37</v>
      </c>
      <c r="F17" s="193" t="s">
        <v>91</v>
      </c>
      <c r="G17" s="28"/>
      <c r="H17" s="200">
        <f>H18</f>
        <v>108810.39999999998</v>
      </c>
    </row>
    <row r="18" spans="1:8" ht="36" x14ac:dyDescent="0.35">
      <c r="A18" s="343"/>
      <c r="B18" s="494" t="s">
        <v>76</v>
      </c>
      <c r="C18" s="191" t="s">
        <v>39</v>
      </c>
      <c r="D18" s="192" t="s">
        <v>45</v>
      </c>
      <c r="E18" s="192" t="s">
        <v>37</v>
      </c>
      <c r="F18" s="193" t="s">
        <v>91</v>
      </c>
      <c r="G18" s="28" t="s">
        <v>77</v>
      </c>
      <c r="H18" s="200">
        <f>'прил9 (ведом 23)'!M490</f>
        <v>108810.39999999998</v>
      </c>
    </row>
    <row r="19" spans="1:8" ht="18" x14ac:dyDescent="0.35">
      <c r="A19" s="343"/>
      <c r="B19" s="495" t="s">
        <v>467</v>
      </c>
      <c r="C19" s="191" t="s">
        <v>39</v>
      </c>
      <c r="D19" s="192" t="s">
        <v>45</v>
      </c>
      <c r="E19" s="192" t="s">
        <v>37</v>
      </c>
      <c r="F19" s="193" t="s">
        <v>384</v>
      </c>
      <c r="G19" s="28"/>
      <c r="H19" s="200">
        <f>H20</f>
        <v>15471.299999999997</v>
      </c>
    </row>
    <row r="20" spans="1:8" ht="36" x14ac:dyDescent="0.35">
      <c r="A20" s="343"/>
      <c r="B20" s="495" t="s">
        <v>76</v>
      </c>
      <c r="C20" s="191" t="s">
        <v>39</v>
      </c>
      <c r="D20" s="192" t="s">
        <v>45</v>
      </c>
      <c r="E20" s="192" t="s">
        <v>37</v>
      </c>
      <c r="F20" s="193" t="s">
        <v>384</v>
      </c>
      <c r="G20" s="28" t="s">
        <v>77</v>
      </c>
      <c r="H20" s="200">
        <f>'прил9 (ведом 23)'!M492</f>
        <v>15471.299999999997</v>
      </c>
    </row>
    <row r="21" spans="1:8" ht="36" x14ac:dyDescent="0.35">
      <c r="A21" s="343"/>
      <c r="B21" s="495" t="s">
        <v>207</v>
      </c>
      <c r="C21" s="191" t="s">
        <v>39</v>
      </c>
      <c r="D21" s="192" t="s">
        <v>45</v>
      </c>
      <c r="E21" s="192" t="s">
        <v>37</v>
      </c>
      <c r="F21" s="193" t="s">
        <v>278</v>
      </c>
      <c r="G21" s="28"/>
      <c r="H21" s="200">
        <f>H22</f>
        <v>31159.599999999999</v>
      </c>
    </row>
    <row r="22" spans="1:8" ht="36" x14ac:dyDescent="0.35">
      <c r="A22" s="343"/>
      <c r="B22" s="495" t="s">
        <v>76</v>
      </c>
      <c r="C22" s="191" t="s">
        <v>39</v>
      </c>
      <c r="D22" s="192" t="s">
        <v>45</v>
      </c>
      <c r="E22" s="192" t="s">
        <v>37</v>
      </c>
      <c r="F22" s="193" t="s">
        <v>278</v>
      </c>
      <c r="G22" s="28" t="s">
        <v>77</v>
      </c>
      <c r="H22" s="200">
        <f>'прил9 (ведом 23)'!M494</f>
        <v>31159.599999999999</v>
      </c>
    </row>
    <row r="23" spans="1:8" ht="36" x14ac:dyDescent="0.35">
      <c r="A23" s="343"/>
      <c r="B23" s="495" t="s">
        <v>208</v>
      </c>
      <c r="C23" s="191" t="s">
        <v>39</v>
      </c>
      <c r="D23" s="192" t="s">
        <v>45</v>
      </c>
      <c r="E23" s="192" t="s">
        <v>37</v>
      </c>
      <c r="F23" s="193" t="s">
        <v>279</v>
      </c>
      <c r="G23" s="28"/>
      <c r="H23" s="200">
        <f>H24+H25</f>
        <v>3894.2799999999997</v>
      </c>
    </row>
    <row r="24" spans="1:8" ht="36" x14ac:dyDescent="0.35">
      <c r="A24" s="343"/>
      <c r="B24" s="496" t="s">
        <v>203</v>
      </c>
      <c r="C24" s="191" t="s">
        <v>39</v>
      </c>
      <c r="D24" s="192" t="s">
        <v>45</v>
      </c>
      <c r="E24" s="192" t="s">
        <v>37</v>
      </c>
      <c r="F24" s="193" t="s">
        <v>279</v>
      </c>
      <c r="G24" s="28" t="s">
        <v>204</v>
      </c>
      <c r="H24" s="200">
        <f>'прил9 (ведом 23)'!M436</f>
        <v>2595.88</v>
      </c>
    </row>
    <row r="25" spans="1:8" ht="50.25" customHeight="1" x14ac:dyDescent="0.35">
      <c r="A25" s="343"/>
      <c r="B25" s="495" t="s">
        <v>76</v>
      </c>
      <c r="C25" s="191" t="s">
        <v>39</v>
      </c>
      <c r="D25" s="192" t="s">
        <v>45</v>
      </c>
      <c r="E25" s="192" t="s">
        <v>37</v>
      </c>
      <c r="F25" s="193" t="s">
        <v>279</v>
      </c>
      <c r="G25" s="28" t="s">
        <v>77</v>
      </c>
      <c r="H25" s="194">
        <f>'прил9 (ведом 23)'!M496</f>
        <v>1298.3999999999999</v>
      </c>
    </row>
    <row r="26" spans="1:8" ht="120" customHeight="1" x14ac:dyDescent="0.35">
      <c r="A26" s="343"/>
      <c r="B26" s="494" t="s">
        <v>288</v>
      </c>
      <c r="C26" s="191" t="s">
        <v>39</v>
      </c>
      <c r="D26" s="192" t="s">
        <v>45</v>
      </c>
      <c r="E26" s="192" t="s">
        <v>37</v>
      </c>
      <c r="F26" s="193" t="s">
        <v>289</v>
      </c>
      <c r="G26" s="28"/>
      <c r="H26" s="200">
        <f>SUM(H27:H28)</f>
        <v>6685.2</v>
      </c>
    </row>
    <row r="27" spans="1:8" ht="36" x14ac:dyDescent="0.35">
      <c r="A27" s="343"/>
      <c r="B27" s="494" t="s">
        <v>55</v>
      </c>
      <c r="C27" s="191" t="s">
        <v>39</v>
      </c>
      <c r="D27" s="192" t="s">
        <v>45</v>
      </c>
      <c r="E27" s="192" t="s">
        <v>37</v>
      </c>
      <c r="F27" s="193" t="s">
        <v>289</v>
      </c>
      <c r="G27" s="28" t="s">
        <v>56</v>
      </c>
      <c r="H27" s="200">
        <f>'прил9 (ведом 23)'!M665</f>
        <v>98.7</v>
      </c>
    </row>
    <row r="28" spans="1:8" ht="18" x14ac:dyDescent="0.35">
      <c r="A28" s="343"/>
      <c r="B28" s="497" t="s">
        <v>120</v>
      </c>
      <c r="C28" s="191" t="s">
        <v>39</v>
      </c>
      <c r="D28" s="192" t="s">
        <v>45</v>
      </c>
      <c r="E28" s="192" t="s">
        <v>37</v>
      </c>
      <c r="F28" s="193" t="s">
        <v>289</v>
      </c>
      <c r="G28" s="28" t="s">
        <v>121</v>
      </c>
      <c r="H28" s="200">
        <f>'прил9 (ведом 23)'!M666</f>
        <v>6586.5</v>
      </c>
    </row>
    <row r="29" spans="1:8" ht="162" x14ac:dyDescent="0.35">
      <c r="A29" s="343"/>
      <c r="B29" s="494" t="s">
        <v>273</v>
      </c>
      <c r="C29" s="191" t="s">
        <v>39</v>
      </c>
      <c r="D29" s="192" t="s">
        <v>45</v>
      </c>
      <c r="E29" s="192" t="s">
        <v>37</v>
      </c>
      <c r="F29" s="193" t="s">
        <v>274</v>
      </c>
      <c r="G29" s="28"/>
      <c r="H29" s="200">
        <f>H30</f>
        <v>580.4</v>
      </c>
    </row>
    <row r="30" spans="1:8" ht="36" x14ac:dyDescent="0.35">
      <c r="A30" s="343"/>
      <c r="B30" s="494" t="s">
        <v>76</v>
      </c>
      <c r="C30" s="191" t="s">
        <v>39</v>
      </c>
      <c r="D30" s="192" t="s">
        <v>45</v>
      </c>
      <c r="E30" s="192" t="s">
        <v>37</v>
      </c>
      <c r="F30" s="193" t="s">
        <v>274</v>
      </c>
      <c r="G30" s="28" t="s">
        <v>77</v>
      </c>
      <c r="H30" s="200">
        <f>'прил9 (ведом 23)'!M498</f>
        <v>580.4</v>
      </c>
    </row>
    <row r="31" spans="1:8" ht="90" x14ac:dyDescent="0.35">
      <c r="A31" s="343"/>
      <c r="B31" s="494" t="s">
        <v>350</v>
      </c>
      <c r="C31" s="191" t="s">
        <v>39</v>
      </c>
      <c r="D31" s="192" t="s">
        <v>45</v>
      </c>
      <c r="E31" s="192" t="s">
        <v>37</v>
      </c>
      <c r="F31" s="193" t="s">
        <v>275</v>
      </c>
      <c r="G31" s="28"/>
      <c r="H31" s="200">
        <f>H32</f>
        <v>251582.4</v>
      </c>
    </row>
    <row r="32" spans="1:8" ht="36" x14ac:dyDescent="0.35">
      <c r="A32" s="343"/>
      <c r="B32" s="497" t="s">
        <v>76</v>
      </c>
      <c r="C32" s="191" t="s">
        <v>39</v>
      </c>
      <c r="D32" s="192" t="s">
        <v>45</v>
      </c>
      <c r="E32" s="192" t="s">
        <v>37</v>
      </c>
      <c r="F32" s="193" t="s">
        <v>275</v>
      </c>
      <c r="G32" s="28" t="s">
        <v>77</v>
      </c>
      <c r="H32" s="200">
        <f>'прил9 (ведом 23)'!M500</f>
        <v>251582.4</v>
      </c>
    </row>
    <row r="33" spans="1:8" ht="54" x14ac:dyDescent="0.35">
      <c r="A33" s="343"/>
      <c r="B33" s="566" t="s">
        <v>696</v>
      </c>
      <c r="C33" s="661" t="s">
        <v>39</v>
      </c>
      <c r="D33" s="662" t="s">
        <v>45</v>
      </c>
      <c r="E33" s="662" t="s">
        <v>37</v>
      </c>
      <c r="F33" s="663" t="s">
        <v>695</v>
      </c>
      <c r="G33" s="10"/>
      <c r="H33" s="200">
        <f>H34</f>
        <v>4901.7</v>
      </c>
    </row>
    <row r="34" spans="1:8" ht="36" x14ac:dyDescent="0.35">
      <c r="A34" s="343"/>
      <c r="B34" s="566" t="s">
        <v>76</v>
      </c>
      <c r="C34" s="661" t="s">
        <v>39</v>
      </c>
      <c r="D34" s="662" t="s">
        <v>45</v>
      </c>
      <c r="E34" s="662" t="s">
        <v>37</v>
      </c>
      <c r="F34" s="663" t="s">
        <v>695</v>
      </c>
      <c r="G34" s="10" t="s">
        <v>77</v>
      </c>
      <c r="H34" s="200">
        <f>'прил9 (ведом 23)'!M502</f>
        <v>4901.7</v>
      </c>
    </row>
    <row r="35" spans="1:8" ht="108" x14ac:dyDescent="0.35">
      <c r="A35" s="343"/>
      <c r="B35" s="496" t="s">
        <v>507</v>
      </c>
      <c r="C35" s="191" t="s">
        <v>39</v>
      </c>
      <c r="D35" s="192" t="s">
        <v>45</v>
      </c>
      <c r="E35" s="192" t="s">
        <v>37</v>
      </c>
      <c r="F35" s="193" t="s">
        <v>506</v>
      </c>
      <c r="G35" s="28"/>
      <c r="H35" s="200">
        <f>H36</f>
        <v>85084.400000000009</v>
      </c>
    </row>
    <row r="36" spans="1:8" ht="36" x14ac:dyDescent="0.35">
      <c r="A36" s="343"/>
      <c r="B36" s="496" t="s">
        <v>203</v>
      </c>
      <c r="C36" s="191" t="s">
        <v>39</v>
      </c>
      <c r="D36" s="192" t="s">
        <v>45</v>
      </c>
      <c r="E36" s="192" t="s">
        <v>37</v>
      </c>
      <c r="F36" s="193" t="s">
        <v>506</v>
      </c>
      <c r="G36" s="28" t="s">
        <v>204</v>
      </c>
      <c r="H36" s="200">
        <f>'прил9 (ведом 23)'!M438</f>
        <v>85084.400000000009</v>
      </c>
    </row>
    <row r="37" spans="1:8" ht="162" x14ac:dyDescent="0.35">
      <c r="A37" s="343"/>
      <c r="B37" s="498" t="s">
        <v>559</v>
      </c>
      <c r="C37" s="661" t="s">
        <v>39</v>
      </c>
      <c r="D37" s="662" t="s">
        <v>45</v>
      </c>
      <c r="E37" s="662" t="s">
        <v>37</v>
      </c>
      <c r="F37" s="663" t="s">
        <v>560</v>
      </c>
      <c r="G37" s="10"/>
      <c r="H37" s="200">
        <f>H38</f>
        <v>1469.3</v>
      </c>
    </row>
    <row r="38" spans="1:8" ht="36" x14ac:dyDescent="0.35">
      <c r="A38" s="343"/>
      <c r="B38" s="498" t="s">
        <v>76</v>
      </c>
      <c r="C38" s="661" t="s">
        <v>39</v>
      </c>
      <c r="D38" s="662" t="s">
        <v>45</v>
      </c>
      <c r="E38" s="662" t="s">
        <v>37</v>
      </c>
      <c r="F38" s="663" t="s">
        <v>560</v>
      </c>
      <c r="G38" s="10" t="s">
        <v>77</v>
      </c>
      <c r="H38" s="200">
        <f>'прил9 (ведом 23)'!M504</f>
        <v>1469.3</v>
      </c>
    </row>
    <row r="39" spans="1:8" ht="126" x14ac:dyDescent="0.35">
      <c r="A39" s="343"/>
      <c r="B39" s="498" t="s">
        <v>753</v>
      </c>
      <c r="C39" s="661" t="s">
        <v>39</v>
      </c>
      <c r="D39" s="662" t="s">
        <v>45</v>
      </c>
      <c r="E39" s="662" t="s">
        <v>37</v>
      </c>
      <c r="F39" s="663" t="s">
        <v>752</v>
      </c>
      <c r="G39" s="10"/>
      <c r="H39" s="200">
        <f>H40</f>
        <v>8965.7000000000007</v>
      </c>
    </row>
    <row r="40" spans="1:8" ht="36" x14ac:dyDescent="0.35">
      <c r="A40" s="343"/>
      <c r="B40" s="498" t="s">
        <v>76</v>
      </c>
      <c r="C40" s="661" t="s">
        <v>39</v>
      </c>
      <c r="D40" s="662" t="s">
        <v>45</v>
      </c>
      <c r="E40" s="662" t="s">
        <v>37</v>
      </c>
      <c r="F40" s="663" t="s">
        <v>752</v>
      </c>
      <c r="G40" s="10" t="s">
        <v>77</v>
      </c>
      <c r="H40" s="200">
        <f>'прил9 (ведом 23)'!M506</f>
        <v>8965.7000000000007</v>
      </c>
    </row>
    <row r="41" spans="1:8" ht="18" x14ac:dyDescent="0.35">
      <c r="A41" s="343"/>
      <c r="B41" s="494" t="s">
        <v>277</v>
      </c>
      <c r="C41" s="191" t="s">
        <v>39</v>
      </c>
      <c r="D41" s="192" t="s">
        <v>45</v>
      </c>
      <c r="E41" s="192" t="s">
        <v>39</v>
      </c>
      <c r="F41" s="193" t="s">
        <v>44</v>
      </c>
      <c r="G41" s="28"/>
      <c r="H41" s="200">
        <f>H50+H53+H63+H67+H71+H42+H47+H79+H60+H58+H76+H86+H84+H82+H74</f>
        <v>916579.78830000001</v>
      </c>
    </row>
    <row r="42" spans="1:8" ht="36" x14ac:dyDescent="0.35">
      <c r="A42" s="343"/>
      <c r="B42" s="494" t="s">
        <v>466</v>
      </c>
      <c r="C42" s="191" t="s">
        <v>39</v>
      </c>
      <c r="D42" s="192" t="s">
        <v>45</v>
      </c>
      <c r="E42" s="192" t="s">
        <v>39</v>
      </c>
      <c r="F42" s="193" t="s">
        <v>91</v>
      </c>
      <c r="G42" s="28"/>
      <c r="H42" s="200">
        <f>SUM(H43:H46)</f>
        <v>84435.939999999988</v>
      </c>
    </row>
    <row r="43" spans="1:8" ht="90" x14ac:dyDescent="0.35">
      <c r="A43" s="343"/>
      <c r="B43" s="495" t="s">
        <v>49</v>
      </c>
      <c r="C43" s="191" t="s">
        <v>39</v>
      </c>
      <c r="D43" s="192" t="s">
        <v>45</v>
      </c>
      <c r="E43" s="192" t="s">
        <v>39</v>
      </c>
      <c r="F43" s="193" t="s">
        <v>91</v>
      </c>
      <c r="G43" s="28" t="s">
        <v>50</v>
      </c>
      <c r="H43" s="200">
        <f>'прил9 (ведом 23)'!M526</f>
        <v>361.1</v>
      </c>
    </row>
    <row r="44" spans="1:8" ht="36" x14ac:dyDescent="0.35">
      <c r="A44" s="343"/>
      <c r="B44" s="495" t="s">
        <v>55</v>
      </c>
      <c r="C44" s="191" t="s">
        <v>39</v>
      </c>
      <c r="D44" s="192" t="s">
        <v>45</v>
      </c>
      <c r="E44" s="192" t="s">
        <v>39</v>
      </c>
      <c r="F44" s="193" t="s">
        <v>91</v>
      </c>
      <c r="G44" s="28" t="s">
        <v>56</v>
      </c>
      <c r="H44" s="200">
        <f>'прил9 (ведом 23)'!M527</f>
        <v>8812.84</v>
      </c>
    </row>
    <row r="45" spans="1:8" ht="36" x14ac:dyDescent="0.35">
      <c r="A45" s="343"/>
      <c r="B45" s="494" t="s">
        <v>76</v>
      </c>
      <c r="C45" s="191" t="s">
        <v>39</v>
      </c>
      <c r="D45" s="192" t="s">
        <v>45</v>
      </c>
      <c r="E45" s="192" t="s">
        <v>39</v>
      </c>
      <c r="F45" s="193" t="s">
        <v>91</v>
      </c>
      <c r="G45" s="28" t="s">
        <v>77</v>
      </c>
      <c r="H45" s="200">
        <f>'прил9 (ведом 23)'!M528</f>
        <v>74763.499999999985</v>
      </c>
    </row>
    <row r="46" spans="1:8" ht="18" x14ac:dyDescent="0.35">
      <c r="A46" s="343"/>
      <c r="B46" s="494" t="s">
        <v>57</v>
      </c>
      <c r="C46" s="191" t="s">
        <v>39</v>
      </c>
      <c r="D46" s="192" t="s">
        <v>45</v>
      </c>
      <c r="E46" s="192" t="s">
        <v>39</v>
      </c>
      <c r="F46" s="193" t="s">
        <v>91</v>
      </c>
      <c r="G46" s="28" t="s">
        <v>58</v>
      </c>
      <c r="H46" s="200">
        <f>'прил9 (ведом 23)'!M529</f>
        <v>498.5</v>
      </c>
    </row>
    <row r="47" spans="1:8" ht="18" x14ac:dyDescent="0.35">
      <c r="A47" s="343"/>
      <c r="B47" s="495" t="s">
        <v>467</v>
      </c>
      <c r="C47" s="191" t="s">
        <v>39</v>
      </c>
      <c r="D47" s="192" t="s">
        <v>45</v>
      </c>
      <c r="E47" s="192" t="s">
        <v>39</v>
      </c>
      <c r="F47" s="193" t="s">
        <v>384</v>
      </c>
      <c r="G47" s="28"/>
      <c r="H47" s="200">
        <f>SUM(H48:H49)</f>
        <v>23390.248299999996</v>
      </c>
    </row>
    <row r="48" spans="1:8" ht="36" x14ac:dyDescent="0.35">
      <c r="A48" s="343"/>
      <c r="B48" s="495" t="s">
        <v>55</v>
      </c>
      <c r="C48" s="191" t="s">
        <v>39</v>
      </c>
      <c r="D48" s="192" t="s">
        <v>45</v>
      </c>
      <c r="E48" s="192" t="s">
        <v>39</v>
      </c>
      <c r="F48" s="193" t="s">
        <v>384</v>
      </c>
      <c r="G48" s="28" t="s">
        <v>56</v>
      </c>
      <c r="H48" s="200">
        <f>'прил9 (ведом 23)'!M531</f>
        <v>4677.8733000000002</v>
      </c>
    </row>
    <row r="49" spans="1:8" ht="36" x14ac:dyDescent="0.35">
      <c r="A49" s="343"/>
      <c r="B49" s="494" t="s">
        <v>76</v>
      </c>
      <c r="C49" s="191" t="s">
        <v>39</v>
      </c>
      <c r="D49" s="192" t="s">
        <v>45</v>
      </c>
      <c r="E49" s="192" t="s">
        <v>39</v>
      </c>
      <c r="F49" s="193" t="s">
        <v>384</v>
      </c>
      <c r="G49" s="28" t="s">
        <v>77</v>
      </c>
      <c r="H49" s="200">
        <f>'прил9 (ведом 23)'!M532</f>
        <v>18712.374999999996</v>
      </c>
    </row>
    <row r="50" spans="1:8" ht="36" x14ac:dyDescent="0.35">
      <c r="A50" s="343"/>
      <c r="B50" s="494" t="s">
        <v>207</v>
      </c>
      <c r="C50" s="191" t="s">
        <v>39</v>
      </c>
      <c r="D50" s="192" t="s">
        <v>45</v>
      </c>
      <c r="E50" s="192" t="s">
        <v>39</v>
      </c>
      <c r="F50" s="193" t="s">
        <v>278</v>
      </c>
      <c r="G50" s="28"/>
      <c r="H50" s="200">
        <f>SUM(H51:H52)</f>
        <v>31093.599999999999</v>
      </c>
    </row>
    <row r="51" spans="1:8" ht="36" x14ac:dyDescent="0.35">
      <c r="A51" s="343"/>
      <c r="B51" s="495" t="s">
        <v>55</v>
      </c>
      <c r="C51" s="191" t="s">
        <v>39</v>
      </c>
      <c r="D51" s="192" t="s">
        <v>45</v>
      </c>
      <c r="E51" s="192" t="s">
        <v>39</v>
      </c>
      <c r="F51" s="193" t="s">
        <v>278</v>
      </c>
      <c r="G51" s="28" t="s">
        <v>56</v>
      </c>
      <c r="H51" s="200">
        <f>'прил9 (ведом 23)'!M534</f>
        <v>4381.8999999999996</v>
      </c>
    </row>
    <row r="52" spans="1:8" ht="36" x14ac:dyDescent="0.35">
      <c r="A52" s="343"/>
      <c r="B52" s="494" t="s">
        <v>76</v>
      </c>
      <c r="C52" s="191" t="s">
        <v>39</v>
      </c>
      <c r="D52" s="192" t="s">
        <v>45</v>
      </c>
      <c r="E52" s="192" t="s">
        <v>39</v>
      </c>
      <c r="F52" s="193" t="s">
        <v>278</v>
      </c>
      <c r="G52" s="28" t="s">
        <v>77</v>
      </c>
      <c r="H52" s="200">
        <f>'прил9 (ведом 23)'!M535</f>
        <v>26711.699999999997</v>
      </c>
    </row>
    <row r="53" spans="1:8" ht="36" x14ac:dyDescent="0.35">
      <c r="A53" s="343"/>
      <c r="B53" s="494" t="s">
        <v>208</v>
      </c>
      <c r="C53" s="191" t="s">
        <v>39</v>
      </c>
      <c r="D53" s="192" t="s">
        <v>45</v>
      </c>
      <c r="E53" s="192" t="s">
        <v>39</v>
      </c>
      <c r="F53" s="193" t="s">
        <v>279</v>
      </c>
      <c r="G53" s="28"/>
      <c r="H53" s="200">
        <f>SUM(H54:H57)</f>
        <v>69959</v>
      </c>
    </row>
    <row r="54" spans="1:8" ht="90" x14ac:dyDescent="0.35">
      <c r="A54" s="343"/>
      <c r="B54" s="498" t="s">
        <v>49</v>
      </c>
      <c r="C54" s="191" t="s">
        <v>39</v>
      </c>
      <c r="D54" s="192" t="s">
        <v>45</v>
      </c>
      <c r="E54" s="192" t="s">
        <v>39</v>
      </c>
      <c r="F54" s="193" t="s">
        <v>279</v>
      </c>
      <c r="G54" s="28" t="s">
        <v>50</v>
      </c>
      <c r="H54" s="200">
        <f>'прил9 (ведом 23)'!M537</f>
        <v>93.8</v>
      </c>
    </row>
    <row r="55" spans="1:8" ht="36" x14ac:dyDescent="0.35">
      <c r="A55" s="343"/>
      <c r="B55" s="495" t="s">
        <v>55</v>
      </c>
      <c r="C55" s="191" t="s">
        <v>39</v>
      </c>
      <c r="D55" s="192" t="s">
        <v>45</v>
      </c>
      <c r="E55" s="192" t="s">
        <v>39</v>
      </c>
      <c r="F55" s="193" t="s">
        <v>279</v>
      </c>
      <c r="G55" s="28" t="s">
        <v>56</v>
      </c>
      <c r="H55" s="200">
        <f>'прил9 (ведом 23)'!M538</f>
        <v>37265.599999999999</v>
      </c>
    </row>
    <row r="56" spans="1:8" ht="36" x14ac:dyDescent="0.35">
      <c r="A56" s="343"/>
      <c r="B56" s="496" t="s">
        <v>203</v>
      </c>
      <c r="C56" s="191" t="s">
        <v>39</v>
      </c>
      <c r="D56" s="192" t="s">
        <v>45</v>
      </c>
      <c r="E56" s="192" t="s">
        <v>39</v>
      </c>
      <c r="F56" s="193" t="s">
        <v>279</v>
      </c>
      <c r="G56" s="28" t="s">
        <v>204</v>
      </c>
      <c r="H56" s="200">
        <f>'прил9 (ведом 23)'!M444+'прил9 (ведом 23)'!M539</f>
        <v>1201.0999999999997</v>
      </c>
    </row>
    <row r="57" spans="1:8" ht="36" x14ac:dyDescent="0.35">
      <c r="A57" s="343"/>
      <c r="B57" s="494" t="s">
        <v>76</v>
      </c>
      <c r="C57" s="191" t="s">
        <v>39</v>
      </c>
      <c r="D57" s="192" t="s">
        <v>45</v>
      </c>
      <c r="E57" s="192" t="s">
        <v>39</v>
      </c>
      <c r="F57" s="193" t="s">
        <v>279</v>
      </c>
      <c r="G57" s="28" t="s">
        <v>77</v>
      </c>
      <c r="H57" s="200">
        <f>'прил9 (ведом 23)'!M540</f>
        <v>31398.5</v>
      </c>
    </row>
    <row r="58" spans="1:8" ht="54" x14ac:dyDescent="0.35">
      <c r="A58" s="343"/>
      <c r="B58" s="495" t="s">
        <v>524</v>
      </c>
      <c r="C58" s="191" t="s">
        <v>39</v>
      </c>
      <c r="D58" s="192" t="s">
        <v>45</v>
      </c>
      <c r="E58" s="192" t="s">
        <v>39</v>
      </c>
      <c r="F58" s="193" t="s">
        <v>525</v>
      </c>
      <c r="G58" s="28"/>
      <c r="H58" s="194">
        <f>H59</f>
        <v>30</v>
      </c>
    </row>
    <row r="59" spans="1:8" ht="36" x14ac:dyDescent="0.35">
      <c r="A59" s="343"/>
      <c r="B59" s="495" t="s">
        <v>76</v>
      </c>
      <c r="C59" s="191" t="s">
        <v>39</v>
      </c>
      <c r="D59" s="192" t="s">
        <v>45</v>
      </c>
      <c r="E59" s="192" t="s">
        <v>39</v>
      </c>
      <c r="F59" s="193" t="s">
        <v>525</v>
      </c>
      <c r="G59" s="28" t="s">
        <v>77</v>
      </c>
      <c r="H59" s="194">
        <f>'прил9 (ведом 23)'!M542</f>
        <v>30</v>
      </c>
    </row>
    <row r="60" spans="1:8" ht="234" x14ac:dyDescent="0.35">
      <c r="A60" s="343"/>
      <c r="B60" s="495" t="s">
        <v>607</v>
      </c>
      <c r="C60" s="191" t="s">
        <v>39</v>
      </c>
      <c r="D60" s="192" t="s">
        <v>45</v>
      </c>
      <c r="E60" s="192" t="s">
        <v>39</v>
      </c>
      <c r="F60" s="193" t="s">
        <v>526</v>
      </c>
      <c r="G60" s="28"/>
      <c r="H60" s="200">
        <f>H61+H62</f>
        <v>36976.799999999996</v>
      </c>
    </row>
    <row r="61" spans="1:8" ht="90" x14ac:dyDescent="0.35">
      <c r="A61" s="343"/>
      <c r="B61" s="495" t="s">
        <v>49</v>
      </c>
      <c r="C61" s="191" t="s">
        <v>39</v>
      </c>
      <c r="D61" s="192" t="s">
        <v>45</v>
      </c>
      <c r="E61" s="192" t="s">
        <v>39</v>
      </c>
      <c r="F61" s="193" t="s">
        <v>526</v>
      </c>
      <c r="G61" s="28" t="s">
        <v>50</v>
      </c>
      <c r="H61" s="200">
        <f>'прил9 (ведом 23)'!M544</f>
        <v>2968.5</v>
      </c>
    </row>
    <row r="62" spans="1:8" ht="36" x14ac:dyDescent="0.35">
      <c r="A62" s="343"/>
      <c r="B62" s="495" t="s">
        <v>76</v>
      </c>
      <c r="C62" s="191" t="s">
        <v>39</v>
      </c>
      <c r="D62" s="192" t="s">
        <v>45</v>
      </c>
      <c r="E62" s="192" t="s">
        <v>39</v>
      </c>
      <c r="F62" s="193" t="s">
        <v>526</v>
      </c>
      <c r="G62" s="28" t="s">
        <v>77</v>
      </c>
      <c r="H62" s="200">
        <f>'прил9 (ведом 23)'!M545</f>
        <v>34008.299999999996</v>
      </c>
    </row>
    <row r="63" spans="1:8" ht="162" x14ac:dyDescent="0.35">
      <c r="A63" s="343"/>
      <c r="B63" s="494" t="s">
        <v>273</v>
      </c>
      <c r="C63" s="191" t="s">
        <v>39</v>
      </c>
      <c r="D63" s="192" t="s">
        <v>45</v>
      </c>
      <c r="E63" s="192" t="s">
        <v>39</v>
      </c>
      <c r="F63" s="193" t="s">
        <v>274</v>
      </c>
      <c r="G63" s="28"/>
      <c r="H63" s="200">
        <f>SUM(H64:H66)</f>
        <v>1767.1999999999998</v>
      </c>
    </row>
    <row r="64" spans="1:8" ht="90" x14ac:dyDescent="0.35">
      <c r="A64" s="343"/>
      <c r="B64" s="495" t="s">
        <v>49</v>
      </c>
      <c r="C64" s="191" t="s">
        <v>39</v>
      </c>
      <c r="D64" s="192" t="s">
        <v>45</v>
      </c>
      <c r="E64" s="192" t="s">
        <v>39</v>
      </c>
      <c r="F64" s="193" t="s">
        <v>274</v>
      </c>
      <c r="G64" s="28" t="s">
        <v>50</v>
      </c>
      <c r="H64" s="200">
        <f>'прил9 (ведом 23)'!M547</f>
        <v>56.9</v>
      </c>
    </row>
    <row r="65" spans="1:8" ht="18" x14ac:dyDescent="0.35">
      <c r="A65" s="343"/>
      <c r="B65" s="495" t="s">
        <v>120</v>
      </c>
      <c r="C65" s="191" t="s">
        <v>39</v>
      </c>
      <c r="D65" s="192" t="s">
        <v>45</v>
      </c>
      <c r="E65" s="192" t="s">
        <v>39</v>
      </c>
      <c r="F65" s="193" t="s">
        <v>274</v>
      </c>
      <c r="G65" s="28" t="s">
        <v>121</v>
      </c>
      <c r="H65" s="200">
        <f>'прил9 (ведом 23)'!M548</f>
        <v>4.3</v>
      </c>
    </row>
    <row r="66" spans="1:8" ht="36" x14ac:dyDescent="0.35">
      <c r="A66" s="343"/>
      <c r="B66" s="494" t="s">
        <v>76</v>
      </c>
      <c r="C66" s="191" t="s">
        <v>39</v>
      </c>
      <c r="D66" s="192" t="s">
        <v>45</v>
      </c>
      <c r="E66" s="192" t="s">
        <v>39</v>
      </c>
      <c r="F66" s="193" t="s">
        <v>274</v>
      </c>
      <c r="G66" s="28" t="s">
        <v>77</v>
      </c>
      <c r="H66" s="200">
        <f>'прил9 (ведом 23)'!M549</f>
        <v>1705.9999999999998</v>
      </c>
    </row>
    <row r="67" spans="1:8" ht="90" x14ac:dyDescent="0.35">
      <c r="A67" s="343"/>
      <c r="B67" s="494" t="s">
        <v>350</v>
      </c>
      <c r="C67" s="191" t="s">
        <v>39</v>
      </c>
      <c r="D67" s="192" t="s">
        <v>45</v>
      </c>
      <c r="E67" s="192" t="s">
        <v>39</v>
      </c>
      <c r="F67" s="193" t="s">
        <v>275</v>
      </c>
      <c r="G67" s="28"/>
      <c r="H67" s="200">
        <f>SUM(H68:H70)</f>
        <v>488710.7</v>
      </c>
    </row>
    <row r="68" spans="1:8" ht="90" x14ac:dyDescent="0.35">
      <c r="A68" s="343"/>
      <c r="B68" s="494" t="s">
        <v>49</v>
      </c>
      <c r="C68" s="191" t="s">
        <v>39</v>
      </c>
      <c r="D68" s="192" t="s">
        <v>45</v>
      </c>
      <c r="E68" s="192" t="s">
        <v>39</v>
      </c>
      <c r="F68" s="193" t="s">
        <v>275</v>
      </c>
      <c r="G68" s="28" t="s">
        <v>50</v>
      </c>
      <c r="H68" s="200">
        <f>'прил9 (ведом 23)'!M551</f>
        <v>30582.3</v>
      </c>
    </row>
    <row r="69" spans="1:8" ht="36" x14ac:dyDescent="0.35">
      <c r="A69" s="343"/>
      <c r="B69" s="494" t="s">
        <v>55</v>
      </c>
      <c r="C69" s="191" t="s">
        <v>39</v>
      </c>
      <c r="D69" s="192" t="s">
        <v>45</v>
      </c>
      <c r="E69" s="192" t="s">
        <v>39</v>
      </c>
      <c r="F69" s="193" t="s">
        <v>275</v>
      </c>
      <c r="G69" s="28" t="s">
        <v>56</v>
      </c>
      <c r="H69" s="200">
        <f>'прил9 (ведом 23)'!M552</f>
        <v>2385.8000000000002</v>
      </c>
    </row>
    <row r="70" spans="1:8" ht="36" x14ac:dyDescent="0.35">
      <c r="A70" s="343"/>
      <c r="B70" s="494" t="s">
        <v>76</v>
      </c>
      <c r="C70" s="191" t="s">
        <v>39</v>
      </c>
      <c r="D70" s="192" t="s">
        <v>45</v>
      </c>
      <c r="E70" s="192" t="s">
        <v>39</v>
      </c>
      <c r="F70" s="193" t="s">
        <v>275</v>
      </c>
      <c r="G70" s="28" t="s">
        <v>77</v>
      </c>
      <c r="H70" s="200">
        <f>'прил9 (ведом 23)'!M553</f>
        <v>455742.60000000003</v>
      </c>
    </row>
    <row r="71" spans="1:8" ht="72" x14ac:dyDescent="0.35">
      <c r="A71" s="343"/>
      <c r="B71" s="494" t="s">
        <v>209</v>
      </c>
      <c r="C71" s="658" t="s">
        <v>39</v>
      </c>
      <c r="D71" s="658" t="s">
        <v>45</v>
      </c>
      <c r="E71" s="658" t="s">
        <v>39</v>
      </c>
      <c r="F71" s="659" t="s">
        <v>280</v>
      </c>
      <c r="G71" s="222"/>
      <c r="H71" s="200">
        <f>SUM(H72:H73)</f>
        <v>2182.0999999999995</v>
      </c>
    </row>
    <row r="72" spans="1:8" ht="36" x14ac:dyDescent="0.35">
      <c r="A72" s="343"/>
      <c r="B72" s="495" t="s">
        <v>55</v>
      </c>
      <c r="C72" s="191" t="s">
        <v>39</v>
      </c>
      <c r="D72" s="192" t="s">
        <v>45</v>
      </c>
      <c r="E72" s="192" t="s">
        <v>39</v>
      </c>
      <c r="F72" s="193" t="s">
        <v>280</v>
      </c>
      <c r="G72" s="28" t="s">
        <v>56</v>
      </c>
      <c r="H72" s="200">
        <f>'прил9 (ведом 23)'!M555</f>
        <v>87.699999999999989</v>
      </c>
    </row>
    <row r="73" spans="1:8" ht="36" x14ac:dyDescent="0.35">
      <c r="A73" s="343"/>
      <c r="B73" s="494" t="s">
        <v>76</v>
      </c>
      <c r="C73" s="658" t="s">
        <v>39</v>
      </c>
      <c r="D73" s="658" t="s">
        <v>45</v>
      </c>
      <c r="E73" s="658" t="s">
        <v>39</v>
      </c>
      <c r="F73" s="659" t="s">
        <v>280</v>
      </c>
      <c r="G73" s="222" t="s">
        <v>77</v>
      </c>
      <c r="H73" s="200">
        <f>'прил9 (ведом 23)'!M556</f>
        <v>2094.3999999999996</v>
      </c>
    </row>
    <row r="74" spans="1:8" ht="54" x14ac:dyDescent="0.35">
      <c r="A74" s="343"/>
      <c r="B74" s="498" t="s">
        <v>696</v>
      </c>
      <c r="C74" s="661" t="s">
        <v>39</v>
      </c>
      <c r="D74" s="662" t="s">
        <v>45</v>
      </c>
      <c r="E74" s="662" t="s">
        <v>39</v>
      </c>
      <c r="F74" s="663" t="s">
        <v>695</v>
      </c>
      <c r="G74" s="10"/>
      <c r="H74" s="200">
        <f>H75</f>
        <v>22664.799999999999</v>
      </c>
    </row>
    <row r="75" spans="1:8" ht="36" x14ac:dyDescent="0.35">
      <c r="A75" s="343"/>
      <c r="B75" s="498" t="s">
        <v>76</v>
      </c>
      <c r="C75" s="661" t="s">
        <v>39</v>
      </c>
      <c r="D75" s="662" t="s">
        <v>45</v>
      </c>
      <c r="E75" s="662" t="s">
        <v>39</v>
      </c>
      <c r="F75" s="663" t="s">
        <v>695</v>
      </c>
      <c r="G75" s="10" t="s">
        <v>77</v>
      </c>
      <c r="H75" s="200">
        <f>'прил9 (ведом 23)'!M558</f>
        <v>22664.799999999999</v>
      </c>
    </row>
    <row r="76" spans="1:8" ht="126" x14ac:dyDescent="0.35">
      <c r="A76" s="343"/>
      <c r="B76" s="495" t="s">
        <v>558</v>
      </c>
      <c r="C76" s="191" t="s">
        <v>39</v>
      </c>
      <c r="D76" s="192" t="s">
        <v>45</v>
      </c>
      <c r="E76" s="192" t="s">
        <v>39</v>
      </c>
      <c r="F76" s="193" t="s">
        <v>557</v>
      </c>
      <c r="G76" s="222"/>
      <c r="H76" s="200">
        <f>SUM(H77:H78)</f>
        <v>1272.1999999999998</v>
      </c>
    </row>
    <row r="77" spans="1:8" ht="36" x14ac:dyDescent="0.35">
      <c r="A77" s="343"/>
      <c r="B77" s="495" t="s">
        <v>55</v>
      </c>
      <c r="C77" s="191" t="s">
        <v>39</v>
      </c>
      <c r="D77" s="192" t="s">
        <v>45</v>
      </c>
      <c r="E77" s="192" t="s">
        <v>39</v>
      </c>
      <c r="F77" s="193" t="s">
        <v>557</v>
      </c>
      <c r="G77" s="28" t="s">
        <v>56</v>
      </c>
      <c r="H77" s="200">
        <f>'прил9 (ведом 23)'!M560</f>
        <v>24.900000000000006</v>
      </c>
    </row>
    <row r="78" spans="1:8" ht="36" x14ac:dyDescent="0.35">
      <c r="A78" s="343"/>
      <c r="B78" s="495" t="s">
        <v>76</v>
      </c>
      <c r="C78" s="191" t="s">
        <v>39</v>
      </c>
      <c r="D78" s="192" t="s">
        <v>45</v>
      </c>
      <c r="E78" s="192" t="s">
        <v>39</v>
      </c>
      <c r="F78" s="193" t="s">
        <v>557</v>
      </c>
      <c r="G78" s="28" t="s">
        <v>77</v>
      </c>
      <c r="H78" s="200">
        <f>'прил9 (ведом 23)'!M561</f>
        <v>1247.2999999999997</v>
      </c>
    </row>
    <row r="79" spans="1:8" ht="72" x14ac:dyDescent="0.35">
      <c r="A79" s="343"/>
      <c r="B79" s="495" t="s">
        <v>458</v>
      </c>
      <c r="C79" s="191" t="s">
        <v>39</v>
      </c>
      <c r="D79" s="192" t="s">
        <v>45</v>
      </c>
      <c r="E79" s="192" t="s">
        <v>39</v>
      </c>
      <c r="F79" s="193" t="s">
        <v>457</v>
      </c>
      <c r="G79" s="28"/>
      <c r="H79" s="200">
        <f>H80+H81</f>
        <v>50188.899999999994</v>
      </c>
    </row>
    <row r="80" spans="1:8" ht="36" x14ac:dyDescent="0.35">
      <c r="A80" s="343"/>
      <c r="B80" s="495" t="s">
        <v>55</v>
      </c>
      <c r="C80" s="191" t="s">
        <v>39</v>
      </c>
      <c r="D80" s="192" t="s">
        <v>45</v>
      </c>
      <c r="E80" s="192" t="s">
        <v>39</v>
      </c>
      <c r="F80" s="193" t="s">
        <v>457</v>
      </c>
      <c r="G80" s="28" t="s">
        <v>56</v>
      </c>
      <c r="H80" s="200">
        <f>'прил9 (ведом 23)'!M563</f>
        <v>2004.5</v>
      </c>
    </row>
    <row r="81" spans="1:8" ht="36" x14ac:dyDescent="0.35">
      <c r="A81" s="343"/>
      <c r="B81" s="495" t="s">
        <v>76</v>
      </c>
      <c r="C81" s="191" t="s">
        <v>39</v>
      </c>
      <c r="D81" s="192" t="s">
        <v>45</v>
      </c>
      <c r="E81" s="192" t="s">
        <v>39</v>
      </c>
      <c r="F81" s="193" t="s">
        <v>457</v>
      </c>
      <c r="G81" s="28" t="s">
        <v>77</v>
      </c>
      <c r="H81" s="200">
        <f>'прил9 (ведом 23)'!M564</f>
        <v>48184.399999999994</v>
      </c>
    </row>
    <row r="82" spans="1:8" ht="36" x14ac:dyDescent="0.35">
      <c r="A82" s="343"/>
      <c r="B82" s="498" t="s">
        <v>656</v>
      </c>
      <c r="C82" s="661" t="s">
        <v>39</v>
      </c>
      <c r="D82" s="662" t="s">
        <v>45</v>
      </c>
      <c r="E82" s="662" t="s">
        <v>39</v>
      </c>
      <c r="F82" s="663" t="s">
        <v>664</v>
      </c>
      <c r="G82" s="10"/>
      <c r="H82" s="200">
        <f>H83</f>
        <v>40386.799999999996</v>
      </c>
    </row>
    <row r="83" spans="1:8" ht="36" x14ac:dyDescent="0.35">
      <c r="A83" s="343"/>
      <c r="B83" s="498" t="s">
        <v>76</v>
      </c>
      <c r="C83" s="661" t="s">
        <v>39</v>
      </c>
      <c r="D83" s="662" t="s">
        <v>45</v>
      </c>
      <c r="E83" s="662" t="s">
        <v>39</v>
      </c>
      <c r="F83" s="663" t="s">
        <v>664</v>
      </c>
      <c r="G83" s="10" t="s">
        <v>77</v>
      </c>
      <c r="H83" s="200">
        <f>'прил9 (ведом 23)'!M566</f>
        <v>40386.799999999996</v>
      </c>
    </row>
    <row r="84" spans="1:8" ht="108" x14ac:dyDescent="0.35">
      <c r="A84" s="343"/>
      <c r="B84" s="571" t="s">
        <v>507</v>
      </c>
      <c r="C84" s="374" t="s">
        <v>39</v>
      </c>
      <c r="D84" s="375" t="s">
        <v>45</v>
      </c>
      <c r="E84" s="375" t="s">
        <v>39</v>
      </c>
      <c r="F84" s="376" t="s">
        <v>506</v>
      </c>
      <c r="G84" s="427"/>
      <c r="H84" s="200">
        <f>H85</f>
        <v>47702</v>
      </c>
    </row>
    <row r="85" spans="1:8" ht="36" x14ac:dyDescent="0.35">
      <c r="A85" s="343"/>
      <c r="B85" s="571" t="s">
        <v>203</v>
      </c>
      <c r="C85" s="579" t="s">
        <v>39</v>
      </c>
      <c r="D85" s="580" t="s">
        <v>45</v>
      </c>
      <c r="E85" s="580" t="s">
        <v>39</v>
      </c>
      <c r="F85" s="581" t="s">
        <v>506</v>
      </c>
      <c r="G85" s="427" t="s">
        <v>204</v>
      </c>
      <c r="H85" s="200">
        <f>'прил9 (ведом 23)'!M446</f>
        <v>47702</v>
      </c>
    </row>
    <row r="86" spans="1:8" ht="72" x14ac:dyDescent="0.35">
      <c r="A86" s="343"/>
      <c r="B86" s="495" t="s">
        <v>555</v>
      </c>
      <c r="C86" s="191" t="s">
        <v>39</v>
      </c>
      <c r="D86" s="192" t="s">
        <v>45</v>
      </c>
      <c r="E86" s="192" t="s">
        <v>39</v>
      </c>
      <c r="F86" s="193" t="s">
        <v>554</v>
      </c>
      <c r="G86" s="28"/>
      <c r="H86" s="200">
        <f>H87+H88+H89</f>
        <v>15819.5</v>
      </c>
    </row>
    <row r="87" spans="1:8" ht="36" x14ac:dyDescent="0.35">
      <c r="A87" s="343"/>
      <c r="B87" s="495" t="s">
        <v>55</v>
      </c>
      <c r="C87" s="191" t="s">
        <v>39</v>
      </c>
      <c r="D87" s="192" t="s">
        <v>45</v>
      </c>
      <c r="E87" s="192" t="s">
        <v>39</v>
      </c>
      <c r="F87" s="193" t="s">
        <v>554</v>
      </c>
      <c r="G87" s="28" t="s">
        <v>56</v>
      </c>
      <c r="H87" s="200">
        <f>'прил9 (ведом 23)'!M568</f>
        <v>199.39999999999998</v>
      </c>
    </row>
    <row r="88" spans="1:8" ht="18" x14ac:dyDescent="0.35">
      <c r="A88" s="343"/>
      <c r="B88" s="495" t="s">
        <v>120</v>
      </c>
      <c r="C88" s="191" t="s">
        <v>39</v>
      </c>
      <c r="D88" s="192" t="s">
        <v>45</v>
      </c>
      <c r="E88" s="192" t="s">
        <v>39</v>
      </c>
      <c r="F88" s="193" t="s">
        <v>554</v>
      </c>
      <c r="G88" s="28" t="s">
        <v>121</v>
      </c>
      <c r="H88" s="200">
        <f>'прил9 (ведом 23)'!M569</f>
        <v>140.9</v>
      </c>
    </row>
    <row r="89" spans="1:8" ht="36" x14ac:dyDescent="0.35">
      <c r="A89" s="343"/>
      <c r="B89" s="495" t="s">
        <v>76</v>
      </c>
      <c r="C89" s="191" t="s">
        <v>39</v>
      </c>
      <c r="D89" s="192" t="s">
        <v>45</v>
      </c>
      <c r="E89" s="192" t="s">
        <v>39</v>
      </c>
      <c r="F89" s="193" t="s">
        <v>554</v>
      </c>
      <c r="G89" s="28" t="s">
        <v>77</v>
      </c>
      <c r="H89" s="200">
        <f>'прил9 (ведом 23)'!M570</f>
        <v>15479.2</v>
      </c>
    </row>
    <row r="90" spans="1:8" ht="36" x14ac:dyDescent="0.35">
      <c r="A90" s="343"/>
      <c r="B90" s="498" t="s">
        <v>663</v>
      </c>
      <c r="C90" s="661" t="s">
        <v>39</v>
      </c>
      <c r="D90" s="662" t="s">
        <v>45</v>
      </c>
      <c r="E90" s="662" t="s">
        <v>657</v>
      </c>
      <c r="F90" s="663" t="s">
        <v>44</v>
      </c>
      <c r="G90" s="10"/>
      <c r="H90" s="200">
        <f>H91+H94</f>
        <v>5656.9</v>
      </c>
    </row>
    <row r="91" spans="1:8" ht="72" x14ac:dyDescent="0.35">
      <c r="A91" s="343"/>
      <c r="B91" s="498" t="s">
        <v>676</v>
      </c>
      <c r="C91" s="661" t="s">
        <v>39</v>
      </c>
      <c r="D91" s="662" t="s">
        <v>45</v>
      </c>
      <c r="E91" s="662" t="s">
        <v>657</v>
      </c>
      <c r="F91" s="663" t="s">
        <v>675</v>
      </c>
      <c r="G91" s="10"/>
      <c r="H91" s="200">
        <f>H92+H93</f>
        <v>5560</v>
      </c>
    </row>
    <row r="92" spans="1:8" ht="90" x14ac:dyDescent="0.35">
      <c r="A92" s="343"/>
      <c r="B92" s="498" t="s">
        <v>49</v>
      </c>
      <c r="C92" s="661" t="s">
        <v>39</v>
      </c>
      <c r="D92" s="662" t="s">
        <v>45</v>
      </c>
      <c r="E92" s="662" t="s">
        <v>657</v>
      </c>
      <c r="F92" s="663" t="s">
        <v>675</v>
      </c>
      <c r="G92" s="10" t="s">
        <v>50</v>
      </c>
      <c r="H92" s="200">
        <f>'прил9 (ведом 23)'!M573</f>
        <v>406.82925</v>
      </c>
    </row>
    <row r="93" spans="1:8" ht="36" x14ac:dyDescent="0.35">
      <c r="A93" s="343"/>
      <c r="B93" s="498" t="s">
        <v>76</v>
      </c>
      <c r="C93" s="661" t="s">
        <v>39</v>
      </c>
      <c r="D93" s="662" t="s">
        <v>45</v>
      </c>
      <c r="E93" s="662" t="s">
        <v>657</v>
      </c>
      <c r="F93" s="663" t="s">
        <v>675</v>
      </c>
      <c r="G93" s="10" t="s">
        <v>77</v>
      </c>
      <c r="H93" s="200">
        <f>'прил9 (ведом 23)'!M574</f>
        <v>5153.1707500000002</v>
      </c>
    </row>
    <row r="94" spans="1:8" ht="90" x14ac:dyDescent="0.35">
      <c r="A94" s="343"/>
      <c r="B94" s="498" t="s">
        <v>659</v>
      </c>
      <c r="C94" s="661" t="s">
        <v>39</v>
      </c>
      <c r="D94" s="662" t="s">
        <v>45</v>
      </c>
      <c r="E94" s="662" t="s">
        <v>657</v>
      </c>
      <c r="F94" s="663" t="s">
        <v>658</v>
      </c>
      <c r="G94" s="10"/>
      <c r="H94" s="200">
        <f>H95</f>
        <v>96.9</v>
      </c>
    </row>
    <row r="95" spans="1:8" ht="36" x14ac:dyDescent="0.35">
      <c r="A95" s="343"/>
      <c r="B95" s="498" t="s">
        <v>76</v>
      </c>
      <c r="C95" s="661" t="s">
        <v>39</v>
      </c>
      <c r="D95" s="662" t="s">
        <v>45</v>
      </c>
      <c r="E95" s="662" t="s">
        <v>657</v>
      </c>
      <c r="F95" s="663" t="s">
        <v>658</v>
      </c>
      <c r="G95" s="10" t="s">
        <v>77</v>
      </c>
      <c r="H95" s="200">
        <f>'прил9 (ведом 23)'!M576</f>
        <v>96.9</v>
      </c>
    </row>
    <row r="96" spans="1:8" ht="18" x14ac:dyDescent="0.35">
      <c r="A96" s="343"/>
      <c r="B96" s="494" t="s">
        <v>210</v>
      </c>
      <c r="C96" s="191" t="s">
        <v>39</v>
      </c>
      <c r="D96" s="192" t="s">
        <v>89</v>
      </c>
      <c r="E96" s="192" t="s">
        <v>43</v>
      </c>
      <c r="F96" s="193" t="s">
        <v>44</v>
      </c>
      <c r="G96" s="222"/>
      <c r="H96" s="200">
        <f>H97+H121</f>
        <v>82655.346999999994</v>
      </c>
    </row>
    <row r="97" spans="1:8" ht="36" x14ac:dyDescent="0.35">
      <c r="A97" s="343"/>
      <c r="B97" s="494" t="s">
        <v>281</v>
      </c>
      <c r="C97" s="191" t="s">
        <v>39</v>
      </c>
      <c r="D97" s="192" t="s">
        <v>89</v>
      </c>
      <c r="E97" s="192" t="s">
        <v>37</v>
      </c>
      <c r="F97" s="193" t="s">
        <v>44</v>
      </c>
      <c r="G97" s="222"/>
      <c r="H97" s="200">
        <f>H98+H113+H105+H115+H108+H110+H118+H103</f>
        <v>82547.346999999994</v>
      </c>
    </row>
    <row r="98" spans="1:8" ht="36" x14ac:dyDescent="0.35">
      <c r="A98" s="343"/>
      <c r="B98" s="494" t="s">
        <v>466</v>
      </c>
      <c r="C98" s="191" t="s">
        <v>39</v>
      </c>
      <c r="D98" s="192" t="s">
        <v>89</v>
      </c>
      <c r="E98" s="192" t="s">
        <v>37</v>
      </c>
      <c r="F98" s="193" t="s">
        <v>91</v>
      </c>
      <c r="G98" s="28"/>
      <c r="H98" s="200">
        <f>SUM(H99:H102)</f>
        <v>55404.146999999997</v>
      </c>
    </row>
    <row r="99" spans="1:8" ht="90" x14ac:dyDescent="0.35">
      <c r="A99" s="343"/>
      <c r="B99" s="495" t="s">
        <v>49</v>
      </c>
      <c r="C99" s="191" t="s">
        <v>39</v>
      </c>
      <c r="D99" s="192" t="s">
        <v>89</v>
      </c>
      <c r="E99" s="192" t="s">
        <v>37</v>
      </c>
      <c r="F99" s="193" t="s">
        <v>91</v>
      </c>
      <c r="G99" s="28" t="s">
        <v>50</v>
      </c>
      <c r="H99" s="200">
        <f>'прил9 (ведом 23)'!M586</f>
        <v>16744.599999999999</v>
      </c>
    </row>
    <row r="100" spans="1:8" ht="36" x14ac:dyDescent="0.35">
      <c r="A100" s="343"/>
      <c r="B100" s="495" t="s">
        <v>55</v>
      </c>
      <c r="C100" s="191" t="s">
        <v>39</v>
      </c>
      <c r="D100" s="192" t="s">
        <v>89</v>
      </c>
      <c r="E100" s="192" t="s">
        <v>37</v>
      </c>
      <c r="F100" s="193" t="s">
        <v>91</v>
      </c>
      <c r="G100" s="28" t="s">
        <v>56</v>
      </c>
      <c r="H100" s="200">
        <f>'прил9 (ведом 23)'!M587+'прил9 (ведом 23)'!M618</f>
        <v>2386.0260699999999</v>
      </c>
    </row>
    <row r="101" spans="1:8" ht="36" x14ac:dyDescent="0.35">
      <c r="A101" s="343"/>
      <c r="B101" s="494" t="s">
        <v>76</v>
      </c>
      <c r="C101" s="191" t="s">
        <v>39</v>
      </c>
      <c r="D101" s="192" t="s">
        <v>89</v>
      </c>
      <c r="E101" s="192" t="s">
        <v>37</v>
      </c>
      <c r="F101" s="193" t="s">
        <v>91</v>
      </c>
      <c r="G101" s="28" t="s">
        <v>77</v>
      </c>
      <c r="H101" s="200">
        <f>'прил9 (ведом 23)'!M588</f>
        <v>36066.820930000002</v>
      </c>
    </row>
    <row r="102" spans="1:8" ht="18" x14ac:dyDescent="0.35">
      <c r="A102" s="343"/>
      <c r="B102" s="495" t="s">
        <v>57</v>
      </c>
      <c r="C102" s="191" t="s">
        <v>39</v>
      </c>
      <c r="D102" s="192" t="s">
        <v>89</v>
      </c>
      <c r="E102" s="192" t="s">
        <v>37</v>
      </c>
      <c r="F102" s="193" t="s">
        <v>91</v>
      </c>
      <c r="G102" s="28" t="s">
        <v>58</v>
      </c>
      <c r="H102" s="200">
        <f>'прил9 (ведом 23)'!M589</f>
        <v>206.70000000000002</v>
      </c>
    </row>
    <row r="103" spans="1:8" ht="18" x14ac:dyDescent="0.35">
      <c r="A103" s="343"/>
      <c r="B103" s="498" t="s">
        <v>467</v>
      </c>
      <c r="C103" s="661" t="s">
        <v>39</v>
      </c>
      <c r="D103" s="662" t="s">
        <v>89</v>
      </c>
      <c r="E103" s="662" t="s">
        <v>37</v>
      </c>
      <c r="F103" s="663" t="s">
        <v>384</v>
      </c>
      <c r="G103" s="10"/>
      <c r="H103" s="200">
        <f>H104</f>
        <v>498</v>
      </c>
    </row>
    <row r="104" spans="1:8" ht="36" x14ac:dyDescent="0.35">
      <c r="A104" s="343"/>
      <c r="B104" s="498" t="s">
        <v>76</v>
      </c>
      <c r="C104" s="661" t="s">
        <v>39</v>
      </c>
      <c r="D104" s="662" t="s">
        <v>89</v>
      </c>
      <c r="E104" s="662" t="s">
        <v>37</v>
      </c>
      <c r="F104" s="663" t="s">
        <v>384</v>
      </c>
      <c r="G104" s="10" t="s">
        <v>77</v>
      </c>
      <c r="H104" s="200">
        <f>'прил9 (ведом 23)'!M591</f>
        <v>498</v>
      </c>
    </row>
    <row r="105" spans="1:8" ht="36" x14ac:dyDescent="0.35">
      <c r="A105" s="343"/>
      <c r="B105" s="495" t="s">
        <v>207</v>
      </c>
      <c r="C105" s="191" t="s">
        <v>39</v>
      </c>
      <c r="D105" s="192" t="s">
        <v>89</v>
      </c>
      <c r="E105" s="192" t="s">
        <v>37</v>
      </c>
      <c r="F105" s="193" t="s">
        <v>278</v>
      </c>
      <c r="G105" s="28"/>
      <c r="H105" s="200">
        <f>SUM(H106:H107)</f>
        <v>5841.0000000000009</v>
      </c>
    </row>
    <row r="106" spans="1:8" ht="36" x14ac:dyDescent="0.35">
      <c r="A106" s="343"/>
      <c r="B106" s="495" t="s">
        <v>55</v>
      </c>
      <c r="C106" s="191" t="s">
        <v>39</v>
      </c>
      <c r="D106" s="192" t="s">
        <v>89</v>
      </c>
      <c r="E106" s="192" t="s">
        <v>37</v>
      </c>
      <c r="F106" s="193" t="s">
        <v>278</v>
      </c>
      <c r="G106" s="28" t="s">
        <v>56</v>
      </c>
      <c r="H106" s="200">
        <f>'прил9 (ведом 23)'!M593</f>
        <v>1643.6000000000004</v>
      </c>
    </row>
    <row r="107" spans="1:8" ht="36" x14ac:dyDescent="0.35">
      <c r="A107" s="343"/>
      <c r="B107" s="499" t="s">
        <v>76</v>
      </c>
      <c r="C107" s="191" t="s">
        <v>39</v>
      </c>
      <c r="D107" s="192" t="s">
        <v>89</v>
      </c>
      <c r="E107" s="192" t="s">
        <v>37</v>
      </c>
      <c r="F107" s="193" t="s">
        <v>278</v>
      </c>
      <c r="G107" s="28" t="s">
        <v>77</v>
      </c>
      <c r="H107" s="200">
        <f>'прил9 (ведом 23)'!M594</f>
        <v>4197.4000000000005</v>
      </c>
    </row>
    <row r="108" spans="1:8" ht="36" x14ac:dyDescent="0.35">
      <c r="A108" s="343"/>
      <c r="B108" s="495" t="s">
        <v>208</v>
      </c>
      <c r="C108" s="191" t="s">
        <v>39</v>
      </c>
      <c r="D108" s="192" t="s">
        <v>89</v>
      </c>
      <c r="E108" s="192" t="s">
        <v>37</v>
      </c>
      <c r="F108" s="193" t="s">
        <v>279</v>
      </c>
      <c r="G108" s="28"/>
      <c r="H108" s="200">
        <f>H109</f>
        <v>1124.4000000000001</v>
      </c>
    </row>
    <row r="109" spans="1:8" ht="36" x14ac:dyDescent="0.35">
      <c r="A109" s="343"/>
      <c r="B109" s="499" t="s">
        <v>76</v>
      </c>
      <c r="C109" s="191" t="s">
        <v>39</v>
      </c>
      <c r="D109" s="192" t="s">
        <v>89</v>
      </c>
      <c r="E109" s="192" t="s">
        <v>37</v>
      </c>
      <c r="F109" s="193" t="s">
        <v>279</v>
      </c>
      <c r="G109" s="28" t="s">
        <v>77</v>
      </c>
      <c r="H109" s="200">
        <f>'прил9 (ведом 23)'!M596</f>
        <v>1124.4000000000001</v>
      </c>
    </row>
    <row r="110" spans="1:8" ht="54" x14ac:dyDescent="0.35">
      <c r="A110" s="343"/>
      <c r="B110" s="499" t="s">
        <v>536</v>
      </c>
      <c r="C110" s="191" t="s">
        <v>39</v>
      </c>
      <c r="D110" s="192" t="s">
        <v>89</v>
      </c>
      <c r="E110" s="192" t="s">
        <v>37</v>
      </c>
      <c r="F110" s="193" t="s">
        <v>535</v>
      </c>
      <c r="G110" s="28"/>
      <c r="H110" s="200">
        <f>SUM(H111:H112)</f>
        <v>6127.5</v>
      </c>
    </row>
    <row r="111" spans="1:8" ht="36" x14ac:dyDescent="0.35">
      <c r="A111" s="343"/>
      <c r="B111" s="499" t="s">
        <v>76</v>
      </c>
      <c r="C111" s="191" t="s">
        <v>39</v>
      </c>
      <c r="D111" s="192" t="s">
        <v>89</v>
      </c>
      <c r="E111" s="192" t="s">
        <v>37</v>
      </c>
      <c r="F111" s="193" t="s">
        <v>535</v>
      </c>
      <c r="G111" s="28" t="s">
        <v>77</v>
      </c>
      <c r="H111" s="200">
        <f>'прил9 (ведом 23)'!M598</f>
        <v>6072.6</v>
      </c>
    </row>
    <row r="112" spans="1:8" ht="18" x14ac:dyDescent="0.35">
      <c r="A112" s="343"/>
      <c r="B112" s="495" t="s">
        <v>57</v>
      </c>
      <c r="C112" s="191" t="s">
        <v>39</v>
      </c>
      <c r="D112" s="192" t="s">
        <v>89</v>
      </c>
      <c r="E112" s="192" t="s">
        <v>37</v>
      </c>
      <c r="F112" s="193" t="s">
        <v>535</v>
      </c>
      <c r="G112" s="28" t="s">
        <v>58</v>
      </c>
      <c r="H112" s="200">
        <f>'прил9 (ведом 23)'!M599</f>
        <v>54.9</v>
      </c>
    </row>
    <row r="113" spans="1:8" ht="162" x14ac:dyDescent="0.35">
      <c r="A113" s="343"/>
      <c r="B113" s="494" t="s">
        <v>273</v>
      </c>
      <c r="C113" s="191" t="s">
        <v>39</v>
      </c>
      <c r="D113" s="192" t="s">
        <v>89</v>
      </c>
      <c r="E113" s="192" t="s">
        <v>37</v>
      </c>
      <c r="F113" s="193" t="s">
        <v>274</v>
      </c>
      <c r="G113" s="28"/>
      <c r="H113" s="200">
        <f>H114</f>
        <v>85.6</v>
      </c>
    </row>
    <row r="114" spans="1:8" ht="36" x14ac:dyDescent="0.35">
      <c r="A114" s="343"/>
      <c r="B114" s="495" t="s">
        <v>76</v>
      </c>
      <c r="C114" s="191" t="s">
        <v>39</v>
      </c>
      <c r="D114" s="192" t="s">
        <v>89</v>
      </c>
      <c r="E114" s="192" t="s">
        <v>37</v>
      </c>
      <c r="F114" s="193" t="s">
        <v>274</v>
      </c>
      <c r="G114" s="28" t="s">
        <v>77</v>
      </c>
      <c r="H114" s="200">
        <f>'прил9 (ведом 23)'!M601</f>
        <v>85.6</v>
      </c>
    </row>
    <row r="115" spans="1:8" ht="90" x14ac:dyDescent="0.35">
      <c r="A115" s="343"/>
      <c r="B115" s="495" t="s">
        <v>350</v>
      </c>
      <c r="C115" s="191" t="s">
        <v>39</v>
      </c>
      <c r="D115" s="192" t="s">
        <v>89</v>
      </c>
      <c r="E115" s="192" t="s">
        <v>37</v>
      </c>
      <c r="F115" s="193" t="s">
        <v>275</v>
      </c>
      <c r="G115" s="28"/>
      <c r="H115" s="200">
        <f>SUM(H116:H117)</f>
        <v>11366.699999999999</v>
      </c>
    </row>
    <row r="116" spans="1:8" ht="90" x14ac:dyDescent="0.35">
      <c r="A116" s="343"/>
      <c r="B116" s="498" t="s">
        <v>49</v>
      </c>
      <c r="C116" s="661" t="s">
        <v>39</v>
      </c>
      <c r="D116" s="662" t="s">
        <v>89</v>
      </c>
      <c r="E116" s="662" t="s">
        <v>37</v>
      </c>
      <c r="F116" s="663" t="s">
        <v>275</v>
      </c>
      <c r="G116" s="10" t="s">
        <v>50</v>
      </c>
      <c r="H116" s="200">
        <f>'прил9 (ведом 23)'!M603</f>
        <v>42.3</v>
      </c>
    </row>
    <row r="117" spans="1:8" ht="36" x14ac:dyDescent="0.35">
      <c r="A117" s="343"/>
      <c r="B117" s="495" t="s">
        <v>76</v>
      </c>
      <c r="C117" s="191" t="s">
        <v>39</v>
      </c>
      <c r="D117" s="192" t="s">
        <v>89</v>
      </c>
      <c r="E117" s="192" t="s">
        <v>37</v>
      </c>
      <c r="F117" s="193" t="s">
        <v>275</v>
      </c>
      <c r="G117" s="28" t="s">
        <v>77</v>
      </c>
      <c r="H117" s="200">
        <f>'прил9 (ведом 23)'!M604</f>
        <v>11324.4</v>
      </c>
    </row>
    <row r="118" spans="1:8" ht="54" x14ac:dyDescent="0.35">
      <c r="A118" s="343"/>
      <c r="B118" s="566" t="s">
        <v>696</v>
      </c>
      <c r="C118" s="661" t="s">
        <v>39</v>
      </c>
      <c r="D118" s="662" t="s">
        <v>89</v>
      </c>
      <c r="E118" s="662" t="s">
        <v>37</v>
      </c>
      <c r="F118" s="663" t="s">
        <v>695</v>
      </c>
      <c r="G118" s="10"/>
      <c r="H118" s="200">
        <f>H119+H120</f>
        <v>2100</v>
      </c>
    </row>
    <row r="119" spans="1:8" ht="36" x14ac:dyDescent="0.35">
      <c r="A119" s="343"/>
      <c r="B119" s="566" t="s">
        <v>55</v>
      </c>
      <c r="C119" s="661" t="s">
        <v>39</v>
      </c>
      <c r="D119" s="662" t="s">
        <v>89</v>
      </c>
      <c r="E119" s="662" t="s">
        <v>37</v>
      </c>
      <c r="F119" s="663" t="s">
        <v>695</v>
      </c>
      <c r="G119" s="10" t="s">
        <v>56</v>
      </c>
      <c r="H119" s="200">
        <f>'прил9 (ведом 23)'!M606</f>
        <v>400</v>
      </c>
    </row>
    <row r="120" spans="1:8" ht="36" x14ac:dyDescent="0.35">
      <c r="A120" s="343"/>
      <c r="B120" s="566" t="s">
        <v>76</v>
      </c>
      <c r="C120" s="661" t="s">
        <v>39</v>
      </c>
      <c r="D120" s="662" t="s">
        <v>89</v>
      </c>
      <c r="E120" s="662" t="s">
        <v>37</v>
      </c>
      <c r="F120" s="663" t="s">
        <v>695</v>
      </c>
      <c r="G120" s="10" t="s">
        <v>77</v>
      </c>
      <c r="H120" s="200">
        <f>'прил9 (ведом 23)'!M607</f>
        <v>1700</v>
      </c>
    </row>
    <row r="121" spans="1:8" ht="18" x14ac:dyDescent="0.35">
      <c r="A121" s="343"/>
      <c r="B121" s="495" t="s">
        <v>282</v>
      </c>
      <c r="C121" s="191" t="s">
        <v>39</v>
      </c>
      <c r="D121" s="192" t="s">
        <v>89</v>
      </c>
      <c r="E121" s="192" t="s">
        <v>39</v>
      </c>
      <c r="F121" s="193" t="s">
        <v>44</v>
      </c>
      <c r="G121" s="28"/>
      <c r="H121" s="200">
        <f>H122</f>
        <v>108</v>
      </c>
    </row>
    <row r="122" spans="1:8" ht="36" x14ac:dyDescent="0.35">
      <c r="A122" s="343"/>
      <c r="B122" s="495" t="s">
        <v>283</v>
      </c>
      <c r="C122" s="191" t="s">
        <v>39</v>
      </c>
      <c r="D122" s="192" t="s">
        <v>89</v>
      </c>
      <c r="E122" s="192" t="s">
        <v>39</v>
      </c>
      <c r="F122" s="193" t="s">
        <v>284</v>
      </c>
      <c r="G122" s="28"/>
      <c r="H122" s="200">
        <f>H123</f>
        <v>108</v>
      </c>
    </row>
    <row r="123" spans="1:8" ht="18" x14ac:dyDescent="0.35">
      <c r="A123" s="343"/>
      <c r="B123" s="495" t="s">
        <v>120</v>
      </c>
      <c r="C123" s="191" t="s">
        <v>39</v>
      </c>
      <c r="D123" s="192" t="s">
        <v>89</v>
      </c>
      <c r="E123" s="192" t="s">
        <v>39</v>
      </c>
      <c r="F123" s="193" t="s">
        <v>284</v>
      </c>
      <c r="G123" s="28" t="s">
        <v>121</v>
      </c>
      <c r="H123" s="200">
        <f>'прил9 (ведом 23)'!M628</f>
        <v>108</v>
      </c>
    </row>
    <row r="124" spans="1:8" ht="36" x14ac:dyDescent="0.35">
      <c r="A124" s="343"/>
      <c r="B124" s="494" t="s">
        <v>212</v>
      </c>
      <c r="C124" s="191" t="s">
        <v>39</v>
      </c>
      <c r="D124" s="192" t="s">
        <v>30</v>
      </c>
      <c r="E124" s="192" t="s">
        <v>43</v>
      </c>
      <c r="F124" s="193" t="s">
        <v>44</v>
      </c>
      <c r="G124" s="222"/>
      <c r="H124" s="200">
        <f>H125+H145+H150+H153+H156</f>
        <v>92796.543000000005</v>
      </c>
    </row>
    <row r="125" spans="1:8" ht="36" x14ac:dyDescent="0.35">
      <c r="A125" s="343"/>
      <c r="B125" s="494" t="s">
        <v>287</v>
      </c>
      <c r="C125" s="191" t="s">
        <v>39</v>
      </c>
      <c r="D125" s="192" t="s">
        <v>30</v>
      </c>
      <c r="E125" s="192" t="s">
        <v>37</v>
      </c>
      <c r="F125" s="193" t="s">
        <v>44</v>
      </c>
      <c r="G125" s="222"/>
      <c r="H125" s="200">
        <f>H126+H130+H143+H140+H135+H138</f>
        <v>84154.243000000002</v>
      </c>
    </row>
    <row r="126" spans="1:8" ht="36" x14ac:dyDescent="0.35">
      <c r="A126" s="343"/>
      <c r="B126" s="494" t="s">
        <v>47</v>
      </c>
      <c r="C126" s="191" t="s">
        <v>39</v>
      </c>
      <c r="D126" s="192" t="s">
        <v>30</v>
      </c>
      <c r="E126" s="192" t="s">
        <v>37</v>
      </c>
      <c r="F126" s="193" t="s">
        <v>48</v>
      </c>
      <c r="G126" s="28"/>
      <c r="H126" s="200">
        <f>SUM(H127:H129)</f>
        <v>12417.831</v>
      </c>
    </row>
    <row r="127" spans="1:8" ht="90" x14ac:dyDescent="0.35">
      <c r="A127" s="343"/>
      <c r="B127" s="494" t="s">
        <v>49</v>
      </c>
      <c r="C127" s="191" t="s">
        <v>39</v>
      </c>
      <c r="D127" s="192" t="s">
        <v>30</v>
      </c>
      <c r="E127" s="192" t="s">
        <v>37</v>
      </c>
      <c r="F127" s="193" t="s">
        <v>48</v>
      </c>
      <c r="G127" s="28" t="s">
        <v>50</v>
      </c>
      <c r="H127" s="200">
        <f>'прил9 (ведом 23)'!M632</f>
        <v>11475.4</v>
      </c>
    </row>
    <row r="128" spans="1:8" ht="36" x14ac:dyDescent="0.35">
      <c r="A128" s="343"/>
      <c r="B128" s="494" t="s">
        <v>55</v>
      </c>
      <c r="C128" s="191" t="s">
        <v>39</v>
      </c>
      <c r="D128" s="192" t="s">
        <v>30</v>
      </c>
      <c r="E128" s="192" t="s">
        <v>37</v>
      </c>
      <c r="F128" s="193" t="s">
        <v>48</v>
      </c>
      <c r="G128" s="28" t="s">
        <v>56</v>
      </c>
      <c r="H128" s="200">
        <f>'прил9 (ведом 23)'!M633</f>
        <v>925.43099999999993</v>
      </c>
    </row>
    <row r="129" spans="1:8" ht="18" x14ac:dyDescent="0.35">
      <c r="A129" s="343"/>
      <c r="B129" s="494" t="s">
        <v>57</v>
      </c>
      <c r="C129" s="191" t="s">
        <v>39</v>
      </c>
      <c r="D129" s="192" t="s">
        <v>30</v>
      </c>
      <c r="E129" s="192" t="s">
        <v>37</v>
      </c>
      <c r="F129" s="193" t="s">
        <v>48</v>
      </c>
      <c r="G129" s="28" t="s">
        <v>58</v>
      </c>
      <c r="H129" s="200">
        <f>'прил9 (ведом 23)'!M634</f>
        <v>17</v>
      </c>
    </row>
    <row r="130" spans="1:8" ht="36" x14ac:dyDescent="0.35">
      <c r="A130" s="343"/>
      <c r="B130" s="494" t="s">
        <v>466</v>
      </c>
      <c r="C130" s="191" t="s">
        <v>39</v>
      </c>
      <c r="D130" s="192" t="s">
        <v>30</v>
      </c>
      <c r="E130" s="192" t="s">
        <v>37</v>
      </c>
      <c r="F130" s="193" t="s">
        <v>91</v>
      </c>
      <c r="G130" s="28"/>
      <c r="H130" s="200">
        <f>SUM(H131:H134)</f>
        <v>61639.212</v>
      </c>
    </row>
    <row r="131" spans="1:8" ht="90" x14ac:dyDescent="0.35">
      <c r="A131" s="343"/>
      <c r="B131" s="494" t="s">
        <v>49</v>
      </c>
      <c r="C131" s="191" t="s">
        <v>39</v>
      </c>
      <c r="D131" s="192" t="s">
        <v>30</v>
      </c>
      <c r="E131" s="192" t="s">
        <v>37</v>
      </c>
      <c r="F131" s="193" t="s">
        <v>91</v>
      </c>
      <c r="G131" s="28" t="s">
        <v>50</v>
      </c>
      <c r="H131" s="200">
        <f>'прил9 (ведом 23)'!M636</f>
        <v>37351.100000000006</v>
      </c>
    </row>
    <row r="132" spans="1:8" ht="36" x14ac:dyDescent="0.35">
      <c r="A132" s="343"/>
      <c r="B132" s="494" t="s">
        <v>55</v>
      </c>
      <c r="C132" s="191" t="s">
        <v>39</v>
      </c>
      <c r="D132" s="192" t="s">
        <v>30</v>
      </c>
      <c r="E132" s="192" t="s">
        <v>37</v>
      </c>
      <c r="F132" s="193" t="s">
        <v>91</v>
      </c>
      <c r="G132" s="28" t="s">
        <v>56</v>
      </c>
      <c r="H132" s="200">
        <f>'прил9 (ведом 23)'!M637+'прил9 (ведом 23)'!M622</f>
        <v>4249.3119999999999</v>
      </c>
    </row>
    <row r="133" spans="1:8" ht="36" x14ac:dyDescent="0.35">
      <c r="A133" s="343"/>
      <c r="B133" s="495" t="s">
        <v>76</v>
      </c>
      <c r="C133" s="191" t="s">
        <v>39</v>
      </c>
      <c r="D133" s="192" t="s">
        <v>30</v>
      </c>
      <c r="E133" s="192" t="s">
        <v>37</v>
      </c>
      <c r="F133" s="193" t="s">
        <v>91</v>
      </c>
      <c r="G133" s="28" t="s">
        <v>77</v>
      </c>
      <c r="H133" s="200">
        <f>'прил9 (ведом 23)'!M638</f>
        <v>20033.100000000002</v>
      </c>
    </row>
    <row r="134" spans="1:8" ht="18" x14ac:dyDescent="0.35">
      <c r="A134" s="343"/>
      <c r="B134" s="494" t="s">
        <v>57</v>
      </c>
      <c r="C134" s="191" t="s">
        <v>39</v>
      </c>
      <c r="D134" s="192" t="s">
        <v>30</v>
      </c>
      <c r="E134" s="192" t="s">
        <v>37</v>
      </c>
      <c r="F134" s="193" t="s">
        <v>91</v>
      </c>
      <c r="G134" s="28" t="s">
        <v>58</v>
      </c>
      <c r="H134" s="200">
        <f>'прил9 (ведом 23)'!M639</f>
        <v>5.7</v>
      </c>
    </row>
    <row r="135" spans="1:8" ht="36" x14ac:dyDescent="0.35">
      <c r="A135" s="343"/>
      <c r="B135" s="495" t="s">
        <v>208</v>
      </c>
      <c r="C135" s="191" t="s">
        <v>39</v>
      </c>
      <c r="D135" s="192" t="s">
        <v>30</v>
      </c>
      <c r="E135" s="192" t="s">
        <v>37</v>
      </c>
      <c r="F135" s="193" t="s">
        <v>279</v>
      </c>
      <c r="G135" s="28"/>
      <c r="H135" s="200">
        <f>H136+H137</f>
        <v>311.7</v>
      </c>
    </row>
    <row r="136" spans="1:8" ht="36" x14ac:dyDescent="0.35">
      <c r="A136" s="343"/>
      <c r="B136" s="495" t="s">
        <v>55</v>
      </c>
      <c r="C136" s="191" t="s">
        <v>39</v>
      </c>
      <c r="D136" s="192" t="s">
        <v>30</v>
      </c>
      <c r="E136" s="192" t="s">
        <v>37</v>
      </c>
      <c r="F136" s="193" t="s">
        <v>279</v>
      </c>
      <c r="G136" s="28" t="s">
        <v>56</v>
      </c>
      <c r="H136" s="200">
        <f>'прил9 (ведом 23)'!M641</f>
        <v>10</v>
      </c>
    </row>
    <row r="137" spans="1:8" ht="36" x14ac:dyDescent="0.35">
      <c r="A137" s="343"/>
      <c r="B137" s="498" t="s">
        <v>76</v>
      </c>
      <c r="C137" s="661" t="s">
        <v>39</v>
      </c>
      <c r="D137" s="662" t="s">
        <v>30</v>
      </c>
      <c r="E137" s="662" t="s">
        <v>37</v>
      </c>
      <c r="F137" s="663" t="s">
        <v>279</v>
      </c>
      <c r="G137" s="10" t="s">
        <v>77</v>
      </c>
      <c r="H137" s="200">
        <f>'прил9 (ведом 23)'!M642</f>
        <v>301.7</v>
      </c>
    </row>
    <row r="138" spans="1:8" ht="36" x14ac:dyDescent="0.35">
      <c r="A138" s="343"/>
      <c r="B138" s="495" t="s">
        <v>581</v>
      </c>
      <c r="C138" s="191" t="s">
        <v>39</v>
      </c>
      <c r="D138" s="192" t="s">
        <v>30</v>
      </c>
      <c r="E138" s="192" t="s">
        <v>37</v>
      </c>
      <c r="F138" s="193" t="s">
        <v>580</v>
      </c>
      <c r="G138" s="28"/>
      <c r="H138" s="200">
        <f>H139</f>
        <v>518.6</v>
      </c>
    </row>
    <row r="139" spans="1:8" ht="36" x14ac:dyDescent="0.35">
      <c r="A139" s="343"/>
      <c r="B139" s="495" t="s">
        <v>76</v>
      </c>
      <c r="C139" s="191" t="s">
        <v>39</v>
      </c>
      <c r="D139" s="192" t="s">
        <v>30</v>
      </c>
      <c r="E139" s="192" t="s">
        <v>37</v>
      </c>
      <c r="F139" s="193" t="s">
        <v>580</v>
      </c>
      <c r="G139" s="28" t="s">
        <v>77</v>
      </c>
      <c r="H139" s="200">
        <f>'прил9 (ведом 23)'!M644</f>
        <v>518.6</v>
      </c>
    </row>
    <row r="140" spans="1:8" ht="90" x14ac:dyDescent="0.35">
      <c r="A140" s="343"/>
      <c r="B140" s="495" t="s">
        <v>350</v>
      </c>
      <c r="C140" s="191" t="s">
        <v>39</v>
      </c>
      <c r="D140" s="192" t="s">
        <v>30</v>
      </c>
      <c r="E140" s="192" t="s">
        <v>37</v>
      </c>
      <c r="F140" s="193" t="s">
        <v>275</v>
      </c>
      <c r="G140" s="28"/>
      <c r="H140" s="200">
        <f>H141+H142</f>
        <v>7044.7000000000007</v>
      </c>
    </row>
    <row r="141" spans="1:8" ht="90" x14ac:dyDescent="0.35">
      <c r="A141" s="343"/>
      <c r="B141" s="495" t="s">
        <v>49</v>
      </c>
      <c r="C141" s="191" t="s">
        <v>39</v>
      </c>
      <c r="D141" s="192" t="s">
        <v>30</v>
      </c>
      <c r="E141" s="192" t="s">
        <v>37</v>
      </c>
      <c r="F141" s="193" t="s">
        <v>275</v>
      </c>
      <c r="G141" s="28" t="s">
        <v>50</v>
      </c>
      <c r="H141" s="200">
        <f>'прил9 (ведом 23)'!M646</f>
        <v>6762.6</v>
      </c>
    </row>
    <row r="142" spans="1:8" ht="36" x14ac:dyDescent="0.35">
      <c r="A142" s="343"/>
      <c r="B142" s="498" t="s">
        <v>55</v>
      </c>
      <c r="C142" s="661" t="s">
        <v>39</v>
      </c>
      <c r="D142" s="662" t="s">
        <v>30</v>
      </c>
      <c r="E142" s="662" t="s">
        <v>37</v>
      </c>
      <c r="F142" s="663" t="s">
        <v>275</v>
      </c>
      <c r="G142" s="10" t="s">
        <v>56</v>
      </c>
      <c r="H142" s="200">
        <f>'прил9 (ведом 23)'!M647</f>
        <v>282.10000000000002</v>
      </c>
    </row>
    <row r="143" spans="1:8" ht="216" x14ac:dyDescent="0.35">
      <c r="A143" s="343"/>
      <c r="B143" s="495" t="s">
        <v>439</v>
      </c>
      <c r="C143" s="191" t="s">
        <v>39</v>
      </c>
      <c r="D143" s="192" t="s">
        <v>30</v>
      </c>
      <c r="E143" s="192" t="s">
        <v>37</v>
      </c>
      <c r="F143" s="193" t="s">
        <v>351</v>
      </c>
      <c r="G143" s="28"/>
      <c r="H143" s="200">
        <f>SUM(H144:H144)</f>
        <v>2222.1999999999998</v>
      </c>
    </row>
    <row r="144" spans="1:8" ht="36" x14ac:dyDescent="0.35">
      <c r="A144" s="343"/>
      <c r="B144" s="494" t="s">
        <v>76</v>
      </c>
      <c r="C144" s="191" t="s">
        <v>39</v>
      </c>
      <c r="D144" s="192" t="s">
        <v>30</v>
      </c>
      <c r="E144" s="192" t="s">
        <v>37</v>
      </c>
      <c r="F144" s="193" t="s">
        <v>351</v>
      </c>
      <c r="G144" s="28" t="s">
        <v>77</v>
      </c>
      <c r="H144" s="200">
        <f>'прил9 (ведом 23)'!M580</f>
        <v>2222.1999999999998</v>
      </c>
    </row>
    <row r="145" spans="1:8" ht="36" x14ac:dyDescent="0.35">
      <c r="A145" s="343"/>
      <c r="B145" s="495" t="s">
        <v>286</v>
      </c>
      <c r="C145" s="191" t="s">
        <v>39</v>
      </c>
      <c r="D145" s="192" t="s">
        <v>30</v>
      </c>
      <c r="E145" s="192" t="s">
        <v>39</v>
      </c>
      <c r="F145" s="193" t="s">
        <v>44</v>
      </c>
      <c r="G145" s="28"/>
      <c r="H145" s="200">
        <f>H146+H148</f>
        <v>7731.7</v>
      </c>
    </row>
    <row r="146" spans="1:8" ht="36" x14ac:dyDescent="0.35">
      <c r="A146" s="343"/>
      <c r="B146" s="495" t="s">
        <v>472</v>
      </c>
      <c r="C146" s="191" t="s">
        <v>39</v>
      </c>
      <c r="D146" s="192" t="s">
        <v>30</v>
      </c>
      <c r="E146" s="192" t="s">
        <v>39</v>
      </c>
      <c r="F146" s="193" t="s">
        <v>471</v>
      </c>
      <c r="G146" s="28"/>
      <c r="H146" s="200">
        <f>H147</f>
        <v>2157</v>
      </c>
    </row>
    <row r="147" spans="1:8" ht="36" x14ac:dyDescent="0.35">
      <c r="A147" s="343"/>
      <c r="B147" s="495" t="s">
        <v>76</v>
      </c>
      <c r="C147" s="191" t="s">
        <v>39</v>
      </c>
      <c r="D147" s="192" t="s">
        <v>30</v>
      </c>
      <c r="E147" s="192" t="s">
        <v>39</v>
      </c>
      <c r="F147" s="193" t="s">
        <v>471</v>
      </c>
      <c r="G147" s="28" t="s">
        <v>77</v>
      </c>
      <c r="H147" s="200">
        <f>'прил9 (ведом 23)'!M650</f>
        <v>2157</v>
      </c>
    </row>
    <row r="148" spans="1:8" ht="108" x14ac:dyDescent="0.35">
      <c r="A148" s="343"/>
      <c r="B148" s="495" t="s">
        <v>444</v>
      </c>
      <c r="C148" s="191" t="s">
        <v>39</v>
      </c>
      <c r="D148" s="192" t="s">
        <v>30</v>
      </c>
      <c r="E148" s="192" t="s">
        <v>39</v>
      </c>
      <c r="F148" s="193" t="s">
        <v>443</v>
      </c>
      <c r="G148" s="28"/>
      <c r="H148" s="200">
        <f>H149</f>
        <v>5574.7</v>
      </c>
    </row>
    <row r="149" spans="1:8" ht="36" x14ac:dyDescent="0.35">
      <c r="A149" s="343"/>
      <c r="B149" s="495" t="s">
        <v>76</v>
      </c>
      <c r="C149" s="191" t="s">
        <v>39</v>
      </c>
      <c r="D149" s="192" t="s">
        <v>30</v>
      </c>
      <c r="E149" s="192" t="s">
        <v>39</v>
      </c>
      <c r="F149" s="193" t="s">
        <v>443</v>
      </c>
      <c r="G149" s="28" t="s">
        <v>77</v>
      </c>
      <c r="H149" s="200">
        <f>'прил9 (ведом 23)'!M652</f>
        <v>5574.7</v>
      </c>
    </row>
    <row r="150" spans="1:8" ht="36" x14ac:dyDescent="0.35">
      <c r="A150" s="343"/>
      <c r="B150" s="500" t="s">
        <v>356</v>
      </c>
      <c r="C150" s="657" t="s">
        <v>39</v>
      </c>
      <c r="D150" s="658" t="s">
        <v>30</v>
      </c>
      <c r="E150" s="658" t="s">
        <v>63</v>
      </c>
      <c r="F150" s="659" t="s">
        <v>44</v>
      </c>
      <c r="G150" s="222"/>
      <c r="H150" s="200">
        <f>H151</f>
        <v>552.6</v>
      </c>
    </row>
    <row r="151" spans="1:8" ht="54" x14ac:dyDescent="0.35">
      <c r="A151" s="343"/>
      <c r="B151" s="500" t="s">
        <v>474</v>
      </c>
      <c r="C151" s="657" t="s">
        <v>39</v>
      </c>
      <c r="D151" s="658" t="s">
        <v>30</v>
      </c>
      <c r="E151" s="658" t="s">
        <v>63</v>
      </c>
      <c r="F151" s="659" t="s">
        <v>105</v>
      </c>
      <c r="G151" s="222"/>
      <c r="H151" s="200">
        <f>H152</f>
        <v>552.6</v>
      </c>
    </row>
    <row r="152" spans="1:8" ht="36" x14ac:dyDescent="0.35">
      <c r="A152" s="343"/>
      <c r="B152" s="500" t="s">
        <v>55</v>
      </c>
      <c r="C152" s="657" t="s">
        <v>39</v>
      </c>
      <c r="D152" s="658" t="s">
        <v>30</v>
      </c>
      <c r="E152" s="658" t="s">
        <v>63</v>
      </c>
      <c r="F152" s="659" t="s">
        <v>105</v>
      </c>
      <c r="G152" s="222" t="s">
        <v>56</v>
      </c>
      <c r="H152" s="200">
        <f>'прил9 (ведом 23)'!M477</f>
        <v>552.6</v>
      </c>
    </row>
    <row r="153" spans="1:8" ht="36" x14ac:dyDescent="0.35">
      <c r="A153" s="343"/>
      <c r="B153" s="500" t="s">
        <v>470</v>
      </c>
      <c r="C153" s="657" t="s">
        <v>39</v>
      </c>
      <c r="D153" s="658" t="s">
        <v>30</v>
      </c>
      <c r="E153" s="658" t="s">
        <v>52</v>
      </c>
      <c r="F153" s="659" t="s">
        <v>44</v>
      </c>
      <c r="G153" s="222"/>
      <c r="H153" s="200">
        <f>H154</f>
        <v>24</v>
      </c>
    </row>
    <row r="154" spans="1:8" ht="18" x14ac:dyDescent="0.35">
      <c r="A154" s="343"/>
      <c r="B154" s="500" t="s">
        <v>475</v>
      </c>
      <c r="C154" s="657" t="s">
        <v>39</v>
      </c>
      <c r="D154" s="658" t="s">
        <v>30</v>
      </c>
      <c r="E154" s="658" t="s">
        <v>52</v>
      </c>
      <c r="F154" s="659" t="s">
        <v>469</v>
      </c>
      <c r="G154" s="222"/>
      <c r="H154" s="200">
        <f>H155</f>
        <v>24</v>
      </c>
    </row>
    <row r="155" spans="1:8" ht="36" x14ac:dyDescent="0.35">
      <c r="A155" s="343"/>
      <c r="B155" s="500" t="s">
        <v>55</v>
      </c>
      <c r="C155" s="657" t="s">
        <v>39</v>
      </c>
      <c r="D155" s="658" t="s">
        <v>30</v>
      </c>
      <c r="E155" s="658" t="s">
        <v>52</v>
      </c>
      <c r="F155" s="659" t="s">
        <v>469</v>
      </c>
      <c r="G155" s="222" t="s">
        <v>56</v>
      </c>
      <c r="H155" s="200">
        <f>'прил9 (ведом 23)'!M480</f>
        <v>24</v>
      </c>
    </row>
    <row r="156" spans="1:8" ht="36" x14ac:dyDescent="0.35">
      <c r="A156" s="343"/>
      <c r="B156" s="500" t="s">
        <v>473</v>
      </c>
      <c r="C156" s="657" t="s">
        <v>39</v>
      </c>
      <c r="D156" s="658" t="s">
        <v>30</v>
      </c>
      <c r="E156" s="658" t="s">
        <v>65</v>
      </c>
      <c r="F156" s="659" t="s">
        <v>44</v>
      </c>
      <c r="G156" s="222"/>
      <c r="H156" s="200">
        <f>H157</f>
        <v>334</v>
      </c>
    </row>
    <row r="157" spans="1:8" ht="36" x14ac:dyDescent="0.35">
      <c r="A157" s="343"/>
      <c r="B157" s="500" t="s">
        <v>127</v>
      </c>
      <c r="C157" s="657" t="s">
        <v>39</v>
      </c>
      <c r="D157" s="658" t="s">
        <v>30</v>
      </c>
      <c r="E157" s="658" t="s">
        <v>65</v>
      </c>
      <c r="F157" s="659" t="s">
        <v>90</v>
      </c>
      <c r="G157" s="222"/>
      <c r="H157" s="200">
        <f>H158</f>
        <v>334</v>
      </c>
    </row>
    <row r="158" spans="1:8" ht="36" x14ac:dyDescent="0.35">
      <c r="A158" s="343"/>
      <c r="B158" s="500" t="s">
        <v>55</v>
      </c>
      <c r="C158" s="657" t="s">
        <v>39</v>
      </c>
      <c r="D158" s="658" t="s">
        <v>30</v>
      </c>
      <c r="E158" s="658" t="s">
        <v>65</v>
      </c>
      <c r="F158" s="659" t="s">
        <v>90</v>
      </c>
      <c r="G158" s="222" t="s">
        <v>56</v>
      </c>
      <c r="H158" s="200">
        <f>'прил9 (ведом 23)'!M483</f>
        <v>334</v>
      </c>
    </row>
    <row r="159" spans="1:8" ht="18" x14ac:dyDescent="0.35">
      <c r="A159" s="343"/>
      <c r="B159" s="501"/>
      <c r="C159" s="657"/>
      <c r="D159" s="658"/>
      <c r="E159" s="658"/>
      <c r="F159" s="659"/>
      <c r="G159" s="222"/>
      <c r="H159" s="200"/>
    </row>
    <row r="160" spans="1:8" s="352" customFormat="1" ht="52.2" x14ac:dyDescent="0.3">
      <c r="A160" s="357">
        <v>2</v>
      </c>
      <c r="B160" s="493" t="s">
        <v>213</v>
      </c>
      <c r="C160" s="358" t="s">
        <v>63</v>
      </c>
      <c r="D160" s="358" t="s">
        <v>42</v>
      </c>
      <c r="E160" s="358" t="s">
        <v>43</v>
      </c>
      <c r="F160" s="359" t="s">
        <v>44</v>
      </c>
      <c r="G160" s="351"/>
      <c r="H160" s="238">
        <f>H161+H202+H209</f>
        <v>144875.79999999999</v>
      </c>
    </row>
    <row r="161" spans="1:8" s="352" customFormat="1" ht="54" x14ac:dyDescent="0.35">
      <c r="A161" s="343"/>
      <c r="B161" s="502" t="s">
        <v>214</v>
      </c>
      <c r="C161" s="191" t="s">
        <v>63</v>
      </c>
      <c r="D161" s="192" t="s">
        <v>45</v>
      </c>
      <c r="E161" s="192" t="s">
        <v>43</v>
      </c>
      <c r="F161" s="193" t="s">
        <v>44</v>
      </c>
      <c r="G161" s="222"/>
      <c r="H161" s="200">
        <f>H162+H171+H174+H187+H199</f>
        <v>130536.5</v>
      </c>
    </row>
    <row r="162" spans="1:8" s="352" customFormat="1" ht="36" x14ac:dyDescent="0.35">
      <c r="A162" s="343"/>
      <c r="B162" s="502" t="s">
        <v>281</v>
      </c>
      <c r="C162" s="191" t="s">
        <v>63</v>
      </c>
      <c r="D162" s="192" t="s">
        <v>45</v>
      </c>
      <c r="E162" s="192" t="s">
        <v>37</v>
      </c>
      <c r="F162" s="193" t="s">
        <v>44</v>
      </c>
      <c r="G162" s="222"/>
      <c r="H162" s="200">
        <f>H163+H167+H165+H169</f>
        <v>76691.100000000006</v>
      </c>
    </row>
    <row r="163" spans="1:8" s="352" customFormat="1" ht="36" x14ac:dyDescent="0.35">
      <c r="A163" s="343"/>
      <c r="B163" s="494" t="s">
        <v>466</v>
      </c>
      <c r="C163" s="191" t="s">
        <v>63</v>
      </c>
      <c r="D163" s="192" t="s">
        <v>45</v>
      </c>
      <c r="E163" s="192" t="s">
        <v>37</v>
      </c>
      <c r="F163" s="193" t="s">
        <v>91</v>
      </c>
      <c r="G163" s="28"/>
      <c r="H163" s="200">
        <f>H164</f>
        <v>60082</v>
      </c>
    </row>
    <row r="164" spans="1:8" s="352" customFormat="1" ht="36" x14ac:dyDescent="0.35">
      <c r="A164" s="343"/>
      <c r="B164" s="497" t="s">
        <v>76</v>
      </c>
      <c r="C164" s="191" t="s">
        <v>63</v>
      </c>
      <c r="D164" s="192" t="s">
        <v>45</v>
      </c>
      <c r="E164" s="192" t="s">
        <v>37</v>
      </c>
      <c r="F164" s="193" t="s">
        <v>91</v>
      </c>
      <c r="G164" s="28" t="s">
        <v>77</v>
      </c>
      <c r="H164" s="200">
        <f>'прил9 (ведом 23)'!M682</f>
        <v>60082</v>
      </c>
    </row>
    <row r="165" spans="1:8" s="352" customFormat="1" ht="18" x14ac:dyDescent="0.35">
      <c r="A165" s="343"/>
      <c r="B165" s="503" t="s">
        <v>467</v>
      </c>
      <c r="C165" s="191" t="s">
        <v>63</v>
      </c>
      <c r="D165" s="192" t="s">
        <v>45</v>
      </c>
      <c r="E165" s="192" t="s">
        <v>37</v>
      </c>
      <c r="F165" s="193" t="s">
        <v>384</v>
      </c>
      <c r="G165" s="28"/>
      <c r="H165" s="200">
        <f>H166</f>
        <v>6165</v>
      </c>
    </row>
    <row r="166" spans="1:8" s="352" customFormat="1" ht="36" x14ac:dyDescent="0.35">
      <c r="A166" s="343"/>
      <c r="B166" s="503" t="s">
        <v>76</v>
      </c>
      <c r="C166" s="191" t="s">
        <v>63</v>
      </c>
      <c r="D166" s="192" t="s">
        <v>45</v>
      </c>
      <c r="E166" s="192" t="s">
        <v>37</v>
      </c>
      <c r="F166" s="193" t="s">
        <v>384</v>
      </c>
      <c r="G166" s="28" t="s">
        <v>77</v>
      </c>
      <c r="H166" s="200">
        <f>'прил9 (ведом 23)'!M684</f>
        <v>6165</v>
      </c>
    </row>
    <row r="167" spans="1:8" s="352" customFormat="1" ht="36" x14ac:dyDescent="0.35">
      <c r="A167" s="343"/>
      <c r="B167" s="503" t="s">
        <v>320</v>
      </c>
      <c r="C167" s="191" t="s">
        <v>63</v>
      </c>
      <c r="D167" s="192" t="s">
        <v>45</v>
      </c>
      <c r="E167" s="192" t="s">
        <v>37</v>
      </c>
      <c r="F167" s="193" t="s">
        <v>321</v>
      </c>
      <c r="G167" s="28"/>
      <c r="H167" s="200">
        <f>H168</f>
        <v>7149.5</v>
      </c>
    </row>
    <row r="168" spans="1:8" s="352" customFormat="1" ht="36" x14ac:dyDescent="0.35">
      <c r="A168" s="343"/>
      <c r="B168" s="503" t="s">
        <v>76</v>
      </c>
      <c r="C168" s="191" t="s">
        <v>63</v>
      </c>
      <c r="D168" s="192" t="s">
        <v>45</v>
      </c>
      <c r="E168" s="192" t="s">
        <v>37</v>
      </c>
      <c r="F168" s="193" t="s">
        <v>321</v>
      </c>
      <c r="G168" s="28" t="s">
        <v>77</v>
      </c>
      <c r="H168" s="200">
        <f>'прил9 (ведом 23)'!M686</f>
        <v>7149.5</v>
      </c>
    </row>
    <row r="169" spans="1:8" s="352" customFormat="1" ht="54" x14ac:dyDescent="0.35">
      <c r="A169" s="343"/>
      <c r="B169" s="566" t="s">
        <v>696</v>
      </c>
      <c r="C169" s="661" t="s">
        <v>63</v>
      </c>
      <c r="D169" s="662" t="s">
        <v>45</v>
      </c>
      <c r="E169" s="662" t="s">
        <v>37</v>
      </c>
      <c r="F169" s="663" t="s">
        <v>695</v>
      </c>
      <c r="G169" s="10"/>
      <c r="H169" s="200">
        <f>H170</f>
        <v>3294.6</v>
      </c>
    </row>
    <row r="170" spans="1:8" s="352" customFormat="1" ht="36" x14ac:dyDescent="0.35">
      <c r="A170" s="343"/>
      <c r="B170" s="505" t="s">
        <v>76</v>
      </c>
      <c r="C170" s="661" t="s">
        <v>63</v>
      </c>
      <c r="D170" s="662" t="s">
        <v>45</v>
      </c>
      <c r="E170" s="662" t="s">
        <v>37</v>
      </c>
      <c r="F170" s="663" t="s">
        <v>695</v>
      </c>
      <c r="G170" s="10" t="s">
        <v>77</v>
      </c>
      <c r="H170" s="200">
        <f>'прил9 (ведом 23)'!M688</f>
        <v>3294.6</v>
      </c>
    </row>
    <row r="171" spans="1:8" ht="18" x14ac:dyDescent="0.35">
      <c r="A171" s="407"/>
      <c r="B171" s="497" t="s">
        <v>282</v>
      </c>
      <c r="C171" s="191" t="s">
        <v>63</v>
      </c>
      <c r="D171" s="192" t="s">
        <v>45</v>
      </c>
      <c r="E171" s="192" t="s">
        <v>39</v>
      </c>
      <c r="F171" s="193" t="s">
        <v>44</v>
      </c>
      <c r="G171" s="28"/>
      <c r="H171" s="408">
        <f>H172</f>
        <v>450</v>
      </c>
    </row>
    <row r="172" spans="1:8" s="352" customFormat="1" ht="36" x14ac:dyDescent="0.35">
      <c r="A172" s="343"/>
      <c r="B172" s="497" t="s">
        <v>211</v>
      </c>
      <c r="C172" s="191" t="s">
        <v>63</v>
      </c>
      <c r="D172" s="192" t="s">
        <v>45</v>
      </c>
      <c r="E172" s="192" t="s">
        <v>39</v>
      </c>
      <c r="F172" s="193" t="s">
        <v>284</v>
      </c>
      <c r="G172" s="28"/>
      <c r="H172" s="200">
        <f>H173</f>
        <v>450</v>
      </c>
    </row>
    <row r="173" spans="1:8" s="352" customFormat="1" ht="18" x14ac:dyDescent="0.35">
      <c r="A173" s="343"/>
      <c r="B173" s="497" t="s">
        <v>120</v>
      </c>
      <c r="C173" s="191" t="s">
        <v>63</v>
      </c>
      <c r="D173" s="192" t="s">
        <v>45</v>
      </c>
      <c r="E173" s="192" t="s">
        <v>39</v>
      </c>
      <c r="F173" s="193" t="s">
        <v>284</v>
      </c>
      <c r="G173" s="28" t="s">
        <v>121</v>
      </c>
      <c r="H173" s="200">
        <f>'прил9 (ведом 23)'!M694</f>
        <v>450</v>
      </c>
    </row>
    <row r="174" spans="1:8" s="352" customFormat="1" ht="18" x14ac:dyDescent="0.35">
      <c r="A174" s="343"/>
      <c r="B174" s="494" t="s">
        <v>322</v>
      </c>
      <c r="C174" s="360" t="s">
        <v>63</v>
      </c>
      <c r="D174" s="361" t="s">
        <v>45</v>
      </c>
      <c r="E174" s="361" t="s">
        <v>63</v>
      </c>
      <c r="F174" s="362" t="s">
        <v>44</v>
      </c>
      <c r="G174" s="363"/>
      <c r="H174" s="200">
        <f>H175+H177+H179+H181+H185+H183</f>
        <v>15615</v>
      </c>
    </row>
    <row r="175" spans="1:8" s="352" customFormat="1" ht="36" x14ac:dyDescent="0.35">
      <c r="A175" s="343"/>
      <c r="B175" s="494" t="s">
        <v>466</v>
      </c>
      <c r="C175" s="360" t="s">
        <v>63</v>
      </c>
      <c r="D175" s="361" t="s">
        <v>45</v>
      </c>
      <c r="E175" s="361" t="s">
        <v>63</v>
      </c>
      <c r="F175" s="362" t="s">
        <v>91</v>
      </c>
      <c r="G175" s="363"/>
      <c r="H175" s="200">
        <f>H176</f>
        <v>13184.900000000001</v>
      </c>
    </row>
    <row r="176" spans="1:8" s="352" customFormat="1" ht="36" x14ac:dyDescent="0.35">
      <c r="A176" s="343"/>
      <c r="B176" s="497" t="s">
        <v>76</v>
      </c>
      <c r="C176" s="191" t="s">
        <v>63</v>
      </c>
      <c r="D176" s="192" t="s">
        <v>45</v>
      </c>
      <c r="E176" s="192" t="s">
        <v>63</v>
      </c>
      <c r="F176" s="193" t="s">
        <v>91</v>
      </c>
      <c r="G176" s="28" t="s">
        <v>77</v>
      </c>
      <c r="H176" s="200">
        <f>'прил9 (ведом 23)'!M704</f>
        <v>13184.900000000001</v>
      </c>
    </row>
    <row r="177" spans="1:8" s="352" customFormat="1" ht="18" x14ac:dyDescent="0.35">
      <c r="A177" s="343"/>
      <c r="B177" s="504" t="s">
        <v>467</v>
      </c>
      <c r="C177" s="661" t="s">
        <v>63</v>
      </c>
      <c r="D177" s="662" t="s">
        <v>45</v>
      </c>
      <c r="E177" s="662" t="s">
        <v>63</v>
      </c>
      <c r="F177" s="663" t="s">
        <v>384</v>
      </c>
      <c r="G177" s="10"/>
      <c r="H177" s="200">
        <f>H178</f>
        <v>396.3</v>
      </c>
    </row>
    <row r="178" spans="1:8" s="352" customFormat="1" ht="36" x14ac:dyDescent="0.35">
      <c r="A178" s="343"/>
      <c r="B178" s="505" t="s">
        <v>76</v>
      </c>
      <c r="C178" s="661" t="s">
        <v>63</v>
      </c>
      <c r="D178" s="662" t="s">
        <v>45</v>
      </c>
      <c r="E178" s="662" t="s">
        <v>63</v>
      </c>
      <c r="F178" s="663" t="s">
        <v>384</v>
      </c>
      <c r="G178" s="10" t="s">
        <v>77</v>
      </c>
      <c r="H178" s="200">
        <f>'прил9 (ведом 23)'!M706</f>
        <v>396.3</v>
      </c>
    </row>
    <row r="179" spans="1:8" s="352" customFormat="1" ht="36" x14ac:dyDescent="0.35">
      <c r="A179" s="343"/>
      <c r="B179" s="497" t="s">
        <v>320</v>
      </c>
      <c r="C179" s="360" t="s">
        <v>63</v>
      </c>
      <c r="D179" s="361" t="s">
        <v>45</v>
      </c>
      <c r="E179" s="361" t="s">
        <v>63</v>
      </c>
      <c r="F179" s="362" t="s">
        <v>321</v>
      </c>
      <c r="G179" s="363"/>
      <c r="H179" s="200">
        <f>H180</f>
        <v>476.59999999999997</v>
      </c>
    </row>
    <row r="180" spans="1:8" s="352" customFormat="1" ht="36" x14ac:dyDescent="0.35">
      <c r="A180" s="343"/>
      <c r="B180" s="497" t="s">
        <v>76</v>
      </c>
      <c r="C180" s="360" t="s">
        <v>63</v>
      </c>
      <c r="D180" s="361" t="s">
        <v>45</v>
      </c>
      <c r="E180" s="361" t="s">
        <v>63</v>
      </c>
      <c r="F180" s="362" t="s">
        <v>321</v>
      </c>
      <c r="G180" s="363" t="s">
        <v>77</v>
      </c>
      <c r="H180" s="200">
        <f>'прил9 (ведом 23)'!M708</f>
        <v>476.59999999999997</v>
      </c>
    </row>
    <row r="181" spans="1:8" s="352" customFormat="1" ht="54" x14ac:dyDescent="0.35">
      <c r="A181" s="343"/>
      <c r="B181" s="497" t="s">
        <v>215</v>
      </c>
      <c r="C181" s="191" t="s">
        <v>63</v>
      </c>
      <c r="D181" s="192" t="s">
        <v>45</v>
      </c>
      <c r="E181" s="192" t="s">
        <v>63</v>
      </c>
      <c r="F181" s="193" t="s">
        <v>323</v>
      </c>
      <c r="G181" s="28"/>
      <c r="H181" s="200">
        <f>H182</f>
        <v>512</v>
      </c>
    </row>
    <row r="182" spans="1:8" s="352" customFormat="1" ht="36" x14ac:dyDescent="0.35">
      <c r="A182" s="343"/>
      <c r="B182" s="497" t="s">
        <v>76</v>
      </c>
      <c r="C182" s="191" t="s">
        <v>63</v>
      </c>
      <c r="D182" s="192" t="s">
        <v>45</v>
      </c>
      <c r="E182" s="192" t="s">
        <v>63</v>
      </c>
      <c r="F182" s="193" t="s">
        <v>323</v>
      </c>
      <c r="G182" s="28" t="s">
        <v>77</v>
      </c>
      <c r="H182" s="200">
        <f>'прил9 (ведом 23)'!M710</f>
        <v>512</v>
      </c>
    </row>
    <row r="183" spans="1:8" s="352" customFormat="1" ht="54" x14ac:dyDescent="0.35">
      <c r="A183" s="343"/>
      <c r="B183" s="566" t="s">
        <v>696</v>
      </c>
      <c r="C183" s="661" t="s">
        <v>63</v>
      </c>
      <c r="D183" s="662" t="s">
        <v>45</v>
      </c>
      <c r="E183" s="662" t="s">
        <v>63</v>
      </c>
      <c r="F183" s="663" t="s">
        <v>695</v>
      </c>
      <c r="G183" s="10"/>
      <c r="H183" s="200">
        <f>H184</f>
        <v>493.8</v>
      </c>
    </row>
    <row r="184" spans="1:8" s="352" customFormat="1" ht="36" x14ac:dyDescent="0.35">
      <c r="A184" s="343"/>
      <c r="B184" s="505" t="s">
        <v>76</v>
      </c>
      <c r="C184" s="661" t="s">
        <v>63</v>
      </c>
      <c r="D184" s="662" t="s">
        <v>45</v>
      </c>
      <c r="E184" s="662" t="s">
        <v>63</v>
      </c>
      <c r="F184" s="663" t="s">
        <v>695</v>
      </c>
      <c r="G184" s="10" t="s">
        <v>77</v>
      </c>
      <c r="H184" s="200">
        <f>'прил9 (ведом 23)'!M712</f>
        <v>493.8</v>
      </c>
    </row>
    <row r="185" spans="1:8" s="352" customFormat="1" ht="18" x14ac:dyDescent="0.35">
      <c r="A185" s="343"/>
      <c r="B185" s="503" t="s">
        <v>570</v>
      </c>
      <c r="C185" s="191" t="s">
        <v>63</v>
      </c>
      <c r="D185" s="192" t="s">
        <v>45</v>
      </c>
      <c r="E185" s="192" t="s">
        <v>63</v>
      </c>
      <c r="F185" s="193" t="s">
        <v>569</v>
      </c>
      <c r="G185" s="28"/>
      <c r="H185" s="200">
        <f>H186</f>
        <v>551.4</v>
      </c>
    </row>
    <row r="186" spans="1:8" s="352" customFormat="1" ht="36" x14ac:dyDescent="0.35">
      <c r="A186" s="343"/>
      <c r="B186" s="503" t="s">
        <v>76</v>
      </c>
      <c r="C186" s="191" t="s">
        <v>63</v>
      </c>
      <c r="D186" s="192" t="s">
        <v>45</v>
      </c>
      <c r="E186" s="192" t="s">
        <v>63</v>
      </c>
      <c r="F186" s="193" t="s">
        <v>569</v>
      </c>
      <c r="G186" s="28" t="s">
        <v>77</v>
      </c>
      <c r="H186" s="200">
        <f>'прил9 (ведом 23)'!M714</f>
        <v>551.4</v>
      </c>
    </row>
    <row r="187" spans="1:8" s="352" customFormat="1" ht="36" x14ac:dyDescent="0.35">
      <c r="A187" s="343"/>
      <c r="B187" s="497" t="s">
        <v>324</v>
      </c>
      <c r="C187" s="360" t="s">
        <v>63</v>
      </c>
      <c r="D187" s="361" t="s">
        <v>45</v>
      </c>
      <c r="E187" s="361" t="s">
        <v>52</v>
      </c>
      <c r="F187" s="193" t="s">
        <v>44</v>
      </c>
      <c r="G187" s="28"/>
      <c r="H187" s="200">
        <f>H188+H193+H197+H195</f>
        <v>37479.799999999996</v>
      </c>
    </row>
    <row r="188" spans="1:8" s="352" customFormat="1" ht="36" x14ac:dyDescent="0.35">
      <c r="A188" s="343"/>
      <c r="B188" s="494" t="s">
        <v>466</v>
      </c>
      <c r="C188" s="360" t="s">
        <v>63</v>
      </c>
      <c r="D188" s="361" t="s">
        <v>45</v>
      </c>
      <c r="E188" s="361" t="s">
        <v>52</v>
      </c>
      <c r="F188" s="362" t="s">
        <v>91</v>
      </c>
      <c r="G188" s="363"/>
      <c r="H188" s="200">
        <f>SUM(H189:H192)</f>
        <v>16890.3</v>
      </c>
    </row>
    <row r="189" spans="1:8" s="352" customFormat="1" ht="90" x14ac:dyDescent="0.35">
      <c r="A189" s="343"/>
      <c r="B189" s="495" t="s">
        <v>49</v>
      </c>
      <c r="C189" s="191" t="s">
        <v>63</v>
      </c>
      <c r="D189" s="192" t="s">
        <v>45</v>
      </c>
      <c r="E189" s="192" t="s">
        <v>52</v>
      </c>
      <c r="F189" s="193" t="s">
        <v>91</v>
      </c>
      <c r="G189" s="28" t="s">
        <v>50</v>
      </c>
      <c r="H189" s="200">
        <f>'прил9 (ведом 23)'!M717</f>
        <v>15616.62818</v>
      </c>
    </row>
    <row r="190" spans="1:8" s="352" customFormat="1" ht="36" x14ac:dyDescent="0.35">
      <c r="A190" s="343"/>
      <c r="B190" s="495" t="s">
        <v>55</v>
      </c>
      <c r="C190" s="191" t="s">
        <v>63</v>
      </c>
      <c r="D190" s="192" t="s">
        <v>45</v>
      </c>
      <c r="E190" s="192" t="s">
        <v>52</v>
      </c>
      <c r="F190" s="193" t="s">
        <v>91</v>
      </c>
      <c r="G190" s="28" t="s">
        <v>56</v>
      </c>
      <c r="H190" s="200">
        <f>'прил9 (ведом 23)'!M718</f>
        <v>1225.0999999999999</v>
      </c>
    </row>
    <row r="191" spans="1:8" s="352" customFormat="1" ht="18" x14ac:dyDescent="0.35">
      <c r="A191" s="343"/>
      <c r="B191" s="505" t="s">
        <v>120</v>
      </c>
      <c r="C191" s="661" t="s">
        <v>63</v>
      </c>
      <c r="D191" s="662" t="s">
        <v>45</v>
      </c>
      <c r="E191" s="662" t="s">
        <v>52</v>
      </c>
      <c r="F191" s="663" t="s">
        <v>91</v>
      </c>
      <c r="G191" s="10" t="s">
        <v>121</v>
      </c>
      <c r="H191" s="200">
        <f>'прил9 (ведом 23)'!M719</f>
        <v>1.57182</v>
      </c>
    </row>
    <row r="192" spans="1:8" s="352" customFormat="1" ht="18" x14ac:dyDescent="0.35">
      <c r="A192" s="343"/>
      <c r="B192" s="495" t="s">
        <v>57</v>
      </c>
      <c r="C192" s="191" t="s">
        <v>63</v>
      </c>
      <c r="D192" s="192" t="s">
        <v>45</v>
      </c>
      <c r="E192" s="192" t="s">
        <v>52</v>
      </c>
      <c r="F192" s="193" t="s">
        <v>91</v>
      </c>
      <c r="G192" s="28" t="s">
        <v>58</v>
      </c>
      <c r="H192" s="200">
        <f>'прил9 (ведом 23)'!M720</f>
        <v>47</v>
      </c>
    </row>
    <row r="193" spans="1:8" s="352" customFormat="1" ht="36" x14ac:dyDescent="0.35">
      <c r="A193" s="343"/>
      <c r="B193" s="505" t="s">
        <v>76</v>
      </c>
      <c r="C193" s="661" t="s">
        <v>63</v>
      </c>
      <c r="D193" s="662" t="s">
        <v>45</v>
      </c>
      <c r="E193" s="662" t="s">
        <v>52</v>
      </c>
      <c r="F193" s="663" t="s">
        <v>384</v>
      </c>
      <c r="G193" s="10"/>
      <c r="H193" s="200">
        <f>H194</f>
        <v>833.3</v>
      </c>
    </row>
    <row r="194" spans="1:8" s="352" customFormat="1" ht="36" x14ac:dyDescent="0.35">
      <c r="A194" s="343"/>
      <c r="B194" s="498" t="s">
        <v>55</v>
      </c>
      <c r="C194" s="661" t="s">
        <v>63</v>
      </c>
      <c r="D194" s="662" t="s">
        <v>45</v>
      </c>
      <c r="E194" s="662" t="s">
        <v>52</v>
      </c>
      <c r="F194" s="663" t="s">
        <v>384</v>
      </c>
      <c r="G194" s="10" t="s">
        <v>56</v>
      </c>
      <c r="H194" s="200">
        <f>'прил9 (ведом 23)'!M722</f>
        <v>833.3</v>
      </c>
    </row>
    <row r="195" spans="1:8" s="352" customFormat="1" ht="54" x14ac:dyDescent="0.35">
      <c r="A195" s="343"/>
      <c r="B195" s="566" t="s">
        <v>696</v>
      </c>
      <c r="C195" s="661" t="s">
        <v>63</v>
      </c>
      <c r="D195" s="662" t="s">
        <v>45</v>
      </c>
      <c r="E195" s="662" t="s">
        <v>52</v>
      </c>
      <c r="F195" s="663" t="s">
        <v>695</v>
      </c>
      <c r="G195" s="10"/>
      <c r="H195" s="200">
        <f>H196</f>
        <v>1656.2</v>
      </c>
    </row>
    <row r="196" spans="1:8" s="352" customFormat="1" ht="36" x14ac:dyDescent="0.35">
      <c r="A196" s="343"/>
      <c r="B196" s="498" t="s">
        <v>55</v>
      </c>
      <c r="C196" s="661" t="s">
        <v>63</v>
      </c>
      <c r="D196" s="662" t="s">
        <v>45</v>
      </c>
      <c r="E196" s="662" t="s">
        <v>52</v>
      </c>
      <c r="F196" s="663" t="s">
        <v>695</v>
      </c>
      <c r="G196" s="10" t="s">
        <v>56</v>
      </c>
      <c r="H196" s="200">
        <f>'прил9 (ведом 23)'!M724</f>
        <v>1656.2</v>
      </c>
    </row>
    <row r="197" spans="1:8" s="352" customFormat="1" ht="90" x14ac:dyDescent="0.35">
      <c r="A197" s="343"/>
      <c r="B197" s="566" t="s">
        <v>628</v>
      </c>
      <c r="C197" s="661" t="s">
        <v>63</v>
      </c>
      <c r="D197" s="662" t="s">
        <v>45</v>
      </c>
      <c r="E197" s="662" t="s">
        <v>52</v>
      </c>
      <c r="F197" s="663" t="s">
        <v>629</v>
      </c>
      <c r="G197" s="10"/>
      <c r="H197" s="200">
        <f>H198</f>
        <v>18100</v>
      </c>
    </row>
    <row r="198" spans="1:8" s="352" customFormat="1" ht="36" x14ac:dyDescent="0.35">
      <c r="A198" s="343"/>
      <c r="B198" s="566" t="s">
        <v>55</v>
      </c>
      <c r="C198" s="661" t="s">
        <v>63</v>
      </c>
      <c r="D198" s="662" t="s">
        <v>45</v>
      </c>
      <c r="E198" s="662" t="s">
        <v>52</v>
      </c>
      <c r="F198" s="663" t="s">
        <v>629</v>
      </c>
      <c r="G198" s="10" t="s">
        <v>56</v>
      </c>
      <c r="H198" s="200">
        <f>'прил9 (ведом 23)'!M726</f>
        <v>18100</v>
      </c>
    </row>
    <row r="199" spans="1:8" s="352" customFormat="1" ht="36" x14ac:dyDescent="0.35">
      <c r="A199" s="343"/>
      <c r="B199" s="503" t="s">
        <v>286</v>
      </c>
      <c r="C199" s="191" t="s">
        <v>63</v>
      </c>
      <c r="D199" s="192" t="s">
        <v>45</v>
      </c>
      <c r="E199" s="192" t="s">
        <v>65</v>
      </c>
      <c r="F199" s="193" t="s">
        <v>44</v>
      </c>
      <c r="G199" s="28"/>
      <c r="H199" s="200">
        <f>H200</f>
        <v>300.60000000000002</v>
      </c>
    </row>
    <row r="200" spans="1:8" s="352" customFormat="1" ht="36" x14ac:dyDescent="0.35">
      <c r="A200" s="343"/>
      <c r="B200" s="503" t="s">
        <v>472</v>
      </c>
      <c r="C200" s="191" t="s">
        <v>63</v>
      </c>
      <c r="D200" s="192" t="s">
        <v>45</v>
      </c>
      <c r="E200" s="192" t="s">
        <v>65</v>
      </c>
      <c r="F200" s="193" t="s">
        <v>471</v>
      </c>
      <c r="G200" s="28"/>
      <c r="H200" s="200">
        <f>H201</f>
        <v>300.60000000000002</v>
      </c>
    </row>
    <row r="201" spans="1:8" s="352" customFormat="1" ht="36" x14ac:dyDescent="0.35">
      <c r="A201" s="343"/>
      <c r="B201" s="503" t="s">
        <v>76</v>
      </c>
      <c r="C201" s="191" t="s">
        <v>63</v>
      </c>
      <c r="D201" s="192" t="s">
        <v>45</v>
      </c>
      <c r="E201" s="192" t="s">
        <v>65</v>
      </c>
      <c r="F201" s="193" t="s">
        <v>471</v>
      </c>
      <c r="G201" s="28" t="s">
        <v>77</v>
      </c>
      <c r="H201" s="200">
        <f>'прил9 (ведом 23)'!M697</f>
        <v>300.60000000000002</v>
      </c>
    </row>
    <row r="202" spans="1:8" ht="36" x14ac:dyDescent="0.35">
      <c r="A202" s="343"/>
      <c r="B202" s="494" t="s">
        <v>331</v>
      </c>
      <c r="C202" s="360" t="s">
        <v>63</v>
      </c>
      <c r="D202" s="361" t="s">
        <v>89</v>
      </c>
      <c r="E202" s="361" t="s">
        <v>43</v>
      </c>
      <c r="F202" s="193" t="s">
        <v>44</v>
      </c>
      <c r="G202" s="363"/>
      <c r="H202" s="200">
        <f>H203</f>
        <v>2763.5000000000005</v>
      </c>
    </row>
    <row r="203" spans="1:8" ht="90" x14ac:dyDescent="0.35">
      <c r="A203" s="343"/>
      <c r="B203" s="497" t="s">
        <v>325</v>
      </c>
      <c r="C203" s="360" t="s">
        <v>63</v>
      </c>
      <c r="D203" s="361" t="s">
        <v>89</v>
      </c>
      <c r="E203" s="361" t="s">
        <v>63</v>
      </c>
      <c r="F203" s="193" t="s">
        <v>44</v>
      </c>
      <c r="G203" s="363"/>
      <c r="H203" s="200">
        <f>H204+H207</f>
        <v>2763.5000000000005</v>
      </c>
    </row>
    <row r="204" spans="1:8" ht="36" x14ac:dyDescent="0.35">
      <c r="A204" s="343"/>
      <c r="B204" s="497" t="s">
        <v>320</v>
      </c>
      <c r="C204" s="360" t="s">
        <v>63</v>
      </c>
      <c r="D204" s="361" t="s">
        <v>89</v>
      </c>
      <c r="E204" s="361" t="s">
        <v>63</v>
      </c>
      <c r="F204" s="362" t="s">
        <v>321</v>
      </c>
      <c r="G204" s="222"/>
      <c r="H204" s="200">
        <f>SUM(H205:H206)</f>
        <v>2721.3940000000002</v>
      </c>
    </row>
    <row r="205" spans="1:8" ht="36" x14ac:dyDescent="0.35">
      <c r="A205" s="343"/>
      <c r="B205" s="494" t="s">
        <v>55</v>
      </c>
      <c r="C205" s="191" t="s">
        <v>63</v>
      </c>
      <c r="D205" s="192" t="s">
        <v>89</v>
      </c>
      <c r="E205" s="192" t="s">
        <v>63</v>
      </c>
      <c r="F205" s="193" t="s">
        <v>321</v>
      </c>
      <c r="G205" s="222" t="s">
        <v>56</v>
      </c>
      <c r="H205" s="200">
        <f>'прил9 (ведом 23)'!M739+'прил9 (ведом 23)'!M730</f>
        <v>2275</v>
      </c>
    </row>
    <row r="206" spans="1:8" ht="36" x14ac:dyDescent="0.35">
      <c r="A206" s="343"/>
      <c r="B206" s="497" t="s">
        <v>76</v>
      </c>
      <c r="C206" s="191" t="s">
        <v>63</v>
      </c>
      <c r="D206" s="192" t="s">
        <v>89</v>
      </c>
      <c r="E206" s="192" t="s">
        <v>63</v>
      </c>
      <c r="F206" s="193" t="s">
        <v>321</v>
      </c>
      <c r="G206" s="28" t="s">
        <v>77</v>
      </c>
      <c r="H206" s="200">
        <f>'прил9 (ведом 23)'!M731</f>
        <v>446.39400000000001</v>
      </c>
    </row>
    <row r="207" spans="1:8" ht="36" x14ac:dyDescent="0.35">
      <c r="A207" s="343"/>
      <c r="B207" s="503" t="s">
        <v>415</v>
      </c>
      <c r="C207" s="191" t="s">
        <v>63</v>
      </c>
      <c r="D207" s="192" t="s">
        <v>89</v>
      </c>
      <c r="E207" s="192" t="s">
        <v>63</v>
      </c>
      <c r="F207" s="193" t="s">
        <v>416</v>
      </c>
      <c r="G207" s="28"/>
      <c r="H207" s="200">
        <f>H208</f>
        <v>42.106000000000002</v>
      </c>
    </row>
    <row r="208" spans="1:8" ht="36" x14ac:dyDescent="0.35">
      <c r="A208" s="343"/>
      <c r="B208" s="503" t="s">
        <v>76</v>
      </c>
      <c r="C208" s="191" t="s">
        <v>63</v>
      </c>
      <c r="D208" s="192" t="s">
        <v>89</v>
      </c>
      <c r="E208" s="192" t="s">
        <v>63</v>
      </c>
      <c r="F208" s="193" t="s">
        <v>416</v>
      </c>
      <c r="G208" s="28" t="s">
        <v>77</v>
      </c>
      <c r="H208" s="200">
        <f>'прил9 (ведом 23)'!M733</f>
        <v>42.106000000000002</v>
      </c>
    </row>
    <row r="209" spans="1:8" s="352" customFormat="1" ht="36" x14ac:dyDescent="0.35">
      <c r="A209" s="343"/>
      <c r="B209" s="494" t="s">
        <v>216</v>
      </c>
      <c r="C209" s="191" t="s">
        <v>63</v>
      </c>
      <c r="D209" s="192" t="s">
        <v>30</v>
      </c>
      <c r="E209" s="192" t="s">
        <v>43</v>
      </c>
      <c r="F209" s="193" t="s">
        <v>44</v>
      </c>
      <c r="G209" s="222"/>
      <c r="H209" s="200">
        <f>H210+H219</f>
        <v>11575.800000000001</v>
      </c>
    </row>
    <row r="210" spans="1:8" s="352" customFormat="1" ht="36" x14ac:dyDescent="0.35">
      <c r="A210" s="343"/>
      <c r="B210" s="494" t="s">
        <v>287</v>
      </c>
      <c r="C210" s="191" t="s">
        <v>63</v>
      </c>
      <c r="D210" s="192" t="s">
        <v>30</v>
      </c>
      <c r="E210" s="192" t="s">
        <v>37</v>
      </c>
      <c r="F210" s="193" t="s">
        <v>44</v>
      </c>
      <c r="G210" s="28"/>
      <c r="H210" s="200">
        <f>H211+H215</f>
        <v>11521.7</v>
      </c>
    </row>
    <row r="211" spans="1:8" ht="36" x14ac:dyDescent="0.35">
      <c r="A211" s="343"/>
      <c r="B211" s="494" t="s">
        <v>47</v>
      </c>
      <c r="C211" s="191" t="s">
        <v>63</v>
      </c>
      <c r="D211" s="192" t="s">
        <v>30</v>
      </c>
      <c r="E211" s="192" t="s">
        <v>37</v>
      </c>
      <c r="F211" s="193" t="s">
        <v>48</v>
      </c>
      <c r="G211" s="363"/>
      <c r="H211" s="200">
        <f>SUM(H212:H214)</f>
        <v>3487.2000000000003</v>
      </c>
    </row>
    <row r="212" spans="1:8" ht="90" x14ac:dyDescent="0.35">
      <c r="A212" s="343"/>
      <c r="B212" s="494" t="s">
        <v>49</v>
      </c>
      <c r="C212" s="191" t="s">
        <v>63</v>
      </c>
      <c r="D212" s="192" t="s">
        <v>30</v>
      </c>
      <c r="E212" s="192" t="s">
        <v>37</v>
      </c>
      <c r="F212" s="193" t="s">
        <v>48</v>
      </c>
      <c r="G212" s="363" t="s">
        <v>50</v>
      </c>
      <c r="H212" s="200">
        <f>'прил9 (ведом 23)'!M743</f>
        <v>3193.9</v>
      </c>
    </row>
    <row r="213" spans="1:8" ht="36" x14ac:dyDescent="0.35">
      <c r="A213" s="343"/>
      <c r="B213" s="494" t="s">
        <v>55</v>
      </c>
      <c r="C213" s="191" t="s">
        <v>63</v>
      </c>
      <c r="D213" s="192" t="s">
        <v>30</v>
      </c>
      <c r="E213" s="192" t="s">
        <v>37</v>
      </c>
      <c r="F213" s="193" t="s">
        <v>48</v>
      </c>
      <c r="G213" s="363" t="s">
        <v>56</v>
      </c>
      <c r="H213" s="200">
        <f>'прил9 (ведом 23)'!M744</f>
        <v>284.8</v>
      </c>
    </row>
    <row r="214" spans="1:8" ht="18" x14ac:dyDescent="0.35">
      <c r="A214" s="343"/>
      <c r="B214" s="494" t="s">
        <v>57</v>
      </c>
      <c r="C214" s="191" t="s">
        <v>63</v>
      </c>
      <c r="D214" s="192" t="s">
        <v>30</v>
      </c>
      <c r="E214" s="192" t="s">
        <v>37</v>
      </c>
      <c r="F214" s="193" t="s">
        <v>48</v>
      </c>
      <c r="G214" s="28" t="s">
        <v>58</v>
      </c>
      <c r="H214" s="200">
        <f>'прил9 (ведом 23)'!M745</f>
        <v>8.5</v>
      </c>
    </row>
    <row r="215" spans="1:8" ht="36" x14ac:dyDescent="0.35">
      <c r="A215" s="343"/>
      <c r="B215" s="494" t="s">
        <v>466</v>
      </c>
      <c r="C215" s="191" t="s">
        <v>63</v>
      </c>
      <c r="D215" s="192" t="s">
        <v>30</v>
      </c>
      <c r="E215" s="192" t="s">
        <v>37</v>
      </c>
      <c r="F215" s="193" t="s">
        <v>91</v>
      </c>
      <c r="G215" s="28"/>
      <c r="H215" s="200">
        <f>SUM(H216:H218)</f>
        <v>8034.5000000000009</v>
      </c>
    </row>
    <row r="216" spans="1:8" ht="90" x14ac:dyDescent="0.35">
      <c r="A216" s="343"/>
      <c r="B216" s="494" t="s">
        <v>49</v>
      </c>
      <c r="C216" s="191" t="s">
        <v>63</v>
      </c>
      <c r="D216" s="192" t="s">
        <v>30</v>
      </c>
      <c r="E216" s="192" t="s">
        <v>37</v>
      </c>
      <c r="F216" s="193" t="s">
        <v>91</v>
      </c>
      <c r="G216" s="363" t="s">
        <v>50</v>
      </c>
      <c r="H216" s="200">
        <f>'прил9 (ведом 23)'!M747</f>
        <v>7283.1</v>
      </c>
    </row>
    <row r="217" spans="1:8" ht="36" x14ac:dyDescent="0.35">
      <c r="A217" s="343"/>
      <c r="B217" s="494" t="s">
        <v>55</v>
      </c>
      <c r="C217" s="191" t="s">
        <v>63</v>
      </c>
      <c r="D217" s="192" t="s">
        <v>30</v>
      </c>
      <c r="E217" s="192" t="s">
        <v>37</v>
      </c>
      <c r="F217" s="193" t="s">
        <v>91</v>
      </c>
      <c r="G217" s="363" t="s">
        <v>56</v>
      </c>
      <c r="H217" s="200">
        <f>'прил9 (ведом 23)'!M748</f>
        <v>749.80000000000007</v>
      </c>
    </row>
    <row r="218" spans="1:8" ht="18" x14ac:dyDescent="0.35">
      <c r="A218" s="343"/>
      <c r="B218" s="494" t="s">
        <v>57</v>
      </c>
      <c r="C218" s="191" t="s">
        <v>63</v>
      </c>
      <c r="D218" s="192" t="s">
        <v>30</v>
      </c>
      <c r="E218" s="192" t="s">
        <v>37</v>
      </c>
      <c r="F218" s="193" t="s">
        <v>91</v>
      </c>
      <c r="G218" s="28" t="s">
        <v>58</v>
      </c>
      <c r="H218" s="200">
        <f>'прил9 (ведом 23)'!M749</f>
        <v>1.6</v>
      </c>
    </row>
    <row r="219" spans="1:8" ht="36" x14ac:dyDescent="0.35">
      <c r="A219" s="343"/>
      <c r="B219" s="495" t="s">
        <v>356</v>
      </c>
      <c r="C219" s="191" t="s">
        <v>63</v>
      </c>
      <c r="D219" s="192" t="s">
        <v>30</v>
      </c>
      <c r="E219" s="192" t="s">
        <v>39</v>
      </c>
      <c r="F219" s="193" t="s">
        <v>44</v>
      </c>
      <c r="G219" s="139"/>
      <c r="H219" s="200">
        <f>H220</f>
        <v>54.1</v>
      </c>
    </row>
    <row r="220" spans="1:8" ht="54" x14ac:dyDescent="0.35">
      <c r="A220" s="343"/>
      <c r="B220" s="495" t="s">
        <v>357</v>
      </c>
      <c r="C220" s="191" t="s">
        <v>63</v>
      </c>
      <c r="D220" s="192" t="s">
        <v>30</v>
      </c>
      <c r="E220" s="192" t="s">
        <v>39</v>
      </c>
      <c r="F220" s="193" t="s">
        <v>105</v>
      </c>
      <c r="G220" s="139"/>
      <c r="H220" s="200">
        <f>H221</f>
        <v>54.1</v>
      </c>
    </row>
    <row r="221" spans="1:8" ht="36" x14ac:dyDescent="0.35">
      <c r="A221" s="343"/>
      <c r="B221" s="495" t="s">
        <v>55</v>
      </c>
      <c r="C221" s="191" t="s">
        <v>63</v>
      </c>
      <c r="D221" s="192" t="s">
        <v>30</v>
      </c>
      <c r="E221" s="192" t="s">
        <v>39</v>
      </c>
      <c r="F221" s="193" t="s">
        <v>105</v>
      </c>
      <c r="G221" s="28" t="s">
        <v>56</v>
      </c>
      <c r="H221" s="200">
        <f>'прил9 (ведом 23)'!M675</f>
        <v>54.1</v>
      </c>
    </row>
    <row r="222" spans="1:8" ht="18" x14ac:dyDescent="0.35">
      <c r="A222" s="343"/>
      <c r="B222" s="501"/>
      <c r="C222" s="364"/>
      <c r="D222" s="364"/>
      <c r="E222" s="282"/>
      <c r="F222" s="365"/>
      <c r="G222" s="222"/>
      <c r="H222" s="200"/>
    </row>
    <row r="223" spans="1:8" s="352" customFormat="1" ht="52.2" x14ac:dyDescent="0.3">
      <c r="A223" s="357">
        <v>3</v>
      </c>
      <c r="B223" s="506" t="s">
        <v>217</v>
      </c>
      <c r="C223" s="358" t="s">
        <v>52</v>
      </c>
      <c r="D223" s="358" t="s">
        <v>42</v>
      </c>
      <c r="E223" s="358" t="s">
        <v>43</v>
      </c>
      <c r="F223" s="359" t="s">
        <v>44</v>
      </c>
      <c r="G223" s="351"/>
      <c r="H223" s="238">
        <f>H224+H234+H267</f>
        <v>153417.59999999998</v>
      </c>
    </row>
    <row r="224" spans="1:8" ht="18" x14ac:dyDescent="0.35">
      <c r="A224" s="343"/>
      <c r="B224" s="502" t="s">
        <v>218</v>
      </c>
      <c r="C224" s="191" t="s">
        <v>52</v>
      </c>
      <c r="D224" s="192" t="s">
        <v>45</v>
      </c>
      <c r="E224" s="192" t="s">
        <v>43</v>
      </c>
      <c r="F224" s="193" t="s">
        <v>44</v>
      </c>
      <c r="G224" s="222"/>
      <c r="H224" s="200">
        <f>H225+H228+H231</f>
        <v>2743.8</v>
      </c>
    </row>
    <row r="225" spans="1:8" ht="18" x14ac:dyDescent="0.35">
      <c r="A225" s="343"/>
      <c r="B225" s="494" t="s">
        <v>282</v>
      </c>
      <c r="C225" s="191" t="s">
        <v>52</v>
      </c>
      <c r="D225" s="192" t="s">
        <v>45</v>
      </c>
      <c r="E225" s="192" t="s">
        <v>37</v>
      </c>
      <c r="F225" s="193" t="s">
        <v>44</v>
      </c>
      <c r="G225" s="222"/>
      <c r="H225" s="200">
        <f>H226</f>
        <v>342</v>
      </c>
    </row>
    <row r="226" spans="1:8" ht="36" x14ac:dyDescent="0.35">
      <c r="A226" s="343"/>
      <c r="B226" s="494" t="s">
        <v>283</v>
      </c>
      <c r="C226" s="191" t="s">
        <v>52</v>
      </c>
      <c r="D226" s="192" t="s">
        <v>45</v>
      </c>
      <c r="E226" s="192" t="s">
        <v>37</v>
      </c>
      <c r="F226" s="193" t="s">
        <v>284</v>
      </c>
      <c r="G226" s="28"/>
      <c r="H226" s="200">
        <f>H227</f>
        <v>342</v>
      </c>
    </row>
    <row r="227" spans="1:8" ht="18" x14ac:dyDescent="0.35">
      <c r="A227" s="343"/>
      <c r="B227" s="494" t="s">
        <v>120</v>
      </c>
      <c r="C227" s="191" t="s">
        <v>52</v>
      </c>
      <c r="D227" s="192" t="s">
        <v>45</v>
      </c>
      <c r="E227" s="192" t="s">
        <v>37</v>
      </c>
      <c r="F227" s="193" t="s">
        <v>284</v>
      </c>
      <c r="G227" s="28" t="s">
        <v>121</v>
      </c>
      <c r="H227" s="200">
        <f>'прил9 (ведом 23)'!M765+'прил9 (ведом 23)'!M799</f>
        <v>342</v>
      </c>
    </row>
    <row r="228" spans="1:8" ht="54" x14ac:dyDescent="0.35">
      <c r="A228" s="343"/>
      <c r="B228" s="494" t="s">
        <v>296</v>
      </c>
      <c r="C228" s="191" t="s">
        <v>52</v>
      </c>
      <c r="D228" s="192" t="s">
        <v>45</v>
      </c>
      <c r="E228" s="192" t="s">
        <v>39</v>
      </c>
      <c r="F228" s="193" t="s">
        <v>44</v>
      </c>
      <c r="G228" s="28"/>
      <c r="H228" s="200">
        <f>H229</f>
        <v>910.6</v>
      </c>
    </row>
    <row r="229" spans="1:8" ht="36" x14ac:dyDescent="0.35">
      <c r="A229" s="343"/>
      <c r="B229" s="494" t="s">
        <v>219</v>
      </c>
      <c r="C229" s="191" t="s">
        <v>52</v>
      </c>
      <c r="D229" s="192" t="s">
        <v>45</v>
      </c>
      <c r="E229" s="192" t="s">
        <v>39</v>
      </c>
      <c r="F229" s="193" t="s">
        <v>297</v>
      </c>
      <c r="G229" s="28"/>
      <c r="H229" s="200">
        <f>SUM(H230:H230)</f>
        <v>910.6</v>
      </c>
    </row>
    <row r="230" spans="1:8" ht="36" x14ac:dyDescent="0.35">
      <c r="A230" s="343"/>
      <c r="B230" s="494" t="s">
        <v>55</v>
      </c>
      <c r="C230" s="191" t="s">
        <v>52</v>
      </c>
      <c r="D230" s="192" t="s">
        <v>45</v>
      </c>
      <c r="E230" s="192" t="s">
        <v>39</v>
      </c>
      <c r="F230" s="193" t="s">
        <v>297</v>
      </c>
      <c r="G230" s="28" t="s">
        <v>56</v>
      </c>
      <c r="H230" s="200">
        <f>'прил9 (ведом 23)'!M786</f>
        <v>910.6</v>
      </c>
    </row>
    <row r="231" spans="1:8" ht="18" x14ac:dyDescent="0.35">
      <c r="A231" s="343"/>
      <c r="B231" s="498" t="s">
        <v>492</v>
      </c>
      <c r="C231" s="661" t="s">
        <v>52</v>
      </c>
      <c r="D231" s="662" t="s">
        <v>45</v>
      </c>
      <c r="E231" s="662" t="s">
        <v>491</v>
      </c>
      <c r="F231" s="663" t="s">
        <v>44</v>
      </c>
      <c r="G231" s="10"/>
      <c r="H231" s="200">
        <f>H232</f>
        <v>1491.2</v>
      </c>
    </row>
    <row r="232" spans="1:8" ht="36" x14ac:dyDescent="0.35">
      <c r="A232" s="343"/>
      <c r="B232" s="498" t="s">
        <v>493</v>
      </c>
      <c r="C232" s="661" t="s">
        <v>52</v>
      </c>
      <c r="D232" s="662" t="s">
        <v>45</v>
      </c>
      <c r="E232" s="662" t="s">
        <v>491</v>
      </c>
      <c r="F232" s="663" t="s">
        <v>503</v>
      </c>
      <c r="G232" s="10"/>
      <c r="H232" s="200">
        <f>H233</f>
        <v>1491.2</v>
      </c>
    </row>
    <row r="233" spans="1:8" ht="36" x14ac:dyDescent="0.35">
      <c r="A233" s="343"/>
      <c r="B233" s="498" t="s">
        <v>55</v>
      </c>
      <c r="C233" s="661" t="s">
        <v>52</v>
      </c>
      <c r="D233" s="662" t="s">
        <v>45</v>
      </c>
      <c r="E233" s="662" t="s">
        <v>491</v>
      </c>
      <c r="F233" s="663" t="s">
        <v>503</v>
      </c>
      <c r="G233" s="10" t="s">
        <v>56</v>
      </c>
      <c r="H233" s="200">
        <f>'прил9 (ведом 23)'!M789</f>
        <v>1491.2</v>
      </c>
    </row>
    <row r="234" spans="1:8" ht="18" x14ac:dyDescent="0.35">
      <c r="A234" s="343"/>
      <c r="B234" s="494" t="s">
        <v>220</v>
      </c>
      <c r="C234" s="191" t="s">
        <v>52</v>
      </c>
      <c r="D234" s="192" t="s">
        <v>89</v>
      </c>
      <c r="E234" s="192" t="s">
        <v>43</v>
      </c>
      <c r="F234" s="193" t="s">
        <v>44</v>
      </c>
      <c r="G234" s="222"/>
      <c r="H234" s="200">
        <f>H235+H240+H257+H260</f>
        <v>76731.599999999991</v>
      </c>
    </row>
    <row r="235" spans="1:8" ht="36" x14ac:dyDescent="0.35">
      <c r="A235" s="343"/>
      <c r="B235" s="494" t="s">
        <v>287</v>
      </c>
      <c r="C235" s="191" t="s">
        <v>52</v>
      </c>
      <c r="D235" s="192" t="s">
        <v>89</v>
      </c>
      <c r="E235" s="192" t="s">
        <v>37</v>
      </c>
      <c r="F235" s="193" t="s">
        <v>44</v>
      </c>
      <c r="G235" s="28"/>
      <c r="H235" s="200">
        <f>H236</f>
        <v>2971.1000000000004</v>
      </c>
    </row>
    <row r="236" spans="1:8" ht="36" x14ac:dyDescent="0.35">
      <c r="A236" s="343"/>
      <c r="B236" s="494" t="s">
        <v>47</v>
      </c>
      <c r="C236" s="191" t="s">
        <v>52</v>
      </c>
      <c r="D236" s="192" t="s">
        <v>89</v>
      </c>
      <c r="E236" s="192" t="s">
        <v>37</v>
      </c>
      <c r="F236" s="193" t="s">
        <v>48</v>
      </c>
      <c r="G236" s="28"/>
      <c r="H236" s="200">
        <f>SUM(H237:H239)</f>
        <v>2971.1000000000004</v>
      </c>
    </row>
    <row r="237" spans="1:8" ht="90" x14ac:dyDescent="0.35">
      <c r="A237" s="343"/>
      <c r="B237" s="494" t="s">
        <v>49</v>
      </c>
      <c r="C237" s="191" t="s">
        <v>52</v>
      </c>
      <c r="D237" s="192" t="s">
        <v>89</v>
      </c>
      <c r="E237" s="192" t="s">
        <v>37</v>
      </c>
      <c r="F237" s="193" t="s">
        <v>48</v>
      </c>
      <c r="G237" s="28" t="s">
        <v>50</v>
      </c>
      <c r="H237" s="200">
        <f>'прил9 (ведом 23)'!M821</f>
        <v>2910.9</v>
      </c>
    </row>
    <row r="238" spans="1:8" ht="36" x14ac:dyDescent="0.35">
      <c r="A238" s="343"/>
      <c r="B238" s="494" t="s">
        <v>55</v>
      </c>
      <c r="C238" s="191" t="s">
        <v>52</v>
      </c>
      <c r="D238" s="192" t="s">
        <v>89</v>
      </c>
      <c r="E238" s="192" t="s">
        <v>37</v>
      </c>
      <c r="F238" s="193" t="s">
        <v>48</v>
      </c>
      <c r="G238" s="28" t="s">
        <v>56</v>
      </c>
      <c r="H238" s="200">
        <f>'прил9 (ведом 23)'!M822</f>
        <v>58.3</v>
      </c>
    </row>
    <row r="239" spans="1:8" ht="18" x14ac:dyDescent="0.35">
      <c r="A239" s="343"/>
      <c r="B239" s="494" t="s">
        <v>57</v>
      </c>
      <c r="C239" s="191" t="s">
        <v>52</v>
      </c>
      <c r="D239" s="192" t="s">
        <v>89</v>
      </c>
      <c r="E239" s="192" t="s">
        <v>37</v>
      </c>
      <c r="F239" s="193" t="s">
        <v>48</v>
      </c>
      <c r="G239" s="28" t="s">
        <v>58</v>
      </c>
      <c r="H239" s="200">
        <f>'прил9 (ведом 23)'!M823</f>
        <v>1.9</v>
      </c>
    </row>
    <row r="240" spans="1:8" ht="18" x14ac:dyDescent="0.35">
      <c r="A240" s="343"/>
      <c r="B240" s="494" t="s">
        <v>366</v>
      </c>
      <c r="C240" s="191" t="s">
        <v>52</v>
      </c>
      <c r="D240" s="192" t="s">
        <v>89</v>
      </c>
      <c r="E240" s="192" t="s">
        <v>39</v>
      </c>
      <c r="F240" s="193" t="s">
        <v>44</v>
      </c>
      <c r="G240" s="28"/>
      <c r="H240" s="200">
        <f>H241+H253+H245+H247+H255+H251+H249</f>
        <v>68870.299999999988</v>
      </c>
    </row>
    <row r="241" spans="1:8" ht="36" x14ac:dyDescent="0.35">
      <c r="A241" s="343"/>
      <c r="B241" s="494" t="s">
        <v>466</v>
      </c>
      <c r="C241" s="191" t="s">
        <v>52</v>
      </c>
      <c r="D241" s="192" t="s">
        <v>89</v>
      </c>
      <c r="E241" s="192" t="s">
        <v>39</v>
      </c>
      <c r="F241" s="193" t="s">
        <v>91</v>
      </c>
      <c r="G241" s="28"/>
      <c r="H241" s="200">
        <f>SUM(H242:H244)</f>
        <v>35194.799999999996</v>
      </c>
    </row>
    <row r="242" spans="1:8" ht="90" x14ac:dyDescent="0.35">
      <c r="A242" s="343"/>
      <c r="B242" s="494" t="s">
        <v>49</v>
      </c>
      <c r="C242" s="191" t="s">
        <v>52</v>
      </c>
      <c r="D242" s="192" t="s">
        <v>89</v>
      </c>
      <c r="E242" s="192" t="s">
        <v>39</v>
      </c>
      <c r="F242" s="193" t="s">
        <v>91</v>
      </c>
      <c r="G242" s="28" t="s">
        <v>50</v>
      </c>
      <c r="H242" s="200">
        <f>'прил9 (ведом 23)'!M769+'прил9 (ведом 23)'!M803</f>
        <v>21920.400000000001</v>
      </c>
    </row>
    <row r="243" spans="1:8" ht="36" x14ac:dyDescent="0.35">
      <c r="A243" s="343"/>
      <c r="B243" s="494" t="s">
        <v>55</v>
      </c>
      <c r="C243" s="191" t="s">
        <v>52</v>
      </c>
      <c r="D243" s="192" t="s">
        <v>89</v>
      </c>
      <c r="E243" s="192" t="s">
        <v>39</v>
      </c>
      <c r="F243" s="193" t="s">
        <v>91</v>
      </c>
      <c r="G243" s="28" t="s">
        <v>56</v>
      </c>
      <c r="H243" s="200">
        <f>'прил9 (ведом 23)'!M770+'прил9 (ведом 23)'!M804</f>
        <v>11757.999999999996</v>
      </c>
    </row>
    <row r="244" spans="1:8" ht="18" x14ac:dyDescent="0.35">
      <c r="A244" s="343"/>
      <c r="B244" s="494" t="s">
        <v>57</v>
      </c>
      <c r="C244" s="191" t="s">
        <v>52</v>
      </c>
      <c r="D244" s="192" t="s">
        <v>89</v>
      </c>
      <c r="E244" s="192" t="s">
        <v>39</v>
      </c>
      <c r="F244" s="193" t="s">
        <v>91</v>
      </c>
      <c r="G244" s="28" t="s">
        <v>58</v>
      </c>
      <c r="H244" s="200">
        <f>'прил9 (ведом 23)'!M771+'прил9 (ведом 23)'!M805</f>
        <v>1516.3999999999999</v>
      </c>
    </row>
    <row r="245" spans="1:8" ht="50.25" customHeight="1" x14ac:dyDescent="0.35">
      <c r="A245" s="343"/>
      <c r="B245" s="495" t="s">
        <v>219</v>
      </c>
      <c r="C245" s="191" t="s">
        <v>52</v>
      </c>
      <c r="D245" s="192" t="s">
        <v>89</v>
      </c>
      <c r="E245" s="192" t="s">
        <v>39</v>
      </c>
      <c r="F245" s="193" t="s">
        <v>297</v>
      </c>
      <c r="G245" s="28"/>
      <c r="H245" s="200">
        <f>H246</f>
        <v>2043.2999999999997</v>
      </c>
    </row>
    <row r="246" spans="1:8" ht="36" x14ac:dyDescent="0.35">
      <c r="A246" s="343"/>
      <c r="B246" s="495" t="s">
        <v>55</v>
      </c>
      <c r="C246" s="191" t="s">
        <v>52</v>
      </c>
      <c r="D246" s="192" t="s">
        <v>89</v>
      </c>
      <c r="E246" s="192" t="s">
        <v>39</v>
      </c>
      <c r="F246" s="193" t="s">
        <v>297</v>
      </c>
      <c r="G246" s="28" t="s">
        <v>56</v>
      </c>
      <c r="H246" s="200">
        <f>'прил9 (ведом 23)'!M773+'прил9 (ведом 23)'!M807</f>
        <v>2043.2999999999997</v>
      </c>
    </row>
    <row r="247" spans="1:8" ht="180" x14ac:dyDescent="0.35">
      <c r="A247" s="343"/>
      <c r="B247" s="495" t="s">
        <v>440</v>
      </c>
      <c r="C247" s="191" t="s">
        <v>52</v>
      </c>
      <c r="D247" s="192" t="s">
        <v>89</v>
      </c>
      <c r="E247" s="192" t="s">
        <v>39</v>
      </c>
      <c r="F247" s="193" t="s">
        <v>393</v>
      </c>
      <c r="G247" s="28"/>
      <c r="H247" s="200">
        <f>H248</f>
        <v>15.599999999999994</v>
      </c>
    </row>
    <row r="248" spans="1:8" ht="90" x14ac:dyDescent="0.35">
      <c r="A248" s="343"/>
      <c r="B248" s="495" t="s">
        <v>49</v>
      </c>
      <c r="C248" s="191" t="s">
        <v>52</v>
      </c>
      <c r="D248" s="192" t="s">
        <v>89</v>
      </c>
      <c r="E248" s="192" t="s">
        <v>39</v>
      </c>
      <c r="F248" s="193" t="s">
        <v>393</v>
      </c>
      <c r="G248" s="28" t="s">
        <v>50</v>
      </c>
      <c r="H248" s="200">
        <f>'прил9 (ведом 23)'!M809</f>
        <v>15.599999999999994</v>
      </c>
    </row>
    <row r="249" spans="1:8" ht="54" x14ac:dyDescent="0.35">
      <c r="A249" s="343"/>
      <c r="B249" s="566" t="s">
        <v>696</v>
      </c>
      <c r="C249" s="661" t="s">
        <v>52</v>
      </c>
      <c r="D249" s="662" t="s">
        <v>89</v>
      </c>
      <c r="E249" s="662" t="s">
        <v>39</v>
      </c>
      <c r="F249" s="663" t="s">
        <v>695</v>
      </c>
      <c r="G249" s="10"/>
      <c r="H249" s="200">
        <f>H250</f>
        <v>388.9</v>
      </c>
    </row>
    <row r="250" spans="1:8" ht="36" x14ac:dyDescent="0.35">
      <c r="A250" s="343"/>
      <c r="B250" s="498" t="s">
        <v>55</v>
      </c>
      <c r="C250" s="661" t="s">
        <v>52</v>
      </c>
      <c r="D250" s="662" t="s">
        <v>89</v>
      </c>
      <c r="E250" s="662" t="s">
        <v>39</v>
      </c>
      <c r="F250" s="663" t="s">
        <v>695</v>
      </c>
      <c r="G250" s="10" t="s">
        <v>56</v>
      </c>
      <c r="H250" s="200">
        <f>'прил9 (ведом 23)'!M811</f>
        <v>388.9</v>
      </c>
    </row>
    <row r="251" spans="1:8" ht="72" x14ac:dyDescent="0.35">
      <c r="A251" s="343"/>
      <c r="B251" s="498" t="s">
        <v>738</v>
      </c>
      <c r="C251" s="661" t="s">
        <v>52</v>
      </c>
      <c r="D251" s="662" t="s">
        <v>89</v>
      </c>
      <c r="E251" s="662" t="s">
        <v>39</v>
      </c>
      <c r="F251" s="663" t="s">
        <v>737</v>
      </c>
      <c r="G251" s="10"/>
      <c r="H251" s="200">
        <f>H252</f>
        <v>24812</v>
      </c>
    </row>
    <row r="252" spans="1:8" ht="36" x14ac:dyDescent="0.35">
      <c r="A252" s="343"/>
      <c r="B252" s="498" t="s">
        <v>55</v>
      </c>
      <c r="C252" s="661" t="s">
        <v>52</v>
      </c>
      <c r="D252" s="662" t="s">
        <v>89</v>
      </c>
      <c r="E252" s="662" t="s">
        <v>39</v>
      </c>
      <c r="F252" s="663" t="s">
        <v>737</v>
      </c>
      <c r="G252" s="10" t="s">
        <v>56</v>
      </c>
      <c r="H252" s="200">
        <f>'прил9 (ведом 23)'!M793</f>
        <v>24812</v>
      </c>
    </row>
    <row r="253" spans="1:8" ht="54" x14ac:dyDescent="0.35">
      <c r="A253" s="343"/>
      <c r="B253" s="495" t="s">
        <v>442</v>
      </c>
      <c r="C253" s="191" t="s">
        <v>52</v>
      </c>
      <c r="D253" s="192" t="s">
        <v>89</v>
      </c>
      <c r="E253" s="192" t="s">
        <v>39</v>
      </c>
      <c r="F253" s="193" t="s">
        <v>413</v>
      </c>
      <c r="G253" s="28"/>
      <c r="H253" s="200">
        <f>H254</f>
        <v>2003.5</v>
      </c>
    </row>
    <row r="254" spans="1:8" ht="90" x14ac:dyDescent="0.35">
      <c r="A254" s="343"/>
      <c r="B254" s="495" t="s">
        <v>49</v>
      </c>
      <c r="C254" s="191" t="s">
        <v>52</v>
      </c>
      <c r="D254" s="192" t="s">
        <v>89</v>
      </c>
      <c r="E254" s="192" t="s">
        <v>39</v>
      </c>
      <c r="F254" s="193" t="s">
        <v>413</v>
      </c>
      <c r="G254" s="28" t="s">
        <v>50</v>
      </c>
      <c r="H254" s="200">
        <f>'прил9 (ведом 23)'!M813</f>
        <v>2003.5</v>
      </c>
    </row>
    <row r="255" spans="1:8" ht="144" x14ac:dyDescent="0.35">
      <c r="A255" s="343"/>
      <c r="B255" s="495" t="s">
        <v>579</v>
      </c>
      <c r="C255" s="191" t="s">
        <v>52</v>
      </c>
      <c r="D255" s="192" t="s">
        <v>89</v>
      </c>
      <c r="E255" s="192" t="s">
        <v>39</v>
      </c>
      <c r="F255" s="193" t="s">
        <v>578</v>
      </c>
      <c r="G255" s="28"/>
      <c r="H255" s="200">
        <f>H256</f>
        <v>4412.2</v>
      </c>
    </row>
    <row r="256" spans="1:8" ht="36" x14ac:dyDescent="0.35">
      <c r="A256" s="343"/>
      <c r="B256" s="495" t="s">
        <v>55</v>
      </c>
      <c r="C256" s="191" t="s">
        <v>52</v>
      </c>
      <c r="D256" s="192" t="s">
        <v>89</v>
      </c>
      <c r="E256" s="192" t="s">
        <v>39</v>
      </c>
      <c r="F256" s="193" t="s">
        <v>578</v>
      </c>
      <c r="G256" s="28" t="s">
        <v>56</v>
      </c>
      <c r="H256" s="200">
        <f>'прил9 (ведом 23)'!M815</f>
        <v>4412.2</v>
      </c>
    </row>
    <row r="257" spans="1:8" ht="36" x14ac:dyDescent="0.35">
      <c r="A257" s="343"/>
      <c r="B257" s="495" t="s">
        <v>356</v>
      </c>
      <c r="C257" s="191" t="s">
        <v>52</v>
      </c>
      <c r="D257" s="192" t="s">
        <v>89</v>
      </c>
      <c r="E257" s="192" t="s">
        <v>63</v>
      </c>
      <c r="F257" s="193" t="s">
        <v>44</v>
      </c>
      <c r="G257" s="28"/>
      <c r="H257" s="200">
        <f>H258</f>
        <v>60.8</v>
      </c>
    </row>
    <row r="258" spans="1:8" ht="54" x14ac:dyDescent="0.35">
      <c r="A258" s="343"/>
      <c r="B258" s="507" t="s">
        <v>357</v>
      </c>
      <c r="C258" s="191" t="s">
        <v>52</v>
      </c>
      <c r="D258" s="192" t="s">
        <v>89</v>
      </c>
      <c r="E258" s="192" t="s">
        <v>63</v>
      </c>
      <c r="F258" s="193" t="s">
        <v>105</v>
      </c>
      <c r="G258" s="28"/>
      <c r="H258" s="200">
        <f>H259</f>
        <v>60.8</v>
      </c>
    </row>
    <row r="259" spans="1:8" ht="36" x14ac:dyDescent="0.35">
      <c r="A259" s="343"/>
      <c r="B259" s="495" t="s">
        <v>55</v>
      </c>
      <c r="C259" s="191" t="s">
        <v>52</v>
      </c>
      <c r="D259" s="192" t="s">
        <v>89</v>
      </c>
      <c r="E259" s="192" t="s">
        <v>63</v>
      </c>
      <c r="F259" s="193" t="s">
        <v>105</v>
      </c>
      <c r="G259" s="28" t="s">
        <v>56</v>
      </c>
      <c r="H259" s="200">
        <f>'прил9 (ведом 23)'!M758</f>
        <v>60.8</v>
      </c>
    </row>
    <row r="260" spans="1:8" ht="18" x14ac:dyDescent="0.35">
      <c r="A260" s="343"/>
      <c r="B260" s="495" t="s">
        <v>566</v>
      </c>
      <c r="C260" s="191" t="s">
        <v>52</v>
      </c>
      <c r="D260" s="192" t="s">
        <v>89</v>
      </c>
      <c r="E260" s="192" t="s">
        <v>52</v>
      </c>
      <c r="F260" s="193" t="s">
        <v>44</v>
      </c>
      <c r="G260" s="28"/>
      <c r="H260" s="200">
        <f>H261+H265</f>
        <v>4829.3999999999996</v>
      </c>
    </row>
    <row r="261" spans="1:8" ht="36" x14ac:dyDescent="0.35">
      <c r="A261" s="343"/>
      <c r="B261" s="495" t="s">
        <v>466</v>
      </c>
      <c r="C261" s="191" t="s">
        <v>52</v>
      </c>
      <c r="D261" s="192" t="s">
        <v>89</v>
      </c>
      <c r="E261" s="192" t="s">
        <v>52</v>
      </c>
      <c r="F261" s="193" t="s">
        <v>91</v>
      </c>
      <c r="G261" s="28"/>
      <c r="H261" s="200">
        <f>H262+H263+H264</f>
        <v>3927.1</v>
      </c>
    </row>
    <row r="262" spans="1:8" ht="90" x14ac:dyDescent="0.35">
      <c r="A262" s="343"/>
      <c r="B262" s="495" t="s">
        <v>49</v>
      </c>
      <c r="C262" s="191" t="s">
        <v>52</v>
      </c>
      <c r="D262" s="192" t="s">
        <v>89</v>
      </c>
      <c r="E262" s="192" t="s">
        <v>52</v>
      </c>
      <c r="F262" s="193" t="s">
        <v>91</v>
      </c>
      <c r="G262" s="28" t="s">
        <v>50</v>
      </c>
      <c r="H262" s="200">
        <f>'прил9 (ведом 23)'!M776</f>
        <v>2079.9</v>
      </c>
    </row>
    <row r="263" spans="1:8" ht="36" x14ac:dyDescent="0.35">
      <c r="A263" s="343"/>
      <c r="B263" s="495" t="s">
        <v>55</v>
      </c>
      <c r="C263" s="191" t="s">
        <v>52</v>
      </c>
      <c r="D263" s="192" t="s">
        <v>89</v>
      </c>
      <c r="E263" s="192" t="s">
        <v>52</v>
      </c>
      <c r="F263" s="193" t="s">
        <v>91</v>
      </c>
      <c r="G263" s="28" t="s">
        <v>56</v>
      </c>
      <c r="H263" s="200">
        <f>'прил9 (ведом 23)'!M777</f>
        <v>1811.5</v>
      </c>
    </row>
    <row r="264" spans="1:8" ht="18" x14ac:dyDescent="0.35">
      <c r="A264" s="343"/>
      <c r="B264" s="495" t="s">
        <v>57</v>
      </c>
      <c r="C264" s="191" t="s">
        <v>52</v>
      </c>
      <c r="D264" s="192" t="s">
        <v>89</v>
      </c>
      <c r="E264" s="192" t="s">
        <v>52</v>
      </c>
      <c r="F264" s="193" t="s">
        <v>91</v>
      </c>
      <c r="G264" s="28" t="s">
        <v>58</v>
      </c>
      <c r="H264" s="200">
        <f>'прил9 (ведом 23)'!M778</f>
        <v>35.700000000000003</v>
      </c>
    </row>
    <row r="265" spans="1:8" ht="36" x14ac:dyDescent="0.35">
      <c r="A265" s="343"/>
      <c r="B265" s="495" t="s">
        <v>219</v>
      </c>
      <c r="C265" s="191" t="s">
        <v>52</v>
      </c>
      <c r="D265" s="192" t="s">
        <v>89</v>
      </c>
      <c r="E265" s="192" t="s">
        <v>52</v>
      </c>
      <c r="F265" s="193" t="s">
        <v>297</v>
      </c>
      <c r="G265" s="28"/>
      <c r="H265" s="200">
        <f>H266</f>
        <v>902.3</v>
      </c>
    </row>
    <row r="266" spans="1:8" ht="36" x14ac:dyDescent="0.35">
      <c r="A266" s="343"/>
      <c r="B266" s="495" t="s">
        <v>55</v>
      </c>
      <c r="C266" s="191" t="s">
        <v>52</v>
      </c>
      <c r="D266" s="192" t="s">
        <v>89</v>
      </c>
      <c r="E266" s="192" t="s">
        <v>52</v>
      </c>
      <c r="F266" s="193" t="s">
        <v>297</v>
      </c>
      <c r="G266" s="28" t="s">
        <v>56</v>
      </c>
      <c r="H266" s="200">
        <f>'прил9 (ведом 23)'!M780</f>
        <v>902.3</v>
      </c>
    </row>
    <row r="267" spans="1:8" ht="18" x14ac:dyDescent="0.35">
      <c r="A267" s="343"/>
      <c r="B267" s="495" t="s">
        <v>344</v>
      </c>
      <c r="C267" s="191" t="s">
        <v>52</v>
      </c>
      <c r="D267" s="192" t="s">
        <v>31</v>
      </c>
      <c r="E267" s="192" t="s">
        <v>43</v>
      </c>
      <c r="F267" s="193" t="s">
        <v>44</v>
      </c>
      <c r="G267" s="28"/>
      <c r="H267" s="200">
        <f>H268</f>
        <v>73942.2</v>
      </c>
    </row>
    <row r="268" spans="1:8" ht="54" x14ac:dyDescent="0.35">
      <c r="A268" s="343"/>
      <c r="B268" s="495" t="s">
        <v>414</v>
      </c>
      <c r="C268" s="191" t="s">
        <v>52</v>
      </c>
      <c r="D268" s="192" t="s">
        <v>31</v>
      </c>
      <c r="E268" s="192" t="s">
        <v>63</v>
      </c>
      <c r="F268" s="193" t="s">
        <v>44</v>
      </c>
      <c r="G268" s="28"/>
      <c r="H268" s="200">
        <f>H269+H271</f>
        <v>73942.2</v>
      </c>
    </row>
    <row r="269" spans="1:8" ht="36" x14ac:dyDescent="0.35">
      <c r="A269" s="343"/>
      <c r="B269" s="495" t="s">
        <v>219</v>
      </c>
      <c r="C269" s="191" t="s">
        <v>52</v>
      </c>
      <c r="D269" s="192" t="s">
        <v>31</v>
      </c>
      <c r="E269" s="192" t="s">
        <v>63</v>
      </c>
      <c r="F269" s="193" t="s">
        <v>297</v>
      </c>
      <c r="G269" s="28"/>
      <c r="H269" s="200">
        <f>H270</f>
        <v>360.90000000000015</v>
      </c>
    </row>
    <row r="270" spans="1:8" ht="36" x14ac:dyDescent="0.35">
      <c r="A270" s="343"/>
      <c r="B270" s="495" t="s">
        <v>203</v>
      </c>
      <c r="C270" s="191" t="s">
        <v>52</v>
      </c>
      <c r="D270" s="192" t="s">
        <v>31</v>
      </c>
      <c r="E270" s="192" t="s">
        <v>63</v>
      </c>
      <c r="F270" s="193" t="s">
        <v>297</v>
      </c>
      <c r="G270" s="28" t="s">
        <v>204</v>
      </c>
      <c r="H270" s="200">
        <f>'прил9 (ведом 23)'!M466</f>
        <v>360.90000000000015</v>
      </c>
    </row>
    <row r="271" spans="1:8" ht="108" x14ac:dyDescent="0.35">
      <c r="A271" s="343"/>
      <c r="B271" s="495" t="s">
        <v>507</v>
      </c>
      <c r="C271" s="370" t="s">
        <v>52</v>
      </c>
      <c r="D271" s="370" t="s">
        <v>31</v>
      </c>
      <c r="E271" s="370" t="s">
        <v>63</v>
      </c>
      <c r="F271" s="371" t="s">
        <v>506</v>
      </c>
      <c r="G271" s="28"/>
      <c r="H271" s="200">
        <f>H272</f>
        <v>73581.3</v>
      </c>
    </row>
    <row r="272" spans="1:8" ht="36" x14ac:dyDescent="0.35">
      <c r="A272" s="343"/>
      <c r="B272" s="495" t="s">
        <v>203</v>
      </c>
      <c r="C272" s="370" t="s">
        <v>52</v>
      </c>
      <c r="D272" s="370" t="s">
        <v>31</v>
      </c>
      <c r="E272" s="370" t="s">
        <v>63</v>
      </c>
      <c r="F272" s="371" t="s">
        <v>506</v>
      </c>
      <c r="G272" s="28" t="s">
        <v>204</v>
      </c>
      <c r="H272" s="200">
        <f>'прил9 (ведом 23)'!M468</f>
        <v>73581.3</v>
      </c>
    </row>
    <row r="273" spans="1:8" ht="18" x14ac:dyDescent="0.35">
      <c r="A273" s="343"/>
      <c r="B273" s="495"/>
      <c r="C273" s="370"/>
      <c r="D273" s="370"/>
      <c r="E273" s="370"/>
      <c r="F273" s="371"/>
      <c r="G273" s="28"/>
      <c r="H273" s="200"/>
    </row>
    <row r="274" spans="1:8" s="352" customFormat="1" ht="52.2" x14ac:dyDescent="0.3">
      <c r="A274" s="357">
        <v>4</v>
      </c>
      <c r="B274" s="493" t="s">
        <v>221</v>
      </c>
      <c r="C274" s="349" t="s">
        <v>65</v>
      </c>
      <c r="D274" s="349" t="s">
        <v>42</v>
      </c>
      <c r="E274" s="349" t="s">
        <v>43</v>
      </c>
      <c r="F274" s="350" t="s">
        <v>44</v>
      </c>
      <c r="G274" s="351"/>
      <c r="H274" s="238">
        <f>H275+H283</f>
        <v>9833.27</v>
      </c>
    </row>
    <row r="275" spans="1:8" s="352" customFormat="1" ht="18" x14ac:dyDescent="0.35">
      <c r="A275" s="343"/>
      <c r="B275" s="494" t="s">
        <v>222</v>
      </c>
      <c r="C275" s="191" t="s">
        <v>65</v>
      </c>
      <c r="D275" s="192" t="s">
        <v>45</v>
      </c>
      <c r="E275" s="192" t="s">
        <v>43</v>
      </c>
      <c r="F275" s="193" t="s">
        <v>44</v>
      </c>
      <c r="G275" s="222"/>
      <c r="H275" s="200">
        <f>H276</f>
        <v>5951.9699999999993</v>
      </c>
    </row>
    <row r="276" spans="1:8" s="352" customFormat="1" ht="72" x14ac:dyDescent="0.35">
      <c r="A276" s="343"/>
      <c r="B276" s="494" t="s">
        <v>292</v>
      </c>
      <c r="C276" s="191" t="s">
        <v>65</v>
      </c>
      <c r="D276" s="192" t="s">
        <v>45</v>
      </c>
      <c r="E276" s="192" t="s">
        <v>37</v>
      </c>
      <c r="F276" s="193" t="s">
        <v>44</v>
      </c>
      <c r="G276" s="28"/>
      <c r="H276" s="200">
        <f>H277+H281</f>
        <v>5951.9699999999993</v>
      </c>
    </row>
    <row r="277" spans="1:8" ht="36" x14ac:dyDescent="0.35">
      <c r="A277" s="343"/>
      <c r="B277" s="494" t="s">
        <v>466</v>
      </c>
      <c r="C277" s="191" t="s">
        <v>65</v>
      </c>
      <c r="D277" s="192" t="s">
        <v>45</v>
      </c>
      <c r="E277" s="192" t="s">
        <v>37</v>
      </c>
      <c r="F277" s="193" t="s">
        <v>91</v>
      </c>
      <c r="G277" s="28"/>
      <c r="H277" s="200">
        <f>H278+H279+H280</f>
        <v>4303.7</v>
      </c>
    </row>
    <row r="278" spans="1:8" ht="90" x14ac:dyDescent="0.35">
      <c r="A278" s="343"/>
      <c r="B278" s="494" t="s">
        <v>49</v>
      </c>
      <c r="C278" s="191" t="s">
        <v>65</v>
      </c>
      <c r="D278" s="192" t="s">
        <v>45</v>
      </c>
      <c r="E278" s="192" t="s">
        <v>37</v>
      </c>
      <c r="F278" s="193" t="s">
        <v>91</v>
      </c>
      <c r="G278" s="28" t="s">
        <v>50</v>
      </c>
      <c r="H278" s="200">
        <f>'прил9 (ведом 23)'!M845</f>
        <v>3877.2999999999997</v>
      </c>
    </row>
    <row r="279" spans="1:8" ht="36" x14ac:dyDescent="0.35">
      <c r="A279" s="343"/>
      <c r="B279" s="494" t="s">
        <v>55</v>
      </c>
      <c r="C279" s="191" t="s">
        <v>65</v>
      </c>
      <c r="D279" s="192" t="s">
        <v>45</v>
      </c>
      <c r="E279" s="192" t="s">
        <v>37</v>
      </c>
      <c r="F279" s="193" t="s">
        <v>91</v>
      </c>
      <c r="G279" s="28" t="s">
        <v>56</v>
      </c>
      <c r="H279" s="200">
        <f>'прил9 (ведом 23)'!M846</f>
        <v>383.7</v>
      </c>
    </row>
    <row r="280" spans="1:8" ht="18" x14ac:dyDescent="0.35">
      <c r="A280" s="343"/>
      <c r="B280" s="495" t="s">
        <v>57</v>
      </c>
      <c r="C280" s="191" t="s">
        <v>65</v>
      </c>
      <c r="D280" s="192" t="s">
        <v>45</v>
      </c>
      <c r="E280" s="192" t="s">
        <v>37</v>
      </c>
      <c r="F280" s="193" t="s">
        <v>91</v>
      </c>
      <c r="G280" s="28" t="s">
        <v>58</v>
      </c>
      <c r="H280" s="200">
        <f>'прил9 (ведом 23)'!M847</f>
        <v>42.7</v>
      </c>
    </row>
    <row r="281" spans="1:8" ht="36" x14ac:dyDescent="0.35">
      <c r="A281" s="343"/>
      <c r="B281" s="494" t="s">
        <v>293</v>
      </c>
      <c r="C281" s="191" t="s">
        <v>65</v>
      </c>
      <c r="D281" s="192" t="s">
        <v>45</v>
      </c>
      <c r="E281" s="192" t="s">
        <v>37</v>
      </c>
      <c r="F281" s="193" t="s">
        <v>294</v>
      </c>
      <c r="G281" s="28"/>
      <c r="H281" s="200">
        <f>H282</f>
        <v>1648.27</v>
      </c>
    </row>
    <row r="282" spans="1:8" ht="36" x14ac:dyDescent="0.35">
      <c r="A282" s="343"/>
      <c r="B282" s="494" t="s">
        <v>55</v>
      </c>
      <c r="C282" s="191" t="s">
        <v>65</v>
      </c>
      <c r="D282" s="192" t="s">
        <v>45</v>
      </c>
      <c r="E282" s="192" t="s">
        <v>37</v>
      </c>
      <c r="F282" s="193" t="s">
        <v>294</v>
      </c>
      <c r="G282" s="28" t="s">
        <v>56</v>
      </c>
      <c r="H282" s="200">
        <f>'прил9 (ведом 23)'!M849</f>
        <v>1648.27</v>
      </c>
    </row>
    <row r="283" spans="1:8" s="352" customFormat="1" ht="30.75" customHeight="1" x14ac:dyDescent="0.35">
      <c r="A283" s="343"/>
      <c r="B283" s="494" t="s">
        <v>220</v>
      </c>
      <c r="C283" s="191" t="s">
        <v>65</v>
      </c>
      <c r="D283" s="192" t="s">
        <v>89</v>
      </c>
      <c r="E283" s="192" t="s">
        <v>43</v>
      </c>
      <c r="F283" s="193" t="s">
        <v>44</v>
      </c>
      <c r="G283" s="28"/>
      <c r="H283" s="200">
        <f>H284+H289+H292+H295</f>
        <v>3881.3</v>
      </c>
    </row>
    <row r="284" spans="1:8" s="352" customFormat="1" ht="36" x14ac:dyDescent="0.35">
      <c r="A284" s="343"/>
      <c r="B284" s="494" t="s">
        <v>287</v>
      </c>
      <c r="C284" s="191" t="s">
        <v>65</v>
      </c>
      <c r="D284" s="192" t="s">
        <v>89</v>
      </c>
      <c r="E284" s="192" t="s">
        <v>37</v>
      </c>
      <c r="F284" s="193" t="s">
        <v>44</v>
      </c>
      <c r="G284" s="28"/>
      <c r="H284" s="200">
        <f>H285</f>
        <v>3669.2000000000003</v>
      </c>
    </row>
    <row r="285" spans="1:8" s="352" customFormat="1" ht="36" x14ac:dyDescent="0.35">
      <c r="A285" s="343"/>
      <c r="B285" s="494" t="s">
        <v>47</v>
      </c>
      <c r="C285" s="191" t="s">
        <v>65</v>
      </c>
      <c r="D285" s="192" t="s">
        <v>89</v>
      </c>
      <c r="E285" s="192" t="s">
        <v>37</v>
      </c>
      <c r="F285" s="193" t="s">
        <v>48</v>
      </c>
      <c r="G285" s="28"/>
      <c r="H285" s="200">
        <f>SUM(H286:H288)</f>
        <v>3669.2000000000003</v>
      </c>
    </row>
    <row r="286" spans="1:8" s="352" customFormat="1" ht="90" x14ac:dyDescent="0.35">
      <c r="A286" s="343"/>
      <c r="B286" s="494" t="s">
        <v>49</v>
      </c>
      <c r="C286" s="191" t="s">
        <v>65</v>
      </c>
      <c r="D286" s="192" t="s">
        <v>89</v>
      </c>
      <c r="E286" s="192" t="s">
        <v>37</v>
      </c>
      <c r="F286" s="193" t="s">
        <v>48</v>
      </c>
      <c r="G286" s="28" t="s">
        <v>50</v>
      </c>
      <c r="H286" s="200">
        <f>'прил9 (ведом 23)'!M855</f>
        <v>3222.8</v>
      </c>
    </row>
    <row r="287" spans="1:8" ht="36" x14ac:dyDescent="0.35">
      <c r="A287" s="343"/>
      <c r="B287" s="494" t="s">
        <v>55</v>
      </c>
      <c r="C287" s="191" t="s">
        <v>65</v>
      </c>
      <c r="D287" s="192" t="s">
        <v>89</v>
      </c>
      <c r="E287" s="192" t="s">
        <v>37</v>
      </c>
      <c r="F287" s="193" t="s">
        <v>48</v>
      </c>
      <c r="G287" s="28" t="s">
        <v>56</v>
      </c>
      <c r="H287" s="200">
        <f>'прил9 (ведом 23)'!M856</f>
        <v>445.09999999999997</v>
      </c>
    </row>
    <row r="288" spans="1:8" ht="18" x14ac:dyDescent="0.35">
      <c r="A288" s="343"/>
      <c r="B288" s="494" t="s">
        <v>57</v>
      </c>
      <c r="C288" s="191" t="s">
        <v>65</v>
      </c>
      <c r="D288" s="192" t="s">
        <v>89</v>
      </c>
      <c r="E288" s="192" t="s">
        <v>37</v>
      </c>
      <c r="F288" s="193" t="s">
        <v>48</v>
      </c>
      <c r="G288" s="28" t="s">
        <v>58</v>
      </c>
      <c r="H288" s="200">
        <f>'прил9 (ведом 23)'!M857</f>
        <v>1.3</v>
      </c>
    </row>
    <row r="289" spans="1:8" ht="36" x14ac:dyDescent="0.35">
      <c r="A289" s="343"/>
      <c r="B289" s="507" t="s">
        <v>356</v>
      </c>
      <c r="C289" s="192" t="s">
        <v>65</v>
      </c>
      <c r="D289" s="192" t="s">
        <v>89</v>
      </c>
      <c r="E289" s="192" t="s">
        <v>39</v>
      </c>
      <c r="F289" s="193" t="s">
        <v>44</v>
      </c>
      <c r="G289" s="28"/>
      <c r="H289" s="200">
        <f>H290</f>
        <v>153.1</v>
      </c>
    </row>
    <row r="290" spans="1:8" ht="54" x14ac:dyDescent="0.35">
      <c r="A290" s="343"/>
      <c r="B290" s="507" t="s">
        <v>357</v>
      </c>
      <c r="C290" s="191" t="s">
        <v>65</v>
      </c>
      <c r="D290" s="192" t="s">
        <v>89</v>
      </c>
      <c r="E290" s="192" t="s">
        <v>39</v>
      </c>
      <c r="F290" s="193" t="s">
        <v>105</v>
      </c>
      <c r="G290" s="28"/>
      <c r="H290" s="200">
        <f>H291</f>
        <v>153.1</v>
      </c>
    </row>
    <row r="291" spans="1:8" ht="36" x14ac:dyDescent="0.35">
      <c r="A291" s="343"/>
      <c r="B291" s="507" t="s">
        <v>55</v>
      </c>
      <c r="C291" s="191" t="s">
        <v>65</v>
      </c>
      <c r="D291" s="192" t="s">
        <v>89</v>
      </c>
      <c r="E291" s="192" t="s">
        <v>39</v>
      </c>
      <c r="F291" s="193" t="s">
        <v>105</v>
      </c>
      <c r="G291" s="28" t="s">
        <v>56</v>
      </c>
      <c r="H291" s="200">
        <f>'прил9 (ведом 23)'!M832</f>
        <v>153.1</v>
      </c>
    </row>
    <row r="292" spans="1:8" ht="36" x14ac:dyDescent="0.35">
      <c r="A292" s="343"/>
      <c r="B292" s="495" t="s">
        <v>470</v>
      </c>
      <c r="C292" s="192" t="s">
        <v>65</v>
      </c>
      <c r="D292" s="192" t="s">
        <v>89</v>
      </c>
      <c r="E292" s="192" t="s">
        <v>63</v>
      </c>
      <c r="F292" s="193" t="s">
        <v>44</v>
      </c>
      <c r="G292" s="28"/>
      <c r="H292" s="200">
        <f>H293</f>
        <v>14.8</v>
      </c>
    </row>
    <row r="293" spans="1:8" ht="18" x14ac:dyDescent="0.35">
      <c r="A293" s="343"/>
      <c r="B293" s="495" t="s">
        <v>468</v>
      </c>
      <c r="C293" s="192" t="s">
        <v>65</v>
      </c>
      <c r="D293" s="192" t="s">
        <v>89</v>
      </c>
      <c r="E293" s="192" t="s">
        <v>63</v>
      </c>
      <c r="F293" s="193" t="s">
        <v>469</v>
      </c>
      <c r="G293" s="28"/>
      <c r="H293" s="200">
        <f>H294</f>
        <v>14.8</v>
      </c>
    </row>
    <row r="294" spans="1:8" ht="36" x14ac:dyDescent="0.35">
      <c r="A294" s="343"/>
      <c r="B294" s="507" t="s">
        <v>55</v>
      </c>
      <c r="C294" s="192" t="s">
        <v>65</v>
      </c>
      <c r="D294" s="192" t="s">
        <v>89</v>
      </c>
      <c r="E294" s="192" t="s">
        <v>63</v>
      </c>
      <c r="F294" s="193" t="s">
        <v>469</v>
      </c>
      <c r="G294" s="28" t="s">
        <v>56</v>
      </c>
      <c r="H294" s="200">
        <f>'прил9 (ведом 23)'!M835</f>
        <v>14.8</v>
      </c>
    </row>
    <row r="295" spans="1:8" ht="36" x14ac:dyDescent="0.35">
      <c r="A295" s="343"/>
      <c r="B295" s="507" t="s">
        <v>473</v>
      </c>
      <c r="C295" s="192" t="s">
        <v>65</v>
      </c>
      <c r="D295" s="192" t="s">
        <v>89</v>
      </c>
      <c r="E295" s="192" t="s">
        <v>52</v>
      </c>
      <c r="F295" s="659" t="s">
        <v>44</v>
      </c>
      <c r="G295" s="222"/>
      <c r="H295" s="200">
        <f>H296</f>
        <v>44.2</v>
      </c>
    </row>
    <row r="296" spans="1:8" ht="36" x14ac:dyDescent="0.35">
      <c r="A296" s="343"/>
      <c r="B296" s="508" t="s">
        <v>127</v>
      </c>
      <c r="C296" s="192" t="s">
        <v>65</v>
      </c>
      <c r="D296" s="192" t="s">
        <v>89</v>
      </c>
      <c r="E296" s="192" t="s">
        <v>52</v>
      </c>
      <c r="F296" s="366" t="s">
        <v>90</v>
      </c>
      <c r="G296" s="222"/>
      <c r="H296" s="200">
        <f>H297</f>
        <v>44.2</v>
      </c>
    </row>
    <row r="297" spans="1:8" ht="36" x14ac:dyDescent="0.35">
      <c r="A297" s="343"/>
      <c r="B297" s="507" t="s">
        <v>55</v>
      </c>
      <c r="C297" s="192" t="s">
        <v>65</v>
      </c>
      <c r="D297" s="192" t="s">
        <v>89</v>
      </c>
      <c r="E297" s="192" t="s">
        <v>52</v>
      </c>
      <c r="F297" s="659" t="s">
        <v>90</v>
      </c>
      <c r="G297" s="222" t="s">
        <v>56</v>
      </c>
      <c r="H297" s="200">
        <f>'прил9 (ведом 23)'!M838</f>
        <v>44.2</v>
      </c>
    </row>
    <row r="298" spans="1:8" ht="18" x14ac:dyDescent="0.35">
      <c r="A298" s="343"/>
      <c r="B298" s="507"/>
      <c r="C298" s="191"/>
      <c r="D298" s="192"/>
      <c r="E298" s="192"/>
      <c r="F298" s="659"/>
      <c r="G298" s="222"/>
      <c r="H298" s="200"/>
    </row>
    <row r="299" spans="1:8" s="352" customFormat="1" ht="52.2" x14ac:dyDescent="0.3">
      <c r="A299" s="357">
        <v>5</v>
      </c>
      <c r="B299" s="493" t="s">
        <v>80</v>
      </c>
      <c r="C299" s="358" t="s">
        <v>81</v>
      </c>
      <c r="D299" s="358" t="s">
        <v>42</v>
      </c>
      <c r="E299" s="358" t="s">
        <v>43</v>
      </c>
      <c r="F299" s="359" t="s">
        <v>44</v>
      </c>
      <c r="G299" s="351"/>
      <c r="H299" s="238">
        <f>H310+H300+H324+H333</f>
        <v>24218.747999999996</v>
      </c>
    </row>
    <row r="300" spans="1:8" ht="54" x14ac:dyDescent="0.35">
      <c r="A300" s="343"/>
      <c r="B300" s="502" t="s">
        <v>82</v>
      </c>
      <c r="C300" s="191" t="s">
        <v>81</v>
      </c>
      <c r="D300" s="192" t="s">
        <v>45</v>
      </c>
      <c r="E300" s="192" t="s">
        <v>43</v>
      </c>
      <c r="F300" s="193" t="s">
        <v>44</v>
      </c>
      <c r="G300" s="222"/>
      <c r="H300" s="200">
        <f>H301</f>
        <v>9496.6999999999989</v>
      </c>
    </row>
    <row r="301" spans="1:8" ht="72" x14ac:dyDescent="0.35">
      <c r="A301" s="343"/>
      <c r="B301" s="494" t="s">
        <v>83</v>
      </c>
      <c r="C301" s="191" t="s">
        <v>81</v>
      </c>
      <c r="D301" s="192" t="s">
        <v>45</v>
      </c>
      <c r="E301" s="192" t="s">
        <v>37</v>
      </c>
      <c r="F301" s="193" t="s">
        <v>44</v>
      </c>
      <c r="G301" s="28"/>
      <c r="H301" s="200">
        <f>H302+H304+H306+H308</f>
        <v>9496.6999999999989</v>
      </c>
    </row>
    <row r="302" spans="1:8" ht="36" x14ac:dyDescent="0.35">
      <c r="A302" s="343"/>
      <c r="B302" s="502" t="s">
        <v>453</v>
      </c>
      <c r="C302" s="191" t="s">
        <v>81</v>
      </c>
      <c r="D302" s="192" t="s">
        <v>45</v>
      </c>
      <c r="E302" s="192" t="s">
        <v>37</v>
      </c>
      <c r="F302" s="193" t="s">
        <v>84</v>
      </c>
      <c r="G302" s="28"/>
      <c r="H302" s="200">
        <f>H303</f>
        <v>298.39999999999998</v>
      </c>
    </row>
    <row r="303" spans="1:8" ht="36" x14ac:dyDescent="0.35">
      <c r="A303" s="343"/>
      <c r="B303" s="494" t="s">
        <v>55</v>
      </c>
      <c r="C303" s="191" t="s">
        <v>81</v>
      </c>
      <c r="D303" s="192" t="s">
        <v>45</v>
      </c>
      <c r="E303" s="192" t="s">
        <v>37</v>
      </c>
      <c r="F303" s="193" t="s">
        <v>84</v>
      </c>
      <c r="G303" s="28" t="s">
        <v>56</v>
      </c>
      <c r="H303" s="200">
        <f>'прил9 (ведом 23)'!M100</f>
        <v>298.39999999999998</v>
      </c>
    </row>
    <row r="304" spans="1:8" ht="36" x14ac:dyDescent="0.35">
      <c r="A304" s="343"/>
      <c r="B304" s="494" t="s">
        <v>85</v>
      </c>
      <c r="C304" s="191" t="s">
        <v>81</v>
      </c>
      <c r="D304" s="192" t="s">
        <v>45</v>
      </c>
      <c r="E304" s="192" t="s">
        <v>37</v>
      </c>
      <c r="F304" s="193" t="s">
        <v>86</v>
      </c>
      <c r="G304" s="28"/>
      <c r="H304" s="200">
        <f>H305</f>
        <v>67.2</v>
      </c>
    </row>
    <row r="305" spans="1:8" ht="36" x14ac:dyDescent="0.35">
      <c r="A305" s="343"/>
      <c r="B305" s="494" t="s">
        <v>55</v>
      </c>
      <c r="C305" s="191" t="s">
        <v>81</v>
      </c>
      <c r="D305" s="192" t="s">
        <v>45</v>
      </c>
      <c r="E305" s="192" t="s">
        <v>37</v>
      </c>
      <c r="F305" s="193" t="s">
        <v>86</v>
      </c>
      <c r="G305" s="28" t="s">
        <v>56</v>
      </c>
      <c r="H305" s="200">
        <f>'прил9 (ведом 23)'!M102</f>
        <v>67.2</v>
      </c>
    </row>
    <row r="306" spans="1:8" ht="126" x14ac:dyDescent="0.35">
      <c r="A306" s="343"/>
      <c r="B306" s="498" t="s">
        <v>678</v>
      </c>
      <c r="C306" s="191" t="s">
        <v>81</v>
      </c>
      <c r="D306" s="192" t="s">
        <v>45</v>
      </c>
      <c r="E306" s="192" t="s">
        <v>37</v>
      </c>
      <c r="F306" s="193" t="s">
        <v>334</v>
      </c>
      <c r="G306" s="28"/>
      <c r="H306" s="200">
        <f>H307</f>
        <v>9118.7999999999993</v>
      </c>
    </row>
    <row r="307" spans="1:8" ht="18" x14ac:dyDescent="0.35">
      <c r="A307" s="343"/>
      <c r="B307" s="494" t="s">
        <v>123</v>
      </c>
      <c r="C307" s="191" t="s">
        <v>81</v>
      </c>
      <c r="D307" s="192" t="s">
        <v>45</v>
      </c>
      <c r="E307" s="192" t="s">
        <v>37</v>
      </c>
      <c r="F307" s="193" t="s">
        <v>334</v>
      </c>
      <c r="G307" s="28" t="s">
        <v>124</v>
      </c>
      <c r="H307" s="200">
        <f>'прил9 (ведом 23)'!M104</f>
        <v>9118.7999999999993</v>
      </c>
    </row>
    <row r="308" spans="1:8" ht="72" x14ac:dyDescent="0.35">
      <c r="A308" s="343"/>
      <c r="B308" s="494" t="s">
        <v>677</v>
      </c>
      <c r="C308" s="191" t="s">
        <v>81</v>
      </c>
      <c r="D308" s="192" t="s">
        <v>45</v>
      </c>
      <c r="E308" s="192" t="s">
        <v>37</v>
      </c>
      <c r="F308" s="193" t="s">
        <v>335</v>
      </c>
      <c r="G308" s="28"/>
      <c r="H308" s="200">
        <f>H309</f>
        <v>12.3</v>
      </c>
    </row>
    <row r="309" spans="1:8" ht="18" x14ac:dyDescent="0.35">
      <c r="A309" s="343"/>
      <c r="B309" s="494" t="s">
        <v>123</v>
      </c>
      <c r="C309" s="191" t="s">
        <v>81</v>
      </c>
      <c r="D309" s="192" t="s">
        <v>45</v>
      </c>
      <c r="E309" s="192" t="s">
        <v>37</v>
      </c>
      <c r="F309" s="193" t="s">
        <v>335</v>
      </c>
      <c r="G309" s="28" t="s">
        <v>124</v>
      </c>
      <c r="H309" s="200">
        <f>'прил9 (ведом 23)'!M106</f>
        <v>12.3</v>
      </c>
    </row>
    <row r="310" spans="1:8" ht="36" x14ac:dyDescent="0.35">
      <c r="A310" s="343"/>
      <c r="B310" s="509" t="s">
        <v>125</v>
      </c>
      <c r="C310" s="191" t="s">
        <v>81</v>
      </c>
      <c r="D310" s="192" t="s">
        <v>89</v>
      </c>
      <c r="E310" s="192" t="s">
        <v>43</v>
      </c>
      <c r="F310" s="193" t="s">
        <v>44</v>
      </c>
      <c r="G310" s="222"/>
      <c r="H310" s="200">
        <f>H311+H321</f>
        <v>2668.7</v>
      </c>
    </row>
    <row r="311" spans="1:8" ht="36" x14ac:dyDescent="0.35">
      <c r="A311" s="343"/>
      <c r="B311" s="494" t="s">
        <v>276</v>
      </c>
      <c r="C311" s="191" t="s">
        <v>81</v>
      </c>
      <c r="D311" s="192" t="s">
        <v>89</v>
      </c>
      <c r="E311" s="192" t="s">
        <v>37</v>
      </c>
      <c r="F311" s="193" t="s">
        <v>44</v>
      </c>
      <c r="G311" s="28"/>
      <c r="H311" s="200">
        <f>H312+H314+H317+H319</f>
        <v>1912</v>
      </c>
    </row>
    <row r="312" spans="1:8" ht="18" x14ac:dyDescent="0.35">
      <c r="A312" s="343"/>
      <c r="B312" s="498" t="s">
        <v>467</v>
      </c>
      <c r="C312" s="661" t="s">
        <v>81</v>
      </c>
      <c r="D312" s="662" t="s">
        <v>89</v>
      </c>
      <c r="E312" s="662" t="s">
        <v>37</v>
      </c>
      <c r="F312" s="663" t="s">
        <v>384</v>
      </c>
      <c r="G312" s="10"/>
      <c r="H312" s="200">
        <f>H313</f>
        <v>258.59999999999997</v>
      </c>
    </row>
    <row r="313" spans="1:8" ht="36" x14ac:dyDescent="0.35">
      <c r="A313" s="343"/>
      <c r="B313" s="498" t="s">
        <v>76</v>
      </c>
      <c r="C313" s="661" t="s">
        <v>81</v>
      </c>
      <c r="D313" s="662" t="s">
        <v>89</v>
      </c>
      <c r="E313" s="662" t="s">
        <v>37</v>
      </c>
      <c r="F313" s="663" t="s">
        <v>384</v>
      </c>
      <c r="G313" s="10" t="s">
        <v>77</v>
      </c>
      <c r="H313" s="200">
        <f>'прил9 (ведом 23)'!M511</f>
        <v>258.59999999999997</v>
      </c>
    </row>
    <row r="314" spans="1:8" ht="36" x14ac:dyDescent="0.35">
      <c r="A314" s="343"/>
      <c r="B314" s="494" t="s">
        <v>127</v>
      </c>
      <c r="C314" s="191" t="s">
        <v>81</v>
      </c>
      <c r="D314" s="192" t="s">
        <v>89</v>
      </c>
      <c r="E314" s="192" t="s">
        <v>37</v>
      </c>
      <c r="F314" s="193" t="s">
        <v>90</v>
      </c>
      <c r="G314" s="28"/>
      <c r="H314" s="200">
        <f>SUM(H315:H316)</f>
        <v>331.7</v>
      </c>
    </row>
    <row r="315" spans="1:8" ht="36" x14ac:dyDescent="0.35">
      <c r="A315" s="343"/>
      <c r="B315" s="494" t="s">
        <v>55</v>
      </c>
      <c r="C315" s="191" t="s">
        <v>81</v>
      </c>
      <c r="D315" s="192" t="s">
        <v>89</v>
      </c>
      <c r="E315" s="192" t="s">
        <v>37</v>
      </c>
      <c r="F315" s="193" t="s">
        <v>90</v>
      </c>
      <c r="G315" s="28" t="s">
        <v>56</v>
      </c>
      <c r="H315" s="200">
        <f>'прил9 (ведом 23)'!M112</f>
        <v>121.8</v>
      </c>
    </row>
    <row r="316" spans="1:8" ht="36" x14ac:dyDescent="0.35">
      <c r="A316" s="343"/>
      <c r="B316" s="494" t="s">
        <v>76</v>
      </c>
      <c r="C316" s="191" t="s">
        <v>81</v>
      </c>
      <c r="D316" s="192" t="s">
        <v>89</v>
      </c>
      <c r="E316" s="192" t="s">
        <v>37</v>
      </c>
      <c r="F316" s="193" t="s">
        <v>90</v>
      </c>
      <c r="G316" s="28" t="s">
        <v>77</v>
      </c>
      <c r="H316" s="200">
        <f>'прил9 (ведом 23)'!M513</f>
        <v>209.9</v>
      </c>
    </row>
    <row r="317" spans="1:8" ht="72" x14ac:dyDescent="0.35">
      <c r="A317" s="343"/>
      <c r="B317" s="494" t="s">
        <v>677</v>
      </c>
      <c r="C317" s="191" t="s">
        <v>81</v>
      </c>
      <c r="D317" s="192" t="s">
        <v>89</v>
      </c>
      <c r="E317" s="192" t="s">
        <v>37</v>
      </c>
      <c r="F317" s="193" t="s">
        <v>335</v>
      </c>
      <c r="G317" s="28"/>
      <c r="H317" s="200">
        <f>H318</f>
        <v>121.8</v>
      </c>
    </row>
    <row r="318" spans="1:8" ht="18" x14ac:dyDescent="0.35">
      <c r="A318" s="343"/>
      <c r="B318" s="509" t="s">
        <v>123</v>
      </c>
      <c r="C318" s="191" t="s">
        <v>81</v>
      </c>
      <c r="D318" s="192" t="s">
        <v>89</v>
      </c>
      <c r="E318" s="192" t="s">
        <v>37</v>
      </c>
      <c r="F318" s="193" t="s">
        <v>335</v>
      </c>
      <c r="G318" s="28" t="s">
        <v>124</v>
      </c>
      <c r="H318" s="200">
        <f>'прил9 (ведом 23)'!M114</f>
        <v>121.8</v>
      </c>
    </row>
    <row r="319" spans="1:8" ht="18" x14ac:dyDescent="0.35">
      <c r="A319" s="343"/>
      <c r="B319" s="495" t="s">
        <v>432</v>
      </c>
      <c r="C319" s="191" t="s">
        <v>81</v>
      </c>
      <c r="D319" s="192" t="s">
        <v>89</v>
      </c>
      <c r="E319" s="192" t="s">
        <v>37</v>
      </c>
      <c r="F319" s="193" t="s">
        <v>433</v>
      </c>
      <c r="G319" s="28"/>
      <c r="H319" s="194">
        <f>H320</f>
        <v>1199.9000000000001</v>
      </c>
    </row>
    <row r="320" spans="1:8" ht="49.5" customHeight="1" x14ac:dyDescent="0.35">
      <c r="A320" s="343"/>
      <c r="B320" s="495" t="s">
        <v>76</v>
      </c>
      <c r="C320" s="191" t="s">
        <v>81</v>
      </c>
      <c r="D320" s="192" t="s">
        <v>89</v>
      </c>
      <c r="E320" s="192" t="s">
        <v>37</v>
      </c>
      <c r="F320" s="193" t="s">
        <v>433</v>
      </c>
      <c r="G320" s="28" t="s">
        <v>77</v>
      </c>
      <c r="H320" s="194">
        <f>'прил9 (ведом 23)'!M515+'прил9 (ведом 23)'!M612</f>
        <v>1199.9000000000001</v>
      </c>
    </row>
    <row r="321" spans="1:8" ht="54" x14ac:dyDescent="0.35">
      <c r="A321" s="343"/>
      <c r="B321" s="510" t="s">
        <v>126</v>
      </c>
      <c r="C321" s="191" t="s">
        <v>81</v>
      </c>
      <c r="D321" s="192" t="s">
        <v>89</v>
      </c>
      <c r="E321" s="192" t="s">
        <v>39</v>
      </c>
      <c r="F321" s="193" t="s">
        <v>44</v>
      </c>
      <c r="G321" s="28"/>
      <c r="H321" s="200">
        <f>H322</f>
        <v>756.69999999999993</v>
      </c>
    </row>
    <row r="322" spans="1:8" ht="36" x14ac:dyDescent="0.35">
      <c r="A322" s="343"/>
      <c r="B322" s="510" t="s">
        <v>127</v>
      </c>
      <c r="C322" s="191" t="s">
        <v>81</v>
      </c>
      <c r="D322" s="192" t="s">
        <v>89</v>
      </c>
      <c r="E322" s="192" t="s">
        <v>39</v>
      </c>
      <c r="F322" s="193" t="s">
        <v>90</v>
      </c>
      <c r="G322" s="28"/>
      <c r="H322" s="200">
        <f>H323</f>
        <v>756.69999999999993</v>
      </c>
    </row>
    <row r="323" spans="1:8" ht="36" x14ac:dyDescent="0.35">
      <c r="A323" s="343"/>
      <c r="B323" s="494" t="s">
        <v>55</v>
      </c>
      <c r="C323" s="191" t="s">
        <v>81</v>
      </c>
      <c r="D323" s="192" t="s">
        <v>89</v>
      </c>
      <c r="E323" s="192" t="s">
        <v>39</v>
      </c>
      <c r="F323" s="193" t="s">
        <v>90</v>
      </c>
      <c r="G323" s="28" t="s">
        <v>56</v>
      </c>
      <c r="H323" s="200">
        <f>'прил9 (ведом 23)'!M117</f>
        <v>756.69999999999993</v>
      </c>
    </row>
    <row r="324" spans="1:8" ht="54" x14ac:dyDescent="0.35">
      <c r="A324" s="343"/>
      <c r="B324" s="511" t="s">
        <v>372</v>
      </c>
      <c r="C324" s="191" t="s">
        <v>81</v>
      </c>
      <c r="D324" s="192" t="s">
        <v>30</v>
      </c>
      <c r="E324" s="192" t="s">
        <v>43</v>
      </c>
      <c r="F324" s="193" t="s">
        <v>44</v>
      </c>
      <c r="G324" s="28"/>
      <c r="H324" s="200">
        <f>H325+H330</f>
        <v>12031.548000000001</v>
      </c>
    </row>
    <row r="325" spans="1:8" ht="65.25" customHeight="1" x14ac:dyDescent="0.35">
      <c r="A325" s="343"/>
      <c r="B325" s="510" t="s">
        <v>328</v>
      </c>
      <c r="C325" s="191" t="s">
        <v>81</v>
      </c>
      <c r="D325" s="192" t="s">
        <v>30</v>
      </c>
      <c r="E325" s="192" t="s">
        <v>37</v>
      </c>
      <c r="F325" s="193" t="s">
        <v>44</v>
      </c>
      <c r="G325" s="28"/>
      <c r="H325" s="200">
        <f>H326</f>
        <v>11554.648000000001</v>
      </c>
    </row>
    <row r="326" spans="1:8" ht="36" x14ac:dyDescent="0.35">
      <c r="A326" s="343"/>
      <c r="B326" s="494" t="s">
        <v>466</v>
      </c>
      <c r="C326" s="191" t="s">
        <v>81</v>
      </c>
      <c r="D326" s="192" t="s">
        <v>30</v>
      </c>
      <c r="E326" s="192" t="s">
        <v>37</v>
      </c>
      <c r="F326" s="193" t="s">
        <v>91</v>
      </c>
      <c r="G326" s="28"/>
      <c r="H326" s="200">
        <f>SUM(H327:H329)</f>
        <v>11554.648000000001</v>
      </c>
    </row>
    <row r="327" spans="1:8" s="352" customFormat="1" ht="90" x14ac:dyDescent="0.35">
      <c r="A327" s="343"/>
      <c r="B327" s="494" t="s">
        <v>49</v>
      </c>
      <c r="C327" s="191" t="s">
        <v>81</v>
      </c>
      <c r="D327" s="192" t="s">
        <v>30</v>
      </c>
      <c r="E327" s="192" t="s">
        <v>37</v>
      </c>
      <c r="F327" s="193" t="s">
        <v>91</v>
      </c>
      <c r="G327" s="28" t="s">
        <v>50</v>
      </c>
      <c r="H327" s="200">
        <f>'прил9 (ведом 23)'!M121</f>
        <v>8701.2999999999993</v>
      </c>
    </row>
    <row r="328" spans="1:8" ht="36" x14ac:dyDescent="0.35">
      <c r="A328" s="343"/>
      <c r="B328" s="494" t="s">
        <v>55</v>
      </c>
      <c r="C328" s="191" t="s">
        <v>81</v>
      </c>
      <c r="D328" s="192" t="s">
        <v>30</v>
      </c>
      <c r="E328" s="192" t="s">
        <v>37</v>
      </c>
      <c r="F328" s="193" t="s">
        <v>91</v>
      </c>
      <c r="G328" s="28" t="s">
        <v>56</v>
      </c>
      <c r="H328" s="200">
        <f>'прил9 (ведом 23)'!M122</f>
        <v>2849.82197</v>
      </c>
    </row>
    <row r="329" spans="1:8" s="352" customFormat="1" ht="18" x14ac:dyDescent="0.35">
      <c r="A329" s="343"/>
      <c r="B329" s="494" t="s">
        <v>57</v>
      </c>
      <c r="C329" s="191" t="s">
        <v>81</v>
      </c>
      <c r="D329" s="192" t="s">
        <v>30</v>
      </c>
      <c r="E329" s="192" t="s">
        <v>37</v>
      </c>
      <c r="F329" s="193" t="s">
        <v>91</v>
      </c>
      <c r="G329" s="28" t="s">
        <v>58</v>
      </c>
      <c r="H329" s="200">
        <f>'прил9 (ведом 23)'!M123</f>
        <v>3.52603</v>
      </c>
    </row>
    <row r="330" spans="1:8" s="352" customFormat="1" ht="36" x14ac:dyDescent="0.35">
      <c r="A330" s="343"/>
      <c r="B330" s="494" t="s">
        <v>576</v>
      </c>
      <c r="C330" s="191" t="s">
        <v>81</v>
      </c>
      <c r="D330" s="192" t="s">
        <v>30</v>
      </c>
      <c r="E330" s="192" t="s">
        <v>39</v>
      </c>
      <c r="F330" s="193" t="s">
        <v>44</v>
      </c>
      <c r="G330" s="28"/>
      <c r="H330" s="200">
        <f>H331</f>
        <v>476.9</v>
      </c>
    </row>
    <row r="331" spans="1:8" s="352" customFormat="1" ht="36" x14ac:dyDescent="0.35">
      <c r="A331" s="343"/>
      <c r="B331" s="494" t="s">
        <v>85</v>
      </c>
      <c r="C331" s="191" t="s">
        <v>81</v>
      </c>
      <c r="D331" s="192" t="s">
        <v>30</v>
      </c>
      <c r="E331" s="192" t="s">
        <v>39</v>
      </c>
      <c r="F331" s="193" t="s">
        <v>86</v>
      </c>
      <c r="G331" s="28"/>
      <c r="H331" s="200">
        <f>H332</f>
        <v>476.9</v>
      </c>
    </row>
    <row r="332" spans="1:8" s="352" customFormat="1" ht="36" x14ac:dyDescent="0.35">
      <c r="A332" s="343"/>
      <c r="B332" s="494" t="s">
        <v>55</v>
      </c>
      <c r="C332" s="191" t="s">
        <v>81</v>
      </c>
      <c r="D332" s="192" t="s">
        <v>30</v>
      </c>
      <c r="E332" s="192" t="s">
        <v>39</v>
      </c>
      <c r="F332" s="193" t="s">
        <v>86</v>
      </c>
      <c r="G332" s="28" t="s">
        <v>56</v>
      </c>
      <c r="H332" s="200">
        <f>'прил9 (ведом 23)'!M126</f>
        <v>476.9</v>
      </c>
    </row>
    <row r="333" spans="1:8" s="352" customFormat="1" ht="54" x14ac:dyDescent="0.35">
      <c r="A333" s="343"/>
      <c r="B333" s="512" t="s">
        <v>494</v>
      </c>
      <c r="C333" s="661" t="s">
        <v>81</v>
      </c>
      <c r="D333" s="662" t="s">
        <v>31</v>
      </c>
      <c r="E333" s="662" t="s">
        <v>43</v>
      </c>
      <c r="F333" s="663" t="s">
        <v>44</v>
      </c>
      <c r="G333" s="10"/>
      <c r="H333" s="200">
        <f>H334</f>
        <v>21.8</v>
      </c>
    </row>
    <row r="334" spans="1:8" s="352" customFormat="1" ht="54" x14ac:dyDescent="0.35">
      <c r="A334" s="343"/>
      <c r="B334" s="513" t="s">
        <v>495</v>
      </c>
      <c r="C334" s="661" t="s">
        <v>81</v>
      </c>
      <c r="D334" s="662" t="s">
        <v>31</v>
      </c>
      <c r="E334" s="662" t="s">
        <v>37</v>
      </c>
      <c r="F334" s="663" t="s">
        <v>44</v>
      </c>
      <c r="G334" s="10"/>
      <c r="H334" s="200">
        <f>H335</f>
        <v>21.8</v>
      </c>
    </row>
    <row r="335" spans="1:8" s="352" customFormat="1" ht="36" x14ac:dyDescent="0.35">
      <c r="A335" s="343"/>
      <c r="B335" s="514" t="s">
        <v>85</v>
      </c>
      <c r="C335" s="661" t="s">
        <v>81</v>
      </c>
      <c r="D335" s="662" t="s">
        <v>31</v>
      </c>
      <c r="E335" s="662" t="s">
        <v>37</v>
      </c>
      <c r="F335" s="663" t="s">
        <v>86</v>
      </c>
      <c r="G335" s="10"/>
      <c r="H335" s="200">
        <f>H336</f>
        <v>21.8</v>
      </c>
    </row>
    <row r="336" spans="1:8" s="352" customFormat="1" ht="36" x14ac:dyDescent="0.35">
      <c r="A336" s="343"/>
      <c r="B336" s="515" t="s">
        <v>55</v>
      </c>
      <c r="C336" s="661" t="s">
        <v>81</v>
      </c>
      <c r="D336" s="662" t="s">
        <v>31</v>
      </c>
      <c r="E336" s="662" t="s">
        <v>37</v>
      </c>
      <c r="F336" s="663" t="s">
        <v>86</v>
      </c>
      <c r="G336" s="10" t="s">
        <v>56</v>
      </c>
      <c r="H336" s="200">
        <f>'прил9 (ведом 23)'!M130</f>
        <v>21.8</v>
      </c>
    </row>
    <row r="337" spans="1:8" ht="18" x14ac:dyDescent="0.35">
      <c r="A337" s="367"/>
      <c r="B337" s="497"/>
      <c r="C337" s="368"/>
      <c r="D337" s="658"/>
      <c r="E337" s="658"/>
      <c r="F337" s="659"/>
      <c r="G337" s="222"/>
      <c r="H337" s="200"/>
    </row>
    <row r="338" spans="1:8" s="352" customFormat="1" ht="52.2" x14ac:dyDescent="0.3">
      <c r="A338" s="357">
        <v>6</v>
      </c>
      <c r="B338" s="506" t="s">
        <v>223</v>
      </c>
      <c r="C338" s="349" t="s">
        <v>224</v>
      </c>
      <c r="D338" s="349" t="s">
        <v>42</v>
      </c>
      <c r="E338" s="349" t="s">
        <v>43</v>
      </c>
      <c r="F338" s="350" t="s">
        <v>44</v>
      </c>
      <c r="G338" s="351"/>
      <c r="H338" s="238">
        <f>H339</f>
        <v>53072.7</v>
      </c>
    </row>
    <row r="339" spans="1:8" ht="31.5" customHeight="1" x14ac:dyDescent="0.35">
      <c r="A339" s="343"/>
      <c r="B339" s="494" t="s">
        <v>344</v>
      </c>
      <c r="C339" s="369" t="s">
        <v>224</v>
      </c>
      <c r="D339" s="370" t="s">
        <v>45</v>
      </c>
      <c r="E339" s="192" t="s">
        <v>43</v>
      </c>
      <c r="F339" s="193" t="s">
        <v>44</v>
      </c>
      <c r="G339" s="28"/>
      <c r="H339" s="200">
        <f>H340+H349+H354+H360+H357</f>
        <v>53072.7</v>
      </c>
    </row>
    <row r="340" spans="1:8" ht="46.5" customHeight="1" x14ac:dyDescent="0.35">
      <c r="A340" s="343"/>
      <c r="B340" s="494" t="s">
        <v>308</v>
      </c>
      <c r="C340" s="369" t="s">
        <v>224</v>
      </c>
      <c r="D340" s="370" t="s">
        <v>45</v>
      </c>
      <c r="E340" s="192" t="s">
        <v>37</v>
      </c>
      <c r="F340" s="193" t="s">
        <v>44</v>
      </c>
      <c r="G340" s="28"/>
      <c r="H340" s="200">
        <f>H341+H345+H347</f>
        <v>30768.799999999996</v>
      </c>
    </row>
    <row r="341" spans="1:8" ht="36" x14ac:dyDescent="0.35">
      <c r="A341" s="343"/>
      <c r="B341" s="494" t="s">
        <v>47</v>
      </c>
      <c r="C341" s="369" t="s">
        <v>224</v>
      </c>
      <c r="D341" s="370" t="s">
        <v>45</v>
      </c>
      <c r="E341" s="192" t="s">
        <v>37</v>
      </c>
      <c r="F341" s="193" t="s">
        <v>48</v>
      </c>
      <c r="G341" s="28"/>
      <c r="H341" s="200">
        <f>SUM(H342:H344)</f>
        <v>30447.199999999997</v>
      </c>
    </row>
    <row r="342" spans="1:8" ht="90" x14ac:dyDescent="0.35">
      <c r="A342" s="343"/>
      <c r="B342" s="494" t="s">
        <v>49</v>
      </c>
      <c r="C342" s="369" t="s">
        <v>224</v>
      </c>
      <c r="D342" s="370" t="s">
        <v>45</v>
      </c>
      <c r="E342" s="192" t="s">
        <v>37</v>
      </c>
      <c r="F342" s="193" t="s">
        <v>48</v>
      </c>
      <c r="G342" s="28" t="s">
        <v>50</v>
      </c>
      <c r="H342" s="200">
        <f>'прил9 (ведом 23)'!M298</f>
        <v>29596.899999999998</v>
      </c>
    </row>
    <row r="343" spans="1:8" ht="36" x14ac:dyDescent="0.35">
      <c r="A343" s="343"/>
      <c r="B343" s="494" t="s">
        <v>55</v>
      </c>
      <c r="C343" s="369" t="s">
        <v>224</v>
      </c>
      <c r="D343" s="370" t="s">
        <v>45</v>
      </c>
      <c r="E343" s="192" t="s">
        <v>37</v>
      </c>
      <c r="F343" s="193" t="s">
        <v>48</v>
      </c>
      <c r="G343" s="28" t="s">
        <v>56</v>
      </c>
      <c r="H343" s="200">
        <f>'прил9 (ведом 23)'!M299</f>
        <v>845.69999999999993</v>
      </c>
    </row>
    <row r="344" spans="1:8" ht="18" x14ac:dyDescent="0.35">
      <c r="A344" s="343"/>
      <c r="B344" s="494" t="s">
        <v>57</v>
      </c>
      <c r="C344" s="369" t="s">
        <v>224</v>
      </c>
      <c r="D344" s="370" t="s">
        <v>45</v>
      </c>
      <c r="E344" s="192" t="s">
        <v>37</v>
      </c>
      <c r="F344" s="193" t="s">
        <v>48</v>
      </c>
      <c r="G344" s="28" t="s">
        <v>58</v>
      </c>
      <c r="H344" s="200">
        <f>'прил9 (ведом 23)'!M300</f>
        <v>4.5999999999999996</v>
      </c>
    </row>
    <row r="345" spans="1:8" ht="36" x14ac:dyDescent="0.35">
      <c r="A345" s="343"/>
      <c r="B345" s="495" t="s">
        <v>540</v>
      </c>
      <c r="C345" s="369" t="s">
        <v>224</v>
      </c>
      <c r="D345" s="370" t="s">
        <v>45</v>
      </c>
      <c r="E345" s="192" t="s">
        <v>37</v>
      </c>
      <c r="F345" s="193" t="s">
        <v>539</v>
      </c>
      <c r="G345" s="28"/>
      <c r="H345" s="200">
        <f>H346</f>
        <v>65.599999999999994</v>
      </c>
    </row>
    <row r="346" spans="1:8" ht="36" x14ac:dyDescent="0.35">
      <c r="A346" s="343"/>
      <c r="B346" s="495" t="s">
        <v>55</v>
      </c>
      <c r="C346" s="369" t="s">
        <v>224</v>
      </c>
      <c r="D346" s="370" t="s">
        <v>45</v>
      </c>
      <c r="E346" s="192" t="s">
        <v>37</v>
      </c>
      <c r="F346" s="193" t="s">
        <v>539</v>
      </c>
      <c r="G346" s="28" t="s">
        <v>56</v>
      </c>
      <c r="H346" s="200">
        <f>'прил9 (ведом 23)'!M324</f>
        <v>65.599999999999994</v>
      </c>
    </row>
    <row r="347" spans="1:8" ht="54" x14ac:dyDescent="0.35">
      <c r="A347" s="343"/>
      <c r="B347" s="498" t="s">
        <v>383</v>
      </c>
      <c r="C347" s="25" t="s">
        <v>224</v>
      </c>
      <c r="D347" s="26" t="s">
        <v>45</v>
      </c>
      <c r="E347" s="662" t="s">
        <v>37</v>
      </c>
      <c r="F347" s="663" t="s">
        <v>382</v>
      </c>
      <c r="G347" s="10"/>
      <c r="H347" s="200">
        <f>H348</f>
        <v>256</v>
      </c>
    </row>
    <row r="348" spans="1:8" ht="36" x14ac:dyDescent="0.35">
      <c r="A348" s="343"/>
      <c r="B348" s="498" t="s">
        <v>55</v>
      </c>
      <c r="C348" s="25" t="s">
        <v>224</v>
      </c>
      <c r="D348" s="26" t="s">
        <v>45</v>
      </c>
      <c r="E348" s="662" t="s">
        <v>37</v>
      </c>
      <c r="F348" s="663" t="s">
        <v>382</v>
      </c>
      <c r="G348" s="10" t="s">
        <v>56</v>
      </c>
      <c r="H348" s="200">
        <f>'прил9 (ведом 23)'!M311</f>
        <v>256</v>
      </c>
    </row>
    <row r="349" spans="1:8" ht="18" x14ac:dyDescent="0.35">
      <c r="A349" s="343"/>
      <c r="B349" s="494" t="s">
        <v>309</v>
      </c>
      <c r="C349" s="369" t="s">
        <v>224</v>
      </c>
      <c r="D349" s="370" t="s">
        <v>45</v>
      </c>
      <c r="E349" s="192" t="s">
        <v>39</v>
      </c>
      <c r="F349" s="193" t="s">
        <v>44</v>
      </c>
      <c r="G349" s="28"/>
      <c r="H349" s="200">
        <f>H350+H352</f>
        <v>18429.400000000001</v>
      </c>
    </row>
    <row r="350" spans="1:8" ht="36" x14ac:dyDescent="0.35">
      <c r="A350" s="343"/>
      <c r="B350" s="495" t="s">
        <v>263</v>
      </c>
      <c r="C350" s="369" t="s">
        <v>224</v>
      </c>
      <c r="D350" s="370" t="s">
        <v>45</v>
      </c>
      <c r="E350" s="192" t="s">
        <v>39</v>
      </c>
      <c r="F350" s="193" t="s">
        <v>409</v>
      </c>
      <c r="G350" s="28"/>
      <c r="H350" s="200">
        <f>H351</f>
        <v>7500</v>
      </c>
    </row>
    <row r="351" spans="1:8" ht="18" x14ac:dyDescent="0.35">
      <c r="A351" s="343"/>
      <c r="B351" s="495" t="s">
        <v>123</v>
      </c>
      <c r="C351" s="369" t="s">
        <v>224</v>
      </c>
      <c r="D351" s="370" t="s">
        <v>45</v>
      </c>
      <c r="E351" s="192" t="s">
        <v>39</v>
      </c>
      <c r="F351" s="193" t="s">
        <v>409</v>
      </c>
      <c r="G351" s="28" t="s">
        <v>124</v>
      </c>
      <c r="H351" s="200">
        <f>'прил9 (ведом 23)'!M331</f>
        <v>7500</v>
      </c>
    </row>
    <row r="352" spans="1:8" ht="54" x14ac:dyDescent="0.35">
      <c r="A352" s="343"/>
      <c r="B352" s="566" t="s">
        <v>748</v>
      </c>
      <c r="C352" s="25" t="s">
        <v>224</v>
      </c>
      <c r="D352" s="26" t="s">
        <v>45</v>
      </c>
      <c r="E352" s="662" t="s">
        <v>39</v>
      </c>
      <c r="F352" s="663" t="s">
        <v>749</v>
      </c>
      <c r="G352" s="10"/>
      <c r="H352" s="200">
        <f>H353</f>
        <v>10929.4</v>
      </c>
    </row>
    <row r="353" spans="1:8" ht="18" x14ac:dyDescent="0.35">
      <c r="A353" s="343"/>
      <c r="B353" s="566" t="s">
        <v>123</v>
      </c>
      <c r="C353" s="25" t="s">
        <v>224</v>
      </c>
      <c r="D353" s="26" t="s">
        <v>45</v>
      </c>
      <c r="E353" s="662" t="s">
        <v>39</v>
      </c>
      <c r="F353" s="663" t="s">
        <v>749</v>
      </c>
      <c r="G353" s="10" t="s">
        <v>124</v>
      </c>
      <c r="H353" s="200">
        <f>'прил9 (ведом 23)'!M337</f>
        <v>10929.4</v>
      </c>
    </row>
    <row r="354" spans="1:8" ht="36" x14ac:dyDescent="0.35">
      <c r="A354" s="343"/>
      <c r="B354" s="494" t="s">
        <v>356</v>
      </c>
      <c r="C354" s="369" t="s">
        <v>224</v>
      </c>
      <c r="D354" s="370" t="s">
        <v>45</v>
      </c>
      <c r="E354" s="192" t="s">
        <v>63</v>
      </c>
      <c r="F354" s="193" t="s">
        <v>44</v>
      </c>
      <c r="G354" s="28"/>
      <c r="H354" s="200">
        <f>H355</f>
        <v>3133.9</v>
      </c>
    </row>
    <row r="355" spans="1:8" ht="54" x14ac:dyDescent="0.35">
      <c r="A355" s="343"/>
      <c r="B355" s="494" t="s">
        <v>357</v>
      </c>
      <c r="C355" s="369" t="s">
        <v>224</v>
      </c>
      <c r="D355" s="370" t="s">
        <v>45</v>
      </c>
      <c r="E355" s="192" t="s">
        <v>63</v>
      </c>
      <c r="F355" s="193" t="s">
        <v>105</v>
      </c>
      <c r="G355" s="28"/>
      <c r="H355" s="200">
        <f>H356</f>
        <v>3133.9</v>
      </c>
    </row>
    <row r="356" spans="1:8" ht="36" x14ac:dyDescent="0.35">
      <c r="A356" s="343"/>
      <c r="B356" s="494" t="s">
        <v>55</v>
      </c>
      <c r="C356" s="369" t="s">
        <v>224</v>
      </c>
      <c r="D356" s="370" t="s">
        <v>45</v>
      </c>
      <c r="E356" s="192" t="s">
        <v>63</v>
      </c>
      <c r="F356" s="193" t="s">
        <v>105</v>
      </c>
      <c r="G356" s="28" t="s">
        <v>56</v>
      </c>
      <c r="H356" s="200">
        <f>'прил9 (ведом 23)'!M314</f>
        <v>3133.9</v>
      </c>
    </row>
    <row r="357" spans="1:8" ht="54" x14ac:dyDescent="0.35">
      <c r="A357" s="343"/>
      <c r="B357" s="566" t="s">
        <v>661</v>
      </c>
      <c r="C357" s="25" t="s">
        <v>224</v>
      </c>
      <c r="D357" s="26" t="s">
        <v>45</v>
      </c>
      <c r="E357" s="662" t="s">
        <v>52</v>
      </c>
      <c r="F357" s="663" t="s">
        <v>44</v>
      </c>
      <c r="G357" s="10"/>
      <c r="H357" s="200">
        <f>H358</f>
        <v>726.2</v>
      </c>
    </row>
    <row r="358" spans="1:8" ht="36" x14ac:dyDescent="0.35">
      <c r="A358" s="343"/>
      <c r="B358" s="566" t="s">
        <v>660</v>
      </c>
      <c r="C358" s="25" t="s">
        <v>224</v>
      </c>
      <c r="D358" s="26" t="s">
        <v>45</v>
      </c>
      <c r="E358" s="662" t="s">
        <v>52</v>
      </c>
      <c r="F358" s="663" t="s">
        <v>662</v>
      </c>
      <c r="G358" s="10"/>
      <c r="H358" s="200">
        <f>H359</f>
        <v>726.2</v>
      </c>
    </row>
    <row r="359" spans="1:8" ht="90" x14ac:dyDescent="0.35">
      <c r="A359" s="343"/>
      <c r="B359" s="566" t="s">
        <v>49</v>
      </c>
      <c r="C359" s="25" t="s">
        <v>224</v>
      </c>
      <c r="D359" s="26" t="s">
        <v>45</v>
      </c>
      <c r="E359" s="662" t="s">
        <v>52</v>
      </c>
      <c r="F359" s="663" t="s">
        <v>662</v>
      </c>
      <c r="G359" s="10" t="s">
        <v>50</v>
      </c>
      <c r="H359" s="200">
        <f>'прил9 (ведом 23)'!M305</f>
        <v>726.2</v>
      </c>
    </row>
    <row r="360" spans="1:8" ht="36" x14ac:dyDescent="0.35">
      <c r="A360" s="343"/>
      <c r="B360" s="495" t="s">
        <v>470</v>
      </c>
      <c r="C360" s="369" t="s">
        <v>224</v>
      </c>
      <c r="D360" s="370" t="s">
        <v>45</v>
      </c>
      <c r="E360" s="192" t="s">
        <v>65</v>
      </c>
      <c r="F360" s="193" t="s">
        <v>44</v>
      </c>
      <c r="G360" s="28"/>
      <c r="H360" s="200">
        <f>H361</f>
        <v>14.399999999999999</v>
      </c>
    </row>
    <row r="361" spans="1:8" ht="18" x14ac:dyDescent="0.35">
      <c r="A361" s="343"/>
      <c r="B361" s="495" t="s">
        <v>468</v>
      </c>
      <c r="C361" s="369" t="s">
        <v>224</v>
      </c>
      <c r="D361" s="370" t="s">
        <v>45</v>
      </c>
      <c r="E361" s="192" t="s">
        <v>65</v>
      </c>
      <c r="F361" s="193" t="s">
        <v>469</v>
      </c>
      <c r="G361" s="28"/>
      <c r="H361" s="200">
        <f>H362</f>
        <v>14.399999999999999</v>
      </c>
    </row>
    <row r="362" spans="1:8" ht="36" x14ac:dyDescent="0.35">
      <c r="A362" s="343"/>
      <c r="B362" s="495" t="s">
        <v>55</v>
      </c>
      <c r="C362" s="369" t="s">
        <v>224</v>
      </c>
      <c r="D362" s="370" t="s">
        <v>45</v>
      </c>
      <c r="E362" s="192" t="s">
        <v>65</v>
      </c>
      <c r="F362" s="193" t="s">
        <v>469</v>
      </c>
      <c r="G362" s="28" t="s">
        <v>56</v>
      </c>
      <c r="H362" s="200">
        <f>'прил9 (ведом 23)'!M317</f>
        <v>14.399999999999999</v>
      </c>
    </row>
    <row r="363" spans="1:8" ht="18" x14ac:dyDescent="0.35">
      <c r="A363" s="343"/>
      <c r="B363" s="494"/>
      <c r="C363" s="370"/>
      <c r="D363" s="370"/>
      <c r="E363" s="370"/>
      <c r="F363" s="371"/>
      <c r="G363" s="28"/>
      <c r="H363" s="200"/>
    </row>
    <row r="364" spans="1:8" s="352" customFormat="1" ht="52.2" x14ac:dyDescent="0.3">
      <c r="A364" s="348">
        <v>7</v>
      </c>
      <c r="B364" s="516" t="s">
        <v>225</v>
      </c>
      <c r="C364" s="372" t="s">
        <v>226</v>
      </c>
      <c r="D364" s="358" t="s">
        <v>42</v>
      </c>
      <c r="E364" s="358" t="s">
        <v>43</v>
      </c>
      <c r="F364" s="359" t="s">
        <v>44</v>
      </c>
      <c r="G364" s="373"/>
      <c r="H364" s="238">
        <f>H365+H374+H396</f>
        <v>48719.681060000003</v>
      </c>
    </row>
    <row r="365" spans="1:8" ht="36" x14ac:dyDescent="0.35">
      <c r="A365" s="367"/>
      <c r="B365" s="517" t="s">
        <v>227</v>
      </c>
      <c r="C365" s="409" t="s">
        <v>226</v>
      </c>
      <c r="D365" s="381" t="s">
        <v>45</v>
      </c>
      <c r="E365" s="381" t="s">
        <v>43</v>
      </c>
      <c r="F365" s="382" t="s">
        <v>44</v>
      </c>
      <c r="G365" s="638"/>
      <c r="H365" s="200">
        <f>H366+H371</f>
        <v>3917.4650000000001</v>
      </c>
    </row>
    <row r="366" spans="1:8" ht="72" x14ac:dyDescent="0.35">
      <c r="A366" s="367"/>
      <c r="B366" s="517" t="s">
        <v>302</v>
      </c>
      <c r="C366" s="391" t="s">
        <v>226</v>
      </c>
      <c r="D366" s="368" t="s">
        <v>45</v>
      </c>
      <c r="E366" s="368" t="s">
        <v>37</v>
      </c>
      <c r="F366" s="378" t="s">
        <v>44</v>
      </c>
      <c r="G366" s="379"/>
      <c r="H366" s="200">
        <f>H367+H369</f>
        <v>2099.3320000000003</v>
      </c>
    </row>
    <row r="367" spans="1:8" ht="54" x14ac:dyDescent="0.35">
      <c r="A367" s="367"/>
      <c r="B367" s="517" t="s">
        <v>228</v>
      </c>
      <c r="C367" s="391" t="s">
        <v>226</v>
      </c>
      <c r="D367" s="368" t="s">
        <v>45</v>
      </c>
      <c r="E367" s="368" t="s">
        <v>37</v>
      </c>
      <c r="F367" s="378" t="s">
        <v>303</v>
      </c>
      <c r="G367" s="379"/>
      <c r="H367" s="200">
        <f>H368</f>
        <v>1021.1320000000001</v>
      </c>
    </row>
    <row r="368" spans="1:8" ht="36" x14ac:dyDescent="0.35">
      <c r="A368" s="367"/>
      <c r="B368" s="494" t="s">
        <v>55</v>
      </c>
      <c r="C368" s="391" t="s">
        <v>226</v>
      </c>
      <c r="D368" s="368" t="s">
        <v>45</v>
      </c>
      <c r="E368" s="368" t="s">
        <v>37</v>
      </c>
      <c r="F368" s="378" t="s">
        <v>303</v>
      </c>
      <c r="G368" s="379" t="s">
        <v>56</v>
      </c>
      <c r="H368" s="200">
        <f>'прил9 (ведом 23)'!M364</f>
        <v>1021.1320000000001</v>
      </c>
    </row>
    <row r="369" spans="1:8" ht="25.5" customHeight="1" x14ac:dyDescent="0.35">
      <c r="A369" s="367"/>
      <c r="B369" s="518" t="s">
        <v>376</v>
      </c>
      <c r="C369" s="360" t="s">
        <v>226</v>
      </c>
      <c r="D369" s="368" t="s">
        <v>45</v>
      </c>
      <c r="E369" s="368" t="s">
        <v>37</v>
      </c>
      <c r="F369" s="378" t="s">
        <v>375</v>
      </c>
      <c r="G369" s="379"/>
      <c r="H369" s="200">
        <f>H370</f>
        <v>1078.2</v>
      </c>
    </row>
    <row r="370" spans="1:8" ht="36" x14ac:dyDescent="0.35">
      <c r="A370" s="367"/>
      <c r="B370" s="495" t="s">
        <v>55</v>
      </c>
      <c r="C370" s="360" t="s">
        <v>226</v>
      </c>
      <c r="D370" s="368" t="s">
        <v>45</v>
      </c>
      <c r="E370" s="368" t="s">
        <v>37</v>
      </c>
      <c r="F370" s="378" t="s">
        <v>375</v>
      </c>
      <c r="G370" s="379" t="s">
        <v>56</v>
      </c>
      <c r="H370" s="200">
        <f>'прил9 (ведом 23)'!M416</f>
        <v>1078.2</v>
      </c>
    </row>
    <row r="371" spans="1:8" ht="36" x14ac:dyDescent="0.35">
      <c r="A371" s="367"/>
      <c r="B371" s="494" t="s">
        <v>343</v>
      </c>
      <c r="C371" s="391" t="s">
        <v>226</v>
      </c>
      <c r="D371" s="368" t="s">
        <v>45</v>
      </c>
      <c r="E371" s="368" t="s">
        <v>39</v>
      </c>
      <c r="F371" s="378" t="s">
        <v>44</v>
      </c>
      <c r="G371" s="379"/>
      <c r="H371" s="200">
        <f>H372</f>
        <v>1818.1329999999998</v>
      </c>
    </row>
    <row r="372" spans="1:8" ht="36" x14ac:dyDescent="0.35">
      <c r="A372" s="367"/>
      <c r="B372" s="494" t="s">
        <v>342</v>
      </c>
      <c r="C372" s="391" t="s">
        <v>226</v>
      </c>
      <c r="D372" s="368" t="s">
        <v>45</v>
      </c>
      <c r="E372" s="368" t="s">
        <v>39</v>
      </c>
      <c r="F372" s="378" t="s">
        <v>341</v>
      </c>
      <c r="G372" s="379"/>
      <c r="H372" s="200">
        <f>SUM(H373:H373)</f>
        <v>1818.1329999999998</v>
      </c>
    </row>
    <row r="373" spans="1:8" ht="36" x14ac:dyDescent="0.35">
      <c r="A373" s="367"/>
      <c r="B373" s="494" t="s">
        <v>55</v>
      </c>
      <c r="C373" s="391" t="s">
        <v>226</v>
      </c>
      <c r="D373" s="368" t="s">
        <v>45</v>
      </c>
      <c r="E373" s="368" t="s">
        <v>39</v>
      </c>
      <c r="F373" s="378" t="s">
        <v>341</v>
      </c>
      <c r="G373" s="379" t="s">
        <v>56</v>
      </c>
      <c r="H373" s="200">
        <f>'прил9 (ведом 23)'!M367</f>
        <v>1818.1329999999998</v>
      </c>
    </row>
    <row r="374" spans="1:8" ht="36" x14ac:dyDescent="0.35">
      <c r="A374" s="367"/>
      <c r="B374" s="517" t="s">
        <v>229</v>
      </c>
      <c r="C374" s="360" t="s">
        <v>226</v>
      </c>
      <c r="D374" s="368" t="s">
        <v>89</v>
      </c>
      <c r="E374" s="368" t="s">
        <v>43</v>
      </c>
      <c r="F374" s="378" t="s">
        <v>44</v>
      </c>
      <c r="G374" s="379"/>
      <c r="H374" s="200">
        <f>H375+H390+H393</f>
        <v>27521.003000000001</v>
      </c>
    </row>
    <row r="375" spans="1:8" ht="72" x14ac:dyDescent="0.35">
      <c r="A375" s="367"/>
      <c r="B375" s="517" t="s">
        <v>306</v>
      </c>
      <c r="C375" s="360" t="s">
        <v>226</v>
      </c>
      <c r="D375" s="368" t="s">
        <v>89</v>
      </c>
      <c r="E375" s="368" t="s">
        <v>37</v>
      </c>
      <c r="F375" s="378" t="s">
        <v>44</v>
      </c>
      <c r="G375" s="379"/>
      <c r="H375" s="200">
        <f>H376+H380+H384+H386+H388</f>
        <v>26453.4</v>
      </c>
    </row>
    <row r="376" spans="1:8" ht="36" x14ac:dyDescent="0.35">
      <c r="A376" s="367"/>
      <c r="B376" s="517" t="s">
        <v>47</v>
      </c>
      <c r="C376" s="360" t="s">
        <v>226</v>
      </c>
      <c r="D376" s="368" t="s">
        <v>89</v>
      </c>
      <c r="E376" s="368" t="s">
        <v>37</v>
      </c>
      <c r="F376" s="378" t="s">
        <v>48</v>
      </c>
      <c r="G376" s="379"/>
      <c r="H376" s="200">
        <f>SUM(H377:H379)</f>
        <v>15691.6</v>
      </c>
    </row>
    <row r="377" spans="1:8" ht="90" x14ac:dyDescent="0.35">
      <c r="A377" s="367"/>
      <c r="B377" s="517" t="s">
        <v>49</v>
      </c>
      <c r="C377" s="360" t="s">
        <v>226</v>
      </c>
      <c r="D377" s="368" t="s">
        <v>89</v>
      </c>
      <c r="E377" s="368" t="s">
        <v>37</v>
      </c>
      <c r="F377" s="378" t="s">
        <v>48</v>
      </c>
      <c r="G377" s="379" t="s">
        <v>50</v>
      </c>
      <c r="H377" s="200">
        <f>'прил9 (ведом 23)'!M371</f>
        <v>15338.4</v>
      </c>
    </row>
    <row r="378" spans="1:8" ht="36" x14ac:dyDescent="0.35">
      <c r="A378" s="367"/>
      <c r="B378" s="494" t="s">
        <v>55</v>
      </c>
      <c r="C378" s="360" t="s">
        <v>226</v>
      </c>
      <c r="D378" s="368" t="s">
        <v>89</v>
      </c>
      <c r="E378" s="368" t="s">
        <v>37</v>
      </c>
      <c r="F378" s="378" t="s">
        <v>48</v>
      </c>
      <c r="G378" s="379" t="s">
        <v>56</v>
      </c>
      <c r="H378" s="200">
        <f>'прил9 (ведом 23)'!M372</f>
        <v>351.065</v>
      </c>
    </row>
    <row r="379" spans="1:8" ht="18" x14ac:dyDescent="0.35">
      <c r="A379" s="367"/>
      <c r="B379" s="517" t="s">
        <v>57</v>
      </c>
      <c r="C379" s="360" t="s">
        <v>226</v>
      </c>
      <c r="D379" s="368" t="s">
        <v>89</v>
      </c>
      <c r="E379" s="368" t="s">
        <v>37</v>
      </c>
      <c r="F379" s="378" t="s">
        <v>48</v>
      </c>
      <c r="G379" s="379" t="s">
        <v>58</v>
      </c>
      <c r="H379" s="200">
        <f>'прил9 (ведом 23)'!M373</f>
        <v>2.1349999999999998</v>
      </c>
    </row>
    <row r="380" spans="1:8" ht="36" x14ac:dyDescent="0.35">
      <c r="A380" s="367"/>
      <c r="B380" s="494" t="s">
        <v>466</v>
      </c>
      <c r="C380" s="360" t="s">
        <v>226</v>
      </c>
      <c r="D380" s="368" t="s">
        <v>89</v>
      </c>
      <c r="E380" s="368" t="s">
        <v>37</v>
      </c>
      <c r="F380" s="378" t="s">
        <v>91</v>
      </c>
      <c r="G380" s="379"/>
      <c r="H380" s="200">
        <f>SUM(H381:H383)</f>
        <v>10033.300000000001</v>
      </c>
    </row>
    <row r="381" spans="1:8" ht="90" x14ac:dyDescent="0.35">
      <c r="A381" s="367"/>
      <c r="B381" s="517" t="s">
        <v>49</v>
      </c>
      <c r="C381" s="360" t="s">
        <v>226</v>
      </c>
      <c r="D381" s="368" t="s">
        <v>89</v>
      </c>
      <c r="E381" s="368" t="s">
        <v>37</v>
      </c>
      <c r="F381" s="378" t="s">
        <v>91</v>
      </c>
      <c r="G381" s="379" t="s">
        <v>50</v>
      </c>
      <c r="H381" s="200">
        <f>'прил9 (ведом 23)'!M375</f>
        <v>9350.4</v>
      </c>
    </row>
    <row r="382" spans="1:8" ht="36" x14ac:dyDescent="0.35">
      <c r="A382" s="367"/>
      <c r="B382" s="494" t="s">
        <v>55</v>
      </c>
      <c r="C382" s="380" t="s">
        <v>226</v>
      </c>
      <c r="D382" s="381" t="s">
        <v>89</v>
      </c>
      <c r="E382" s="381" t="s">
        <v>37</v>
      </c>
      <c r="F382" s="382" t="s">
        <v>91</v>
      </c>
      <c r="G382" s="379" t="s">
        <v>56</v>
      </c>
      <c r="H382" s="200">
        <f>'прил9 (ведом 23)'!M376</f>
        <v>660.19999999999993</v>
      </c>
    </row>
    <row r="383" spans="1:8" ht="18" x14ac:dyDescent="0.35">
      <c r="A383" s="367"/>
      <c r="B383" s="517" t="s">
        <v>57</v>
      </c>
      <c r="C383" s="360" t="s">
        <v>226</v>
      </c>
      <c r="D383" s="368" t="s">
        <v>89</v>
      </c>
      <c r="E383" s="368" t="s">
        <v>37</v>
      </c>
      <c r="F383" s="378" t="s">
        <v>91</v>
      </c>
      <c r="G383" s="379" t="s">
        <v>58</v>
      </c>
      <c r="H383" s="200">
        <f>'прил9 (ведом 23)'!M377</f>
        <v>22.7</v>
      </c>
    </row>
    <row r="384" spans="1:8" ht="36" x14ac:dyDescent="0.35">
      <c r="A384" s="367"/>
      <c r="B384" s="495" t="s">
        <v>540</v>
      </c>
      <c r="C384" s="383" t="s">
        <v>226</v>
      </c>
      <c r="D384" s="354" t="s">
        <v>89</v>
      </c>
      <c r="E384" s="354" t="s">
        <v>37</v>
      </c>
      <c r="F384" s="377" t="s">
        <v>539</v>
      </c>
      <c r="G384" s="356"/>
      <c r="H384" s="200">
        <f>H385</f>
        <v>7.2</v>
      </c>
    </row>
    <row r="385" spans="1:8" ht="36" x14ac:dyDescent="0.35">
      <c r="A385" s="367"/>
      <c r="B385" s="495" t="s">
        <v>55</v>
      </c>
      <c r="C385" s="383" t="s">
        <v>226</v>
      </c>
      <c r="D385" s="354" t="s">
        <v>89</v>
      </c>
      <c r="E385" s="354" t="s">
        <v>37</v>
      </c>
      <c r="F385" s="377" t="s">
        <v>539</v>
      </c>
      <c r="G385" s="356" t="s">
        <v>56</v>
      </c>
      <c r="H385" s="200">
        <f>'прил9 (ведом 23)'!M452</f>
        <v>7.2</v>
      </c>
    </row>
    <row r="386" spans="1:8" ht="54" x14ac:dyDescent="0.35">
      <c r="A386" s="367"/>
      <c r="B386" s="495" t="s">
        <v>359</v>
      </c>
      <c r="C386" s="360" t="s">
        <v>226</v>
      </c>
      <c r="D386" s="368" t="s">
        <v>89</v>
      </c>
      <c r="E386" s="368" t="s">
        <v>37</v>
      </c>
      <c r="F386" s="378" t="s">
        <v>358</v>
      </c>
      <c r="G386" s="379"/>
      <c r="H386" s="200">
        <f>H387</f>
        <v>401.29999999999995</v>
      </c>
    </row>
    <row r="387" spans="1:8" ht="36" x14ac:dyDescent="0.35">
      <c r="A387" s="367"/>
      <c r="B387" s="495" t="s">
        <v>55</v>
      </c>
      <c r="C387" s="360" t="s">
        <v>226</v>
      </c>
      <c r="D387" s="368" t="s">
        <v>89</v>
      </c>
      <c r="E387" s="368" t="s">
        <v>37</v>
      </c>
      <c r="F387" s="378" t="s">
        <v>358</v>
      </c>
      <c r="G387" s="379" t="s">
        <v>56</v>
      </c>
      <c r="H387" s="200">
        <f>'прил9 (ведом 23)'!M379</f>
        <v>401.29999999999995</v>
      </c>
    </row>
    <row r="388" spans="1:8" ht="54" x14ac:dyDescent="0.35">
      <c r="A388" s="367"/>
      <c r="B388" s="601" t="s">
        <v>383</v>
      </c>
      <c r="C388" s="129" t="s">
        <v>226</v>
      </c>
      <c r="D388" s="82" t="s">
        <v>89</v>
      </c>
      <c r="E388" s="82" t="s">
        <v>37</v>
      </c>
      <c r="F388" s="127" t="s">
        <v>382</v>
      </c>
      <c r="G388" s="565"/>
      <c r="H388" s="413">
        <f>H389</f>
        <v>320</v>
      </c>
    </row>
    <row r="389" spans="1:8" ht="36" x14ac:dyDescent="0.35">
      <c r="A389" s="367"/>
      <c r="B389" s="601" t="s">
        <v>55</v>
      </c>
      <c r="C389" s="129" t="s">
        <v>226</v>
      </c>
      <c r="D389" s="82" t="s">
        <v>89</v>
      </c>
      <c r="E389" s="82" t="s">
        <v>37</v>
      </c>
      <c r="F389" s="257" t="s">
        <v>382</v>
      </c>
      <c r="G389" s="84" t="s">
        <v>56</v>
      </c>
      <c r="H389" s="413">
        <f>'прил9 (ведом 23)'!M381</f>
        <v>320</v>
      </c>
    </row>
    <row r="390" spans="1:8" ht="36" x14ac:dyDescent="0.35">
      <c r="A390" s="367"/>
      <c r="B390" s="519" t="s">
        <v>356</v>
      </c>
      <c r="C390" s="410" t="s">
        <v>226</v>
      </c>
      <c r="D390" s="411" t="s">
        <v>89</v>
      </c>
      <c r="E390" s="411" t="s">
        <v>39</v>
      </c>
      <c r="F390" s="412" t="s">
        <v>44</v>
      </c>
      <c r="G390" s="387"/>
      <c r="H390" s="413">
        <f>H391</f>
        <v>989.09999999999991</v>
      </c>
    </row>
    <row r="391" spans="1:8" ht="54" x14ac:dyDescent="0.35">
      <c r="A391" s="367"/>
      <c r="B391" s="520" t="s">
        <v>357</v>
      </c>
      <c r="C391" s="383" t="s">
        <v>226</v>
      </c>
      <c r="D391" s="385" t="s">
        <v>89</v>
      </c>
      <c r="E391" s="385" t="s">
        <v>39</v>
      </c>
      <c r="F391" s="386" t="s">
        <v>105</v>
      </c>
      <c r="G391" s="388"/>
      <c r="H391" s="200">
        <f>H392</f>
        <v>989.09999999999991</v>
      </c>
    </row>
    <row r="392" spans="1:8" ht="36" x14ac:dyDescent="0.35">
      <c r="A392" s="367"/>
      <c r="B392" s="521" t="s">
        <v>55</v>
      </c>
      <c r="C392" s="414" t="s">
        <v>226</v>
      </c>
      <c r="D392" s="385" t="s">
        <v>89</v>
      </c>
      <c r="E392" s="385" t="s">
        <v>39</v>
      </c>
      <c r="F392" s="386" t="s">
        <v>105</v>
      </c>
      <c r="G392" s="388" t="s">
        <v>56</v>
      </c>
      <c r="H392" s="200">
        <f>'прил9 (ведом 23)'!M384</f>
        <v>989.09999999999991</v>
      </c>
    </row>
    <row r="393" spans="1:8" ht="18" x14ac:dyDescent="0.35">
      <c r="A393" s="367"/>
      <c r="B393" s="517" t="s">
        <v>378</v>
      </c>
      <c r="C393" s="390" t="s">
        <v>226</v>
      </c>
      <c r="D393" s="389" t="s">
        <v>89</v>
      </c>
      <c r="E393" s="415" t="s">
        <v>63</v>
      </c>
      <c r="F393" s="416" t="s">
        <v>44</v>
      </c>
      <c r="G393" s="417"/>
      <c r="H393" s="200">
        <f>H394</f>
        <v>78.502999999999986</v>
      </c>
    </row>
    <row r="394" spans="1:8" ht="36" x14ac:dyDescent="0.35">
      <c r="A394" s="367"/>
      <c r="B394" s="517" t="s">
        <v>342</v>
      </c>
      <c r="C394" s="390" t="s">
        <v>226</v>
      </c>
      <c r="D394" s="389" t="s">
        <v>89</v>
      </c>
      <c r="E394" s="418" t="s">
        <v>63</v>
      </c>
      <c r="F394" s="419" t="s">
        <v>341</v>
      </c>
      <c r="G394" s="417"/>
      <c r="H394" s="200">
        <f>H395</f>
        <v>78.502999999999986</v>
      </c>
    </row>
    <row r="395" spans="1:8" ht="18" x14ac:dyDescent="0.35">
      <c r="A395" s="367"/>
      <c r="B395" s="518" t="s">
        <v>57</v>
      </c>
      <c r="C395" s="360" t="s">
        <v>226</v>
      </c>
      <c r="D395" s="415" t="s">
        <v>89</v>
      </c>
      <c r="E395" s="415" t="s">
        <v>63</v>
      </c>
      <c r="F395" s="416" t="s">
        <v>341</v>
      </c>
      <c r="G395" s="417" t="s">
        <v>58</v>
      </c>
      <c r="H395" s="200">
        <f>'прил9 (ведом 23)'!M387</f>
        <v>78.502999999999986</v>
      </c>
    </row>
    <row r="396" spans="1:8" ht="18" x14ac:dyDescent="0.35">
      <c r="A396" s="367"/>
      <c r="B396" s="522" t="s">
        <v>344</v>
      </c>
      <c r="C396" s="383" t="s">
        <v>226</v>
      </c>
      <c r="D396" s="385" t="s">
        <v>30</v>
      </c>
      <c r="E396" s="385" t="s">
        <v>43</v>
      </c>
      <c r="F396" s="386" t="s">
        <v>44</v>
      </c>
      <c r="G396" s="417"/>
      <c r="H396" s="200">
        <f>H397</f>
        <v>17281.213059999998</v>
      </c>
    </row>
    <row r="397" spans="1:8" ht="18" x14ac:dyDescent="0.35">
      <c r="A397" s="367"/>
      <c r="B397" s="522" t="s">
        <v>378</v>
      </c>
      <c r="C397" s="383" t="s">
        <v>226</v>
      </c>
      <c r="D397" s="385" t="s">
        <v>30</v>
      </c>
      <c r="E397" s="385" t="s">
        <v>226</v>
      </c>
      <c r="F397" s="386" t="s">
        <v>44</v>
      </c>
      <c r="G397" s="417"/>
      <c r="H397" s="200">
        <f>H398</f>
        <v>17281.213059999998</v>
      </c>
    </row>
    <row r="398" spans="1:8" ht="36" x14ac:dyDescent="0.35">
      <c r="A398" s="367"/>
      <c r="B398" s="523" t="s">
        <v>342</v>
      </c>
      <c r="C398" s="383" t="s">
        <v>226</v>
      </c>
      <c r="D398" s="385" t="s">
        <v>30</v>
      </c>
      <c r="E398" s="385" t="s">
        <v>226</v>
      </c>
      <c r="F398" s="386" t="s">
        <v>341</v>
      </c>
      <c r="G398" s="417"/>
      <c r="H398" s="200">
        <f>H399+H400+H401</f>
        <v>17281.213059999998</v>
      </c>
    </row>
    <row r="399" spans="1:8" ht="36" x14ac:dyDescent="0.35">
      <c r="A399" s="367"/>
      <c r="B399" s="521" t="s">
        <v>55</v>
      </c>
      <c r="C399" s="383" t="s">
        <v>226</v>
      </c>
      <c r="D399" s="385" t="s">
        <v>30</v>
      </c>
      <c r="E399" s="385" t="s">
        <v>226</v>
      </c>
      <c r="F399" s="386" t="s">
        <v>341</v>
      </c>
      <c r="G399" s="598" t="s">
        <v>56</v>
      </c>
      <c r="H399" s="200">
        <f>'прил9 (ведом 23)'!M391+'прил9 (ведом 23)'!M420</f>
        <v>3701.069</v>
      </c>
    </row>
    <row r="400" spans="1:8" ht="36" x14ac:dyDescent="0.35">
      <c r="A400" s="367"/>
      <c r="B400" s="585" t="s">
        <v>203</v>
      </c>
      <c r="C400" s="383" t="s">
        <v>226</v>
      </c>
      <c r="D400" s="385" t="s">
        <v>30</v>
      </c>
      <c r="E400" s="385" t="s">
        <v>226</v>
      </c>
      <c r="F400" s="386" t="s">
        <v>341</v>
      </c>
      <c r="G400" s="487" t="s">
        <v>204</v>
      </c>
      <c r="H400" s="200">
        <f>'прил9 (ведом 23)'!M392</f>
        <v>13347.057059999999</v>
      </c>
    </row>
    <row r="401" spans="1:8" ht="18" x14ac:dyDescent="0.35">
      <c r="A401" s="367"/>
      <c r="B401" s="524" t="s">
        <v>57</v>
      </c>
      <c r="C401" s="383" t="s">
        <v>226</v>
      </c>
      <c r="D401" s="385" t="s">
        <v>30</v>
      </c>
      <c r="E401" s="385" t="s">
        <v>226</v>
      </c>
      <c r="F401" s="386" t="s">
        <v>341</v>
      </c>
      <c r="G401" s="417" t="s">
        <v>58</v>
      </c>
      <c r="H401" s="200">
        <f>'прил9 (ведом 23)'!M393</f>
        <v>233.08699999999999</v>
      </c>
    </row>
    <row r="402" spans="1:8" ht="18" x14ac:dyDescent="0.35">
      <c r="A402" s="367"/>
      <c r="B402" s="501"/>
      <c r="C402" s="368"/>
      <c r="D402" s="658"/>
      <c r="E402" s="658"/>
      <c r="F402" s="659"/>
      <c r="G402" s="222"/>
      <c r="H402" s="200"/>
    </row>
    <row r="403" spans="1:8" s="352" customFormat="1" ht="52.2" x14ac:dyDescent="0.3">
      <c r="A403" s="357">
        <v>8</v>
      </c>
      <c r="B403" s="516" t="s">
        <v>300</v>
      </c>
      <c r="C403" s="358" t="s">
        <v>79</v>
      </c>
      <c r="D403" s="358" t="s">
        <v>42</v>
      </c>
      <c r="E403" s="358" t="s">
        <v>43</v>
      </c>
      <c r="F403" s="359" t="s">
        <v>44</v>
      </c>
      <c r="G403" s="351"/>
      <c r="H403" s="238">
        <f>H404</f>
        <v>159026.90000000002</v>
      </c>
    </row>
    <row r="404" spans="1:8" ht="18" x14ac:dyDescent="0.35">
      <c r="A404" s="343"/>
      <c r="B404" s="494" t="s">
        <v>344</v>
      </c>
      <c r="C404" s="391" t="s">
        <v>79</v>
      </c>
      <c r="D404" s="368" t="s">
        <v>45</v>
      </c>
      <c r="E404" s="368" t="s">
        <v>43</v>
      </c>
      <c r="F404" s="193" t="s">
        <v>44</v>
      </c>
      <c r="G404" s="222"/>
      <c r="H404" s="200">
        <f>H405+H420+H426+H436+H439+H442</f>
        <v>159026.90000000002</v>
      </c>
    </row>
    <row r="405" spans="1:8" ht="36" x14ac:dyDescent="0.35">
      <c r="A405" s="343"/>
      <c r="B405" s="494" t="s">
        <v>290</v>
      </c>
      <c r="C405" s="191" t="s">
        <v>79</v>
      </c>
      <c r="D405" s="192" t="s">
        <v>45</v>
      </c>
      <c r="E405" s="192" t="s">
        <v>37</v>
      </c>
      <c r="F405" s="193" t="s">
        <v>44</v>
      </c>
      <c r="G405" s="222"/>
      <c r="H405" s="200">
        <f>H406+H409+H414+H417+H412</f>
        <v>62563.4</v>
      </c>
    </row>
    <row r="406" spans="1:8" ht="126" x14ac:dyDescent="0.35">
      <c r="A406" s="343"/>
      <c r="B406" s="525" t="s">
        <v>362</v>
      </c>
      <c r="C406" s="191" t="s">
        <v>79</v>
      </c>
      <c r="D406" s="192" t="s">
        <v>45</v>
      </c>
      <c r="E406" s="192" t="s">
        <v>37</v>
      </c>
      <c r="F406" s="193" t="s">
        <v>549</v>
      </c>
      <c r="G406" s="28"/>
      <c r="H406" s="200">
        <f>SUM(H407:H408)</f>
        <v>35725.5</v>
      </c>
    </row>
    <row r="407" spans="1:8" ht="36" x14ac:dyDescent="0.35">
      <c r="A407" s="343"/>
      <c r="B407" s="526" t="s">
        <v>55</v>
      </c>
      <c r="C407" s="191" t="s">
        <v>79</v>
      </c>
      <c r="D407" s="192" t="s">
        <v>45</v>
      </c>
      <c r="E407" s="192" t="s">
        <v>37</v>
      </c>
      <c r="F407" s="193" t="s">
        <v>549</v>
      </c>
      <c r="G407" s="28" t="s">
        <v>56</v>
      </c>
      <c r="H407" s="200">
        <f>'прил9 (ведом 23)'!M866</f>
        <v>178.6</v>
      </c>
    </row>
    <row r="408" spans="1:8" ht="18" x14ac:dyDescent="0.35">
      <c r="A408" s="343"/>
      <c r="B408" s="494" t="s">
        <v>120</v>
      </c>
      <c r="C408" s="191" t="s">
        <v>79</v>
      </c>
      <c r="D408" s="192" t="s">
        <v>45</v>
      </c>
      <c r="E408" s="192" t="s">
        <v>37</v>
      </c>
      <c r="F408" s="193" t="s">
        <v>549</v>
      </c>
      <c r="G408" s="28" t="s">
        <v>121</v>
      </c>
      <c r="H408" s="200">
        <f>'прил9 (ведом 23)'!M867</f>
        <v>35546.9</v>
      </c>
    </row>
    <row r="409" spans="1:8" ht="90" x14ac:dyDescent="0.35">
      <c r="A409" s="343"/>
      <c r="B409" s="494" t="s">
        <v>364</v>
      </c>
      <c r="C409" s="191" t="s">
        <v>79</v>
      </c>
      <c r="D409" s="192" t="s">
        <v>45</v>
      </c>
      <c r="E409" s="192" t="s">
        <v>37</v>
      </c>
      <c r="F409" s="193" t="s">
        <v>551</v>
      </c>
      <c r="G409" s="28"/>
      <c r="H409" s="200">
        <f>SUM(H410:H411)</f>
        <v>361.2</v>
      </c>
    </row>
    <row r="410" spans="1:8" ht="36" x14ac:dyDescent="0.35">
      <c r="A410" s="343"/>
      <c r="B410" s="494" t="s">
        <v>55</v>
      </c>
      <c r="C410" s="191" t="s">
        <v>79</v>
      </c>
      <c r="D410" s="192" t="s">
        <v>45</v>
      </c>
      <c r="E410" s="192" t="s">
        <v>37</v>
      </c>
      <c r="F410" s="193" t="s">
        <v>551</v>
      </c>
      <c r="G410" s="28" t="s">
        <v>56</v>
      </c>
      <c r="H410" s="200">
        <f>'прил9 (ведом 23)'!M869</f>
        <v>1.8</v>
      </c>
    </row>
    <row r="411" spans="1:8" ht="18" x14ac:dyDescent="0.35">
      <c r="A411" s="343"/>
      <c r="B411" s="494" t="s">
        <v>120</v>
      </c>
      <c r="C411" s="191" t="s">
        <v>79</v>
      </c>
      <c r="D411" s="192" t="s">
        <v>45</v>
      </c>
      <c r="E411" s="192" t="s">
        <v>37</v>
      </c>
      <c r="F411" s="193" t="s">
        <v>551</v>
      </c>
      <c r="G411" s="28" t="s">
        <v>121</v>
      </c>
      <c r="H411" s="200">
        <f>'прил9 (ведом 23)'!M870</f>
        <v>359.4</v>
      </c>
    </row>
    <row r="412" spans="1:8" ht="126" x14ac:dyDescent="0.35">
      <c r="A412" s="343"/>
      <c r="B412" s="498" t="s">
        <v>755</v>
      </c>
      <c r="C412" s="661" t="s">
        <v>79</v>
      </c>
      <c r="D412" s="662" t="s">
        <v>45</v>
      </c>
      <c r="E412" s="662" t="s">
        <v>37</v>
      </c>
      <c r="F412" s="663" t="s">
        <v>756</v>
      </c>
      <c r="G412" s="10"/>
      <c r="H412" s="200">
        <f>H413</f>
        <v>119.9</v>
      </c>
    </row>
    <row r="413" spans="1:8" ht="18" x14ac:dyDescent="0.35">
      <c r="A413" s="343"/>
      <c r="B413" s="498" t="s">
        <v>120</v>
      </c>
      <c r="C413" s="661" t="s">
        <v>79</v>
      </c>
      <c r="D413" s="662" t="s">
        <v>45</v>
      </c>
      <c r="E413" s="662" t="s">
        <v>37</v>
      </c>
      <c r="F413" s="663" t="s">
        <v>756</v>
      </c>
      <c r="G413" s="10" t="s">
        <v>121</v>
      </c>
      <c r="H413" s="200">
        <f>'прил9 (ведом 23)'!M872</f>
        <v>119.9</v>
      </c>
    </row>
    <row r="414" spans="1:8" ht="90" x14ac:dyDescent="0.35">
      <c r="A414" s="343"/>
      <c r="B414" s="494" t="s">
        <v>363</v>
      </c>
      <c r="C414" s="191" t="s">
        <v>79</v>
      </c>
      <c r="D414" s="192" t="s">
        <v>45</v>
      </c>
      <c r="E414" s="192" t="s">
        <v>37</v>
      </c>
      <c r="F414" s="193" t="s">
        <v>550</v>
      </c>
      <c r="G414" s="28"/>
      <c r="H414" s="200">
        <f>SUM(H415:H416)</f>
        <v>26010</v>
      </c>
    </row>
    <row r="415" spans="1:8" ht="36" x14ac:dyDescent="0.35">
      <c r="A415" s="343"/>
      <c r="B415" s="526" t="s">
        <v>55</v>
      </c>
      <c r="C415" s="191" t="s">
        <v>79</v>
      </c>
      <c r="D415" s="192" t="s">
        <v>45</v>
      </c>
      <c r="E415" s="192" t="s">
        <v>37</v>
      </c>
      <c r="F415" s="193" t="s">
        <v>550</v>
      </c>
      <c r="G415" s="28" t="s">
        <v>56</v>
      </c>
      <c r="H415" s="200">
        <f>'прил9 (ведом 23)'!M874</f>
        <v>130.1</v>
      </c>
    </row>
    <row r="416" spans="1:8" ht="18" x14ac:dyDescent="0.35">
      <c r="A416" s="343"/>
      <c r="B416" s="494" t="s">
        <v>120</v>
      </c>
      <c r="C416" s="191" t="s">
        <v>79</v>
      </c>
      <c r="D416" s="192" t="s">
        <v>45</v>
      </c>
      <c r="E416" s="192" t="s">
        <v>37</v>
      </c>
      <c r="F416" s="193" t="s">
        <v>550</v>
      </c>
      <c r="G416" s="28" t="s">
        <v>121</v>
      </c>
      <c r="H416" s="200">
        <f>'прил9 (ведом 23)'!M875</f>
        <v>25879.9</v>
      </c>
    </row>
    <row r="417" spans="1:8" ht="108" x14ac:dyDescent="0.35">
      <c r="A417" s="343"/>
      <c r="B417" s="494" t="s">
        <v>368</v>
      </c>
      <c r="C417" s="191" t="s">
        <v>79</v>
      </c>
      <c r="D417" s="192" t="s">
        <v>45</v>
      </c>
      <c r="E417" s="192" t="s">
        <v>37</v>
      </c>
      <c r="F417" s="193" t="s">
        <v>552</v>
      </c>
      <c r="G417" s="28"/>
      <c r="H417" s="200">
        <f>SUM(H418:H419)</f>
        <v>346.8</v>
      </c>
    </row>
    <row r="418" spans="1:8" ht="36" x14ac:dyDescent="0.35">
      <c r="A418" s="343"/>
      <c r="B418" s="494" t="s">
        <v>55</v>
      </c>
      <c r="C418" s="191" t="s">
        <v>79</v>
      </c>
      <c r="D418" s="192" t="s">
        <v>45</v>
      </c>
      <c r="E418" s="192" t="s">
        <v>37</v>
      </c>
      <c r="F418" s="193" t="s">
        <v>552</v>
      </c>
      <c r="G418" s="28" t="s">
        <v>56</v>
      </c>
      <c r="H418" s="200">
        <f>'прил9 (ведом 23)'!M877</f>
        <v>1.7</v>
      </c>
    </row>
    <row r="419" spans="1:8" ht="18" x14ac:dyDescent="0.35">
      <c r="A419" s="343"/>
      <c r="B419" s="494" t="s">
        <v>120</v>
      </c>
      <c r="C419" s="191" t="s">
        <v>79</v>
      </c>
      <c r="D419" s="192" t="s">
        <v>45</v>
      </c>
      <c r="E419" s="192" t="s">
        <v>37</v>
      </c>
      <c r="F419" s="193" t="s">
        <v>552</v>
      </c>
      <c r="G419" s="28" t="s">
        <v>121</v>
      </c>
      <c r="H419" s="200">
        <f>'прил9 (ведом 23)'!M878</f>
        <v>345.1</v>
      </c>
    </row>
    <row r="420" spans="1:8" ht="72" x14ac:dyDescent="0.35">
      <c r="A420" s="343"/>
      <c r="B420" s="527" t="s">
        <v>305</v>
      </c>
      <c r="C420" s="392" t="s">
        <v>79</v>
      </c>
      <c r="D420" s="393" t="s">
        <v>45</v>
      </c>
      <c r="E420" s="393" t="s">
        <v>39</v>
      </c>
      <c r="F420" s="394" t="s">
        <v>44</v>
      </c>
      <c r="G420" s="395"/>
      <c r="H420" s="200">
        <f>H421+H423</f>
        <v>84185.900000000009</v>
      </c>
    </row>
    <row r="421" spans="1:8" ht="162" x14ac:dyDescent="0.35">
      <c r="A421" s="343"/>
      <c r="B421" s="498" t="s">
        <v>730</v>
      </c>
      <c r="C421" s="472" t="s">
        <v>79</v>
      </c>
      <c r="D421" s="473" t="s">
        <v>45</v>
      </c>
      <c r="E421" s="473" t="s">
        <v>39</v>
      </c>
      <c r="F421" s="474" t="s">
        <v>603</v>
      </c>
      <c r="G421" s="475"/>
      <c r="H421" s="200">
        <f>H422</f>
        <v>5.2</v>
      </c>
    </row>
    <row r="422" spans="1:8" ht="18" x14ac:dyDescent="0.35">
      <c r="A422" s="343"/>
      <c r="B422" s="498" t="s">
        <v>120</v>
      </c>
      <c r="C422" s="472" t="s">
        <v>79</v>
      </c>
      <c r="D422" s="473" t="s">
        <v>45</v>
      </c>
      <c r="E422" s="473" t="s">
        <v>39</v>
      </c>
      <c r="F422" s="474" t="s">
        <v>603</v>
      </c>
      <c r="G422" s="475" t="s">
        <v>121</v>
      </c>
      <c r="H422" s="200">
        <f>'прил9 (ведом 23)'!M881</f>
        <v>5.2</v>
      </c>
    </row>
    <row r="423" spans="1:8" ht="90" x14ac:dyDescent="0.35">
      <c r="A423" s="343"/>
      <c r="B423" s="524" t="s">
        <v>419</v>
      </c>
      <c r="C423" s="420" t="s">
        <v>79</v>
      </c>
      <c r="D423" s="421" t="s">
        <v>45</v>
      </c>
      <c r="E423" s="421" t="s">
        <v>39</v>
      </c>
      <c r="F423" s="422" t="s">
        <v>420</v>
      </c>
      <c r="G423" s="423"/>
      <c r="H423" s="200">
        <f>H425+H424</f>
        <v>84180.700000000012</v>
      </c>
    </row>
    <row r="424" spans="1:8" ht="36" x14ac:dyDescent="0.35">
      <c r="A424" s="343"/>
      <c r="B424" s="494" t="s">
        <v>55</v>
      </c>
      <c r="C424" s="420" t="s">
        <v>79</v>
      </c>
      <c r="D424" s="421" t="s">
        <v>45</v>
      </c>
      <c r="E424" s="421" t="s">
        <v>39</v>
      </c>
      <c r="F424" s="422" t="s">
        <v>420</v>
      </c>
      <c r="G424" s="423" t="s">
        <v>56</v>
      </c>
      <c r="H424" s="200">
        <f>'прил9 (ведом 23)'!M398</f>
        <v>81.324029999999993</v>
      </c>
    </row>
    <row r="425" spans="1:8" ht="36" x14ac:dyDescent="0.35">
      <c r="A425" s="343"/>
      <c r="B425" s="524" t="s">
        <v>203</v>
      </c>
      <c r="C425" s="353" t="s">
        <v>79</v>
      </c>
      <c r="D425" s="354" t="s">
        <v>45</v>
      </c>
      <c r="E425" s="354" t="s">
        <v>39</v>
      </c>
      <c r="F425" s="355" t="s">
        <v>420</v>
      </c>
      <c r="G425" s="356" t="s">
        <v>204</v>
      </c>
      <c r="H425" s="200">
        <f>'прил9 (ведом 23)'!M459</f>
        <v>84099.375970000008</v>
      </c>
    </row>
    <row r="426" spans="1:8" ht="36" x14ac:dyDescent="0.35">
      <c r="A426" s="343"/>
      <c r="B426" s="494" t="s">
        <v>229</v>
      </c>
      <c r="C426" s="191" t="s">
        <v>79</v>
      </c>
      <c r="D426" s="192" t="s">
        <v>45</v>
      </c>
      <c r="E426" s="192" t="s">
        <v>63</v>
      </c>
      <c r="F426" s="193" t="s">
        <v>44</v>
      </c>
      <c r="G426" s="28"/>
      <c r="H426" s="200">
        <f>H427+H430+H433</f>
        <v>8703</v>
      </c>
    </row>
    <row r="427" spans="1:8" ht="234" x14ac:dyDescent="0.35">
      <c r="A427" s="343"/>
      <c r="B427" s="494" t="s">
        <v>232</v>
      </c>
      <c r="C427" s="191" t="s">
        <v>79</v>
      </c>
      <c r="D427" s="192" t="s">
        <v>45</v>
      </c>
      <c r="E427" s="192" t="s">
        <v>63</v>
      </c>
      <c r="F427" s="193" t="s">
        <v>553</v>
      </c>
      <c r="G427" s="28"/>
      <c r="H427" s="200">
        <f>SUM(H428:H429)</f>
        <v>992.6</v>
      </c>
    </row>
    <row r="428" spans="1:8" ht="90" x14ac:dyDescent="0.35">
      <c r="A428" s="343"/>
      <c r="B428" s="494" t="s">
        <v>49</v>
      </c>
      <c r="C428" s="191" t="s">
        <v>79</v>
      </c>
      <c r="D428" s="192" t="s">
        <v>45</v>
      </c>
      <c r="E428" s="192" t="s">
        <v>63</v>
      </c>
      <c r="F428" s="193" t="s">
        <v>553</v>
      </c>
      <c r="G428" s="28" t="s">
        <v>50</v>
      </c>
      <c r="H428" s="200">
        <f>'прил9 (ведом 23)'!M887</f>
        <v>830.6</v>
      </c>
    </row>
    <row r="429" spans="1:8" ht="36" x14ac:dyDescent="0.35">
      <c r="A429" s="343"/>
      <c r="B429" s="494" t="s">
        <v>55</v>
      </c>
      <c r="C429" s="191" t="s">
        <v>79</v>
      </c>
      <c r="D429" s="192" t="s">
        <v>45</v>
      </c>
      <c r="E429" s="192" t="s">
        <v>63</v>
      </c>
      <c r="F429" s="193" t="s">
        <v>553</v>
      </c>
      <c r="G429" s="28" t="s">
        <v>56</v>
      </c>
      <c r="H429" s="200">
        <f>'прил9 (ведом 23)'!M888</f>
        <v>162</v>
      </c>
    </row>
    <row r="430" spans="1:8" ht="90" x14ac:dyDescent="0.35">
      <c r="A430" s="343"/>
      <c r="B430" s="492" t="s">
        <v>461</v>
      </c>
      <c r="C430" s="191" t="s">
        <v>79</v>
      </c>
      <c r="D430" s="192" t="s">
        <v>45</v>
      </c>
      <c r="E430" s="192" t="s">
        <v>63</v>
      </c>
      <c r="F430" s="193" t="s">
        <v>547</v>
      </c>
      <c r="G430" s="28"/>
      <c r="H430" s="200">
        <f>SUM(H431:H432)</f>
        <v>730</v>
      </c>
    </row>
    <row r="431" spans="1:8" ht="90" x14ac:dyDescent="0.35">
      <c r="A431" s="343"/>
      <c r="B431" s="494" t="s">
        <v>49</v>
      </c>
      <c r="C431" s="191" t="s">
        <v>79</v>
      </c>
      <c r="D431" s="192" t="s">
        <v>45</v>
      </c>
      <c r="E431" s="192" t="s">
        <v>63</v>
      </c>
      <c r="F431" s="193" t="s">
        <v>547</v>
      </c>
      <c r="G431" s="28" t="s">
        <v>50</v>
      </c>
      <c r="H431" s="200">
        <f>'прил9 (ведом 23)'!M890</f>
        <v>716.6</v>
      </c>
    </row>
    <row r="432" spans="1:8" ht="36" x14ac:dyDescent="0.35">
      <c r="A432" s="343"/>
      <c r="B432" s="494" t="s">
        <v>55</v>
      </c>
      <c r="C432" s="191" t="s">
        <v>79</v>
      </c>
      <c r="D432" s="192" t="s">
        <v>45</v>
      </c>
      <c r="E432" s="192" t="s">
        <v>63</v>
      </c>
      <c r="F432" s="193" t="s">
        <v>547</v>
      </c>
      <c r="G432" s="28" t="s">
        <v>56</v>
      </c>
      <c r="H432" s="200">
        <f>'прил9 (ведом 23)'!M891</f>
        <v>13.400000000000006</v>
      </c>
    </row>
    <row r="433" spans="1:8" ht="72" x14ac:dyDescent="0.35">
      <c r="A433" s="343"/>
      <c r="B433" s="494" t="s">
        <v>231</v>
      </c>
      <c r="C433" s="191" t="s">
        <v>79</v>
      </c>
      <c r="D433" s="192" t="s">
        <v>45</v>
      </c>
      <c r="E433" s="192" t="s">
        <v>63</v>
      </c>
      <c r="F433" s="193" t="s">
        <v>548</v>
      </c>
      <c r="G433" s="28"/>
      <c r="H433" s="200">
        <f>H434+H435</f>
        <v>6980.4</v>
      </c>
    </row>
    <row r="434" spans="1:8" ht="90" x14ac:dyDescent="0.35">
      <c r="A434" s="343"/>
      <c r="B434" s="494" t="s">
        <v>49</v>
      </c>
      <c r="C434" s="191" t="s">
        <v>79</v>
      </c>
      <c r="D434" s="192" t="s">
        <v>45</v>
      </c>
      <c r="E434" s="192" t="s">
        <v>63</v>
      </c>
      <c r="F434" s="193" t="s">
        <v>548</v>
      </c>
      <c r="G434" s="28" t="s">
        <v>50</v>
      </c>
      <c r="H434" s="200">
        <f>'прил9 (ведом 23)'!M893</f>
        <v>6741.4</v>
      </c>
    </row>
    <row r="435" spans="1:8" ht="36" x14ac:dyDescent="0.35">
      <c r="A435" s="343"/>
      <c r="B435" s="494" t="s">
        <v>55</v>
      </c>
      <c r="C435" s="433" t="s">
        <v>79</v>
      </c>
      <c r="D435" s="434" t="s">
        <v>45</v>
      </c>
      <c r="E435" s="434" t="s">
        <v>63</v>
      </c>
      <c r="F435" s="435" t="s">
        <v>548</v>
      </c>
      <c r="G435" s="28" t="s">
        <v>56</v>
      </c>
      <c r="H435" s="200">
        <f>'прил9 (ведом 23)'!M894</f>
        <v>239</v>
      </c>
    </row>
    <row r="436" spans="1:8" ht="72" x14ac:dyDescent="0.35">
      <c r="A436" s="367"/>
      <c r="B436" s="510" t="s">
        <v>452</v>
      </c>
      <c r="C436" s="191" t="s">
        <v>79</v>
      </c>
      <c r="D436" s="192" t="s">
        <v>45</v>
      </c>
      <c r="E436" s="192" t="s">
        <v>52</v>
      </c>
      <c r="F436" s="193" t="s">
        <v>44</v>
      </c>
      <c r="G436" s="28"/>
      <c r="H436" s="200">
        <f>H437</f>
        <v>1504.6</v>
      </c>
    </row>
    <row r="437" spans="1:8" ht="72" x14ac:dyDescent="0.35">
      <c r="A437" s="367"/>
      <c r="B437" s="510" t="s">
        <v>447</v>
      </c>
      <c r="C437" s="191" t="s">
        <v>79</v>
      </c>
      <c r="D437" s="192" t="s">
        <v>45</v>
      </c>
      <c r="E437" s="192" t="s">
        <v>52</v>
      </c>
      <c r="F437" s="193" t="s">
        <v>361</v>
      </c>
      <c r="G437" s="28"/>
      <c r="H437" s="200">
        <f>H438</f>
        <v>1504.6</v>
      </c>
    </row>
    <row r="438" spans="1:8" ht="18" x14ac:dyDescent="0.35">
      <c r="A438" s="367"/>
      <c r="B438" s="497" t="s">
        <v>120</v>
      </c>
      <c r="C438" s="191" t="s">
        <v>79</v>
      </c>
      <c r="D438" s="192" t="s">
        <v>45</v>
      </c>
      <c r="E438" s="192" t="s">
        <v>52</v>
      </c>
      <c r="F438" s="193" t="s">
        <v>361</v>
      </c>
      <c r="G438" s="28" t="s">
        <v>121</v>
      </c>
      <c r="H438" s="200">
        <f>'прил9 (ведом 23)'!M208</f>
        <v>1504.6</v>
      </c>
    </row>
    <row r="439" spans="1:8" ht="36" x14ac:dyDescent="0.35">
      <c r="A439" s="367"/>
      <c r="B439" s="498" t="s">
        <v>728</v>
      </c>
      <c r="C439" s="661" t="s">
        <v>79</v>
      </c>
      <c r="D439" s="662" t="s">
        <v>45</v>
      </c>
      <c r="E439" s="662" t="s">
        <v>65</v>
      </c>
      <c r="F439" s="663" t="s">
        <v>44</v>
      </c>
      <c r="G439" s="10"/>
      <c r="H439" s="200">
        <f>H440</f>
        <v>1150</v>
      </c>
    </row>
    <row r="440" spans="1:8" ht="54" x14ac:dyDescent="0.35">
      <c r="A440" s="367"/>
      <c r="B440" s="498" t="s">
        <v>729</v>
      </c>
      <c r="C440" s="661" t="s">
        <v>79</v>
      </c>
      <c r="D440" s="662" t="s">
        <v>45</v>
      </c>
      <c r="E440" s="662" t="s">
        <v>65</v>
      </c>
      <c r="F440" s="663" t="s">
        <v>727</v>
      </c>
      <c r="G440" s="10"/>
      <c r="H440" s="200">
        <f>H441</f>
        <v>1150</v>
      </c>
    </row>
    <row r="441" spans="1:8" ht="18" x14ac:dyDescent="0.35">
      <c r="A441" s="367"/>
      <c r="B441" s="497" t="s">
        <v>120</v>
      </c>
      <c r="C441" s="661" t="s">
        <v>79</v>
      </c>
      <c r="D441" s="662" t="s">
        <v>45</v>
      </c>
      <c r="E441" s="662" t="s">
        <v>65</v>
      </c>
      <c r="F441" s="663" t="s">
        <v>727</v>
      </c>
      <c r="G441" s="10" t="s">
        <v>121</v>
      </c>
      <c r="H441" s="200">
        <f>'прил9 (ведом 23)'!M214</f>
        <v>1150</v>
      </c>
    </row>
    <row r="442" spans="1:8" ht="36" x14ac:dyDescent="0.35">
      <c r="A442" s="367"/>
      <c r="B442" s="498" t="s">
        <v>732</v>
      </c>
      <c r="C442" s="661" t="s">
        <v>79</v>
      </c>
      <c r="D442" s="662" t="s">
        <v>45</v>
      </c>
      <c r="E442" s="662" t="s">
        <v>224</v>
      </c>
      <c r="F442" s="663" t="s">
        <v>44</v>
      </c>
      <c r="G442" s="10"/>
      <c r="H442" s="200">
        <f>H443</f>
        <v>920</v>
      </c>
    </row>
    <row r="443" spans="1:8" ht="54" x14ac:dyDescent="0.35">
      <c r="A443" s="367"/>
      <c r="B443" s="498" t="s">
        <v>733</v>
      </c>
      <c r="C443" s="661" t="s">
        <v>79</v>
      </c>
      <c r="D443" s="662" t="s">
        <v>45</v>
      </c>
      <c r="E443" s="662" t="s">
        <v>224</v>
      </c>
      <c r="F443" s="663" t="s">
        <v>731</v>
      </c>
      <c r="G443" s="10"/>
      <c r="H443" s="200">
        <f>H444</f>
        <v>920</v>
      </c>
    </row>
    <row r="444" spans="1:8" ht="18" x14ac:dyDescent="0.35">
      <c r="A444" s="367"/>
      <c r="B444" s="505" t="s">
        <v>120</v>
      </c>
      <c r="C444" s="661" t="s">
        <v>79</v>
      </c>
      <c r="D444" s="662" t="s">
        <v>45</v>
      </c>
      <c r="E444" s="662" t="s">
        <v>224</v>
      </c>
      <c r="F444" s="663" t="s">
        <v>731</v>
      </c>
      <c r="G444" s="10" t="s">
        <v>121</v>
      </c>
      <c r="H444" s="200">
        <f>'прил9 (ведом 23)'!M659</f>
        <v>920</v>
      </c>
    </row>
    <row r="445" spans="1:8" ht="18" x14ac:dyDescent="0.35">
      <c r="A445" s="367"/>
      <c r="B445" s="505"/>
      <c r="C445" s="662"/>
      <c r="D445" s="662"/>
      <c r="E445" s="662"/>
      <c r="F445" s="663"/>
      <c r="G445" s="10"/>
      <c r="H445" s="200"/>
    </row>
    <row r="446" spans="1:8" ht="69.599999999999994" x14ac:dyDescent="0.3">
      <c r="A446" s="357">
        <v>9</v>
      </c>
      <c r="B446" s="506" t="s">
        <v>337</v>
      </c>
      <c r="C446" s="358" t="s">
        <v>104</v>
      </c>
      <c r="D446" s="358" t="s">
        <v>42</v>
      </c>
      <c r="E446" s="358" t="s">
        <v>43</v>
      </c>
      <c r="F446" s="359" t="s">
        <v>44</v>
      </c>
      <c r="G446" s="396"/>
      <c r="H446" s="238">
        <f>H447+H453+H457</f>
        <v>115611</v>
      </c>
    </row>
    <row r="447" spans="1:8" ht="36" x14ac:dyDescent="0.35">
      <c r="A447" s="357"/>
      <c r="B447" s="494" t="s">
        <v>339</v>
      </c>
      <c r="C447" s="191" t="s">
        <v>104</v>
      </c>
      <c r="D447" s="192" t="s">
        <v>45</v>
      </c>
      <c r="E447" s="192" t="s">
        <v>43</v>
      </c>
      <c r="F447" s="193" t="s">
        <v>44</v>
      </c>
      <c r="G447" s="28"/>
      <c r="H447" s="200">
        <f>H448</f>
        <v>47793.5</v>
      </c>
    </row>
    <row r="448" spans="1:8" ht="54" x14ac:dyDescent="0.35">
      <c r="A448" s="357"/>
      <c r="B448" s="495" t="s">
        <v>377</v>
      </c>
      <c r="C448" s="191" t="s">
        <v>104</v>
      </c>
      <c r="D448" s="192" t="s">
        <v>45</v>
      </c>
      <c r="E448" s="192" t="s">
        <v>37</v>
      </c>
      <c r="F448" s="193" t="s">
        <v>44</v>
      </c>
      <c r="G448" s="28"/>
      <c r="H448" s="200">
        <f>H451+H449</f>
        <v>47793.5</v>
      </c>
    </row>
    <row r="449" spans="1:8" ht="54" x14ac:dyDescent="0.35">
      <c r="A449" s="357"/>
      <c r="B449" s="543" t="s">
        <v>798</v>
      </c>
      <c r="C449" s="81" t="s">
        <v>104</v>
      </c>
      <c r="D449" s="82" t="s">
        <v>45</v>
      </c>
      <c r="E449" s="82" t="s">
        <v>37</v>
      </c>
      <c r="F449" s="103" t="s">
        <v>797</v>
      </c>
      <c r="G449" s="84"/>
      <c r="H449" s="200">
        <f>H450</f>
        <v>1678.4</v>
      </c>
    </row>
    <row r="450" spans="1:8" ht="36" x14ac:dyDescent="0.35">
      <c r="A450" s="357"/>
      <c r="B450" s="543" t="s">
        <v>203</v>
      </c>
      <c r="C450" s="81" t="s">
        <v>104</v>
      </c>
      <c r="D450" s="82" t="s">
        <v>45</v>
      </c>
      <c r="E450" s="82" t="s">
        <v>37</v>
      </c>
      <c r="F450" s="103" t="s">
        <v>797</v>
      </c>
      <c r="G450" s="84" t="s">
        <v>204</v>
      </c>
      <c r="H450" s="200">
        <f>'прил9 (ведом 23)'!M427</f>
        <v>1678.4</v>
      </c>
    </row>
    <row r="451" spans="1:8" ht="54" x14ac:dyDescent="0.35">
      <c r="A451" s="357"/>
      <c r="B451" s="527" t="s">
        <v>504</v>
      </c>
      <c r="C451" s="353" t="s">
        <v>104</v>
      </c>
      <c r="D451" s="354" t="s">
        <v>45</v>
      </c>
      <c r="E451" s="354" t="s">
        <v>37</v>
      </c>
      <c r="F451" s="355" t="s">
        <v>418</v>
      </c>
      <c r="G451" s="425"/>
      <c r="H451" s="200">
        <f>SUM(H452:H452)</f>
        <v>46115.1</v>
      </c>
    </row>
    <row r="452" spans="1:8" ht="36" x14ac:dyDescent="0.35">
      <c r="A452" s="424"/>
      <c r="B452" s="528" t="s">
        <v>203</v>
      </c>
      <c r="C452" s="374" t="s">
        <v>104</v>
      </c>
      <c r="D452" s="375" t="s">
        <v>45</v>
      </c>
      <c r="E452" s="375" t="s">
        <v>37</v>
      </c>
      <c r="F452" s="479" t="s">
        <v>418</v>
      </c>
      <c r="G452" s="427" t="s">
        <v>204</v>
      </c>
      <c r="H452" s="426">
        <f>'прил9 (ведом 23)'!M429</f>
        <v>46115.1</v>
      </c>
    </row>
    <row r="453" spans="1:8" ht="36" x14ac:dyDescent="0.35">
      <c r="A453" s="424"/>
      <c r="B453" s="566" t="s">
        <v>633</v>
      </c>
      <c r="C453" s="661" t="s">
        <v>104</v>
      </c>
      <c r="D453" s="662" t="s">
        <v>34</v>
      </c>
      <c r="E453" s="662" t="s">
        <v>43</v>
      </c>
      <c r="F453" s="663" t="s">
        <v>44</v>
      </c>
      <c r="G453" s="10"/>
      <c r="H453" s="426">
        <f>H454</f>
        <v>7078.9000000000005</v>
      </c>
    </row>
    <row r="454" spans="1:8" ht="36" x14ac:dyDescent="0.35">
      <c r="A454" s="424"/>
      <c r="B454" s="566" t="s">
        <v>634</v>
      </c>
      <c r="C454" s="661" t="s">
        <v>104</v>
      </c>
      <c r="D454" s="662" t="s">
        <v>34</v>
      </c>
      <c r="E454" s="662" t="s">
        <v>37</v>
      </c>
      <c r="F454" s="663" t="s">
        <v>44</v>
      </c>
      <c r="G454" s="10"/>
      <c r="H454" s="426">
        <f>H455</f>
        <v>7078.9000000000005</v>
      </c>
    </row>
    <row r="455" spans="1:8" ht="36" x14ac:dyDescent="0.35">
      <c r="A455" s="424"/>
      <c r="B455" s="566" t="s">
        <v>635</v>
      </c>
      <c r="C455" s="661" t="s">
        <v>104</v>
      </c>
      <c r="D455" s="662" t="s">
        <v>34</v>
      </c>
      <c r="E455" s="662" t="s">
        <v>37</v>
      </c>
      <c r="F455" s="663" t="s">
        <v>636</v>
      </c>
      <c r="G455" s="10"/>
      <c r="H455" s="426">
        <f>H456</f>
        <v>7078.9000000000005</v>
      </c>
    </row>
    <row r="456" spans="1:8" ht="36" x14ac:dyDescent="0.35">
      <c r="A456" s="424"/>
      <c r="B456" s="566" t="s">
        <v>55</v>
      </c>
      <c r="C456" s="661" t="s">
        <v>104</v>
      </c>
      <c r="D456" s="662" t="s">
        <v>34</v>
      </c>
      <c r="E456" s="662" t="s">
        <v>37</v>
      </c>
      <c r="F456" s="663" t="s">
        <v>636</v>
      </c>
      <c r="G456" s="10" t="s">
        <v>56</v>
      </c>
      <c r="H456" s="426">
        <f>'прил9 (ведом 23)'!M194</f>
        <v>7078.9000000000005</v>
      </c>
    </row>
    <row r="457" spans="1:8" ht="36" x14ac:dyDescent="0.35">
      <c r="A457" s="424"/>
      <c r="B457" s="529" t="s">
        <v>483</v>
      </c>
      <c r="C457" s="661" t="s">
        <v>104</v>
      </c>
      <c r="D457" s="662" t="s">
        <v>484</v>
      </c>
      <c r="E457" s="662" t="s">
        <v>43</v>
      </c>
      <c r="F457" s="663" t="s">
        <v>44</v>
      </c>
      <c r="G457" s="427"/>
      <c r="H457" s="426">
        <f>H458+H461</f>
        <v>60738.600000000006</v>
      </c>
    </row>
    <row r="458" spans="1:8" ht="36" x14ac:dyDescent="0.35">
      <c r="A458" s="424"/>
      <c r="B458" s="566" t="s">
        <v>630</v>
      </c>
      <c r="C458" s="661" t="s">
        <v>104</v>
      </c>
      <c r="D458" s="662" t="s">
        <v>484</v>
      </c>
      <c r="E458" s="662" t="s">
        <v>37</v>
      </c>
      <c r="F458" s="663" t="s">
        <v>44</v>
      </c>
      <c r="G458" s="10"/>
      <c r="H458" s="426">
        <f>H459</f>
        <v>48</v>
      </c>
    </row>
    <row r="459" spans="1:8" ht="54" x14ac:dyDescent="0.35">
      <c r="A459" s="424"/>
      <c r="B459" s="566" t="s">
        <v>631</v>
      </c>
      <c r="C459" s="661" t="s">
        <v>104</v>
      </c>
      <c r="D459" s="662" t="s">
        <v>484</v>
      </c>
      <c r="E459" s="662" t="s">
        <v>37</v>
      </c>
      <c r="F459" s="663" t="s">
        <v>632</v>
      </c>
      <c r="G459" s="10"/>
      <c r="H459" s="426">
        <f>H460</f>
        <v>48</v>
      </c>
    </row>
    <row r="460" spans="1:8" ht="36" x14ac:dyDescent="0.35">
      <c r="A460" s="424"/>
      <c r="B460" s="566" t="s">
        <v>55</v>
      </c>
      <c r="C460" s="661" t="s">
        <v>104</v>
      </c>
      <c r="D460" s="662" t="s">
        <v>484</v>
      </c>
      <c r="E460" s="662" t="s">
        <v>37</v>
      </c>
      <c r="F460" s="663" t="s">
        <v>632</v>
      </c>
      <c r="G460" s="10" t="s">
        <v>56</v>
      </c>
      <c r="H460" s="426">
        <f>'прил9 (ведом 23)'!M61</f>
        <v>48</v>
      </c>
    </row>
    <row r="461" spans="1:8" ht="54" x14ac:dyDescent="0.35">
      <c r="A461" s="424"/>
      <c r="B461" s="498" t="s">
        <v>477</v>
      </c>
      <c r="C461" s="661" t="s">
        <v>104</v>
      </c>
      <c r="D461" s="662" t="s">
        <v>484</v>
      </c>
      <c r="E461" s="662" t="s">
        <v>476</v>
      </c>
      <c r="F461" s="663" t="s">
        <v>44</v>
      </c>
      <c r="G461" s="384"/>
      <c r="H461" s="426">
        <f>H462+H464+H466</f>
        <v>60690.600000000006</v>
      </c>
    </row>
    <row r="462" spans="1:8" ht="90" x14ac:dyDescent="0.35">
      <c r="A462" s="424"/>
      <c r="B462" s="566" t="s">
        <v>478</v>
      </c>
      <c r="C462" s="661" t="s">
        <v>104</v>
      </c>
      <c r="D462" s="662" t="s">
        <v>484</v>
      </c>
      <c r="E462" s="662" t="s">
        <v>476</v>
      </c>
      <c r="F462" s="663" t="s">
        <v>627</v>
      </c>
      <c r="G462" s="10"/>
      <c r="H462" s="426">
        <f>H463</f>
        <v>20989.9</v>
      </c>
    </row>
    <row r="463" spans="1:8" ht="36" x14ac:dyDescent="0.35">
      <c r="A463" s="424"/>
      <c r="B463" s="566" t="s">
        <v>203</v>
      </c>
      <c r="C463" s="661" t="s">
        <v>104</v>
      </c>
      <c r="D463" s="662" t="s">
        <v>484</v>
      </c>
      <c r="E463" s="662" t="s">
        <v>476</v>
      </c>
      <c r="F463" s="663" t="s">
        <v>627</v>
      </c>
      <c r="G463" s="10" t="s">
        <v>204</v>
      </c>
      <c r="H463" s="426">
        <f>'прил9 (ведом 23)'!M184</f>
        <v>20989.9</v>
      </c>
    </row>
    <row r="464" spans="1:8" ht="90" x14ac:dyDescent="0.35">
      <c r="A464" s="424"/>
      <c r="B464" s="566" t="s">
        <v>478</v>
      </c>
      <c r="C464" s="661" t="s">
        <v>104</v>
      </c>
      <c r="D464" s="662" t="s">
        <v>484</v>
      </c>
      <c r="E464" s="662" t="s">
        <v>476</v>
      </c>
      <c r="F464" s="663" t="s">
        <v>626</v>
      </c>
      <c r="G464" s="10"/>
      <c r="H464" s="426">
        <f>H465</f>
        <v>36665.9</v>
      </c>
    </row>
    <row r="465" spans="1:8" ht="36" x14ac:dyDescent="0.35">
      <c r="A465" s="424"/>
      <c r="B465" s="567" t="s">
        <v>203</v>
      </c>
      <c r="C465" s="661" t="s">
        <v>104</v>
      </c>
      <c r="D465" s="662" t="s">
        <v>484</v>
      </c>
      <c r="E465" s="662" t="s">
        <v>476</v>
      </c>
      <c r="F465" s="663" t="s">
        <v>626</v>
      </c>
      <c r="G465" s="10" t="s">
        <v>204</v>
      </c>
      <c r="H465" s="426">
        <f>'прил9 (ведом 23)'!M186</f>
        <v>36665.9</v>
      </c>
    </row>
    <row r="466" spans="1:8" ht="90" x14ac:dyDescent="0.35">
      <c r="A466" s="424"/>
      <c r="B466" s="566" t="s">
        <v>478</v>
      </c>
      <c r="C466" s="661" t="s">
        <v>104</v>
      </c>
      <c r="D466" s="662" t="s">
        <v>484</v>
      </c>
      <c r="E466" s="662" t="s">
        <v>476</v>
      </c>
      <c r="F466" s="663" t="s">
        <v>522</v>
      </c>
      <c r="G466" s="10"/>
      <c r="H466" s="426">
        <f>H467</f>
        <v>3034.8</v>
      </c>
    </row>
    <row r="467" spans="1:8" ht="36" x14ac:dyDescent="0.35">
      <c r="A467" s="424"/>
      <c r="B467" s="566" t="s">
        <v>203</v>
      </c>
      <c r="C467" s="661" t="s">
        <v>104</v>
      </c>
      <c r="D467" s="662" t="s">
        <v>484</v>
      </c>
      <c r="E467" s="662" t="s">
        <v>476</v>
      </c>
      <c r="F467" s="663" t="s">
        <v>522</v>
      </c>
      <c r="G467" s="10" t="s">
        <v>204</v>
      </c>
      <c r="H467" s="426">
        <f>'прил9 (ведом 23)'!M188</f>
        <v>3034.8</v>
      </c>
    </row>
    <row r="468" spans="1:8" ht="18" x14ac:dyDescent="0.35">
      <c r="A468" s="424"/>
      <c r="B468" s="495"/>
      <c r="C468" s="192"/>
      <c r="D468" s="192"/>
      <c r="E468" s="192"/>
      <c r="F468" s="193"/>
      <c r="G468" s="28"/>
      <c r="H468" s="426"/>
    </row>
    <row r="469" spans="1:8" s="352" customFormat="1" ht="52.2" x14ac:dyDescent="0.3">
      <c r="A469" s="357">
        <v>10</v>
      </c>
      <c r="B469" s="506" t="s">
        <v>94</v>
      </c>
      <c r="C469" s="358" t="s">
        <v>67</v>
      </c>
      <c r="D469" s="358" t="s">
        <v>42</v>
      </c>
      <c r="E469" s="358" t="s">
        <v>43</v>
      </c>
      <c r="F469" s="359" t="s">
        <v>44</v>
      </c>
      <c r="G469" s="396"/>
      <c r="H469" s="238">
        <f>H470</f>
        <v>14369.400000000001</v>
      </c>
    </row>
    <row r="470" spans="1:8" ht="18" x14ac:dyDescent="0.35">
      <c r="A470" s="343"/>
      <c r="B470" s="494" t="s">
        <v>344</v>
      </c>
      <c r="C470" s="191" t="s">
        <v>67</v>
      </c>
      <c r="D470" s="192" t="s">
        <v>45</v>
      </c>
      <c r="E470" s="192" t="s">
        <v>43</v>
      </c>
      <c r="F470" s="193" t="s">
        <v>44</v>
      </c>
      <c r="G470" s="363"/>
      <c r="H470" s="200">
        <f>H471+H474</f>
        <v>14369.400000000001</v>
      </c>
    </row>
    <row r="471" spans="1:8" ht="36" x14ac:dyDescent="0.35">
      <c r="A471" s="343"/>
      <c r="B471" s="494" t="s">
        <v>95</v>
      </c>
      <c r="C471" s="191" t="s">
        <v>67</v>
      </c>
      <c r="D471" s="192" t="s">
        <v>45</v>
      </c>
      <c r="E471" s="192" t="s">
        <v>37</v>
      </c>
      <c r="F471" s="193" t="s">
        <v>44</v>
      </c>
      <c r="G471" s="363"/>
      <c r="H471" s="200">
        <f>H472</f>
        <v>11070.6</v>
      </c>
    </row>
    <row r="472" spans="1:8" ht="54" x14ac:dyDescent="0.35">
      <c r="A472" s="343"/>
      <c r="B472" s="530" t="s">
        <v>412</v>
      </c>
      <c r="C472" s="191" t="s">
        <v>67</v>
      </c>
      <c r="D472" s="192" t="s">
        <v>45</v>
      </c>
      <c r="E472" s="192" t="s">
        <v>37</v>
      </c>
      <c r="F472" s="193" t="s">
        <v>61</v>
      </c>
      <c r="G472" s="28"/>
      <c r="H472" s="200">
        <f>H473</f>
        <v>11070.6</v>
      </c>
    </row>
    <row r="473" spans="1:8" ht="18" x14ac:dyDescent="0.35">
      <c r="A473" s="343"/>
      <c r="B473" s="494" t="s">
        <v>57</v>
      </c>
      <c r="C473" s="191" t="s">
        <v>67</v>
      </c>
      <c r="D473" s="192" t="s">
        <v>45</v>
      </c>
      <c r="E473" s="192" t="s">
        <v>37</v>
      </c>
      <c r="F473" s="193" t="s">
        <v>61</v>
      </c>
      <c r="G473" s="28" t="s">
        <v>58</v>
      </c>
      <c r="H473" s="200">
        <f>'прил9 (ведом 23)'!M137</f>
        <v>11070.6</v>
      </c>
    </row>
    <row r="474" spans="1:8" ht="54" x14ac:dyDescent="0.35">
      <c r="A474" s="343"/>
      <c r="B474" s="494" t="s">
        <v>96</v>
      </c>
      <c r="C474" s="191" t="s">
        <v>67</v>
      </c>
      <c r="D474" s="192" t="s">
        <v>45</v>
      </c>
      <c r="E474" s="192" t="s">
        <v>39</v>
      </c>
      <c r="F474" s="193" t="s">
        <v>44</v>
      </c>
      <c r="G474" s="28"/>
      <c r="H474" s="200">
        <f>H475</f>
        <v>3298.8</v>
      </c>
    </row>
    <row r="475" spans="1:8" ht="162" x14ac:dyDescent="0.35">
      <c r="A475" s="343"/>
      <c r="B475" s="495" t="s">
        <v>533</v>
      </c>
      <c r="C475" s="191" t="s">
        <v>67</v>
      </c>
      <c r="D475" s="192" t="s">
        <v>45</v>
      </c>
      <c r="E475" s="192" t="s">
        <v>39</v>
      </c>
      <c r="F475" s="193" t="s">
        <v>97</v>
      </c>
      <c r="G475" s="28"/>
      <c r="H475" s="200">
        <f>H476</f>
        <v>3298.8</v>
      </c>
    </row>
    <row r="476" spans="1:8" ht="36" x14ac:dyDescent="0.35">
      <c r="A476" s="343"/>
      <c r="B476" s="494" t="s">
        <v>55</v>
      </c>
      <c r="C476" s="191" t="s">
        <v>67</v>
      </c>
      <c r="D476" s="192" t="s">
        <v>45</v>
      </c>
      <c r="E476" s="192" t="s">
        <v>39</v>
      </c>
      <c r="F476" s="193" t="s">
        <v>97</v>
      </c>
      <c r="G476" s="28" t="s">
        <v>56</v>
      </c>
      <c r="H476" s="200">
        <f>'прил9 (ведом 23)'!M140</f>
        <v>3298.8</v>
      </c>
    </row>
    <row r="477" spans="1:8" ht="18" x14ac:dyDescent="0.35">
      <c r="A477" s="343"/>
      <c r="B477" s="501"/>
      <c r="C477" s="658"/>
      <c r="D477" s="658"/>
      <c r="E477" s="658"/>
      <c r="F477" s="659"/>
      <c r="G477" s="222"/>
      <c r="H477" s="200"/>
    </row>
    <row r="478" spans="1:8" s="352" customFormat="1" ht="52.2" x14ac:dyDescent="0.3">
      <c r="A478" s="357">
        <v>11</v>
      </c>
      <c r="B478" s="506" t="s">
        <v>99</v>
      </c>
      <c r="C478" s="358" t="s">
        <v>100</v>
      </c>
      <c r="D478" s="358" t="s">
        <v>42</v>
      </c>
      <c r="E478" s="358" t="s">
        <v>43</v>
      </c>
      <c r="F478" s="359" t="s">
        <v>44</v>
      </c>
      <c r="G478" s="351"/>
      <c r="H478" s="238">
        <f>H479</f>
        <v>12364.4156</v>
      </c>
    </row>
    <row r="479" spans="1:8" s="352" customFormat="1" ht="18" x14ac:dyDescent="0.35">
      <c r="A479" s="343"/>
      <c r="B479" s="494" t="s">
        <v>344</v>
      </c>
      <c r="C479" s="191" t="s">
        <v>100</v>
      </c>
      <c r="D479" s="192" t="s">
        <v>45</v>
      </c>
      <c r="E479" s="192" t="s">
        <v>43</v>
      </c>
      <c r="F479" s="193" t="s">
        <v>44</v>
      </c>
      <c r="G479" s="28"/>
      <c r="H479" s="200">
        <f>H480</f>
        <v>12364.4156</v>
      </c>
    </row>
    <row r="480" spans="1:8" s="352" customFormat="1" ht="72" x14ac:dyDescent="0.35">
      <c r="A480" s="343"/>
      <c r="B480" s="494" t="s">
        <v>101</v>
      </c>
      <c r="C480" s="191" t="s">
        <v>100</v>
      </c>
      <c r="D480" s="192" t="s">
        <v>45</v>
      </c>
      <c r="E480" s="192" t="s">
        <v>37</v>
      </c>
      <c r="F480" s="193" t="s">
        <v>44</v>
      </c>
      <c r="G480" s="28"/>
      <c r="H480" s="200">
        <f>H481</f>
        <v>12364.4156</v>
      </c>
    </row>
    <row r="481" spans="1:8" s="352" customFormat="1" ht="72" x14ac:dyDescent="0.35">
      <c r="A481" s="343"/>
      <c r="B481" s="502" t="s">
        <v>102</v>
      </c>
      <c r="C481" s="191" t="s">
        <v>100</v>
      </c>
      <c r="D481" s="192" t="s">
        <v>45</v>
      </c>
      <c r="E481" s="192" t="s">
        <v>37</v>
      </c>
      <c r="F481" s="193" t="s">
        <v>103</v>
      </c>
      <c r="G481" s="28"/>
      <c r="H481" s="200">
        <f>H482</f>
        <v>12364.4156</v>
      </c>
    </row>
    <row r="482" spans="1:8" ht="36" x14ac:dyDescent="0.35">
      <c r="A482" s="343"/>
      <c r="B482" s="494" t="s">
        <v>55</v>
      </c>
      <c r="C482" s="191" t="s">
        <v>100</v>
      </c>
      <c r="D482" s="192" t="s">
        <v>45</v>
      </c>
      <c r="E482" s="192" t="s">
        <v>37</v>
      </c>
      <c r="F482" s="193" t="s">
        <v>103</v>
      </c>
      <c r="G482" s="28" t="s">
        <v>56</v>
      </c>
      <c r="H482" s="200">
        <f>'прил9 (ведом 23)'!M146</f>
        <v>12364.4156</v>
      </c>
    </row>
    <row r="483" spans="1:8" ht="18" x14ac:dyDescent="0.35">
      <c r="A483" s="343"/>
      <c r="B483" s="501"/>
      <c r="C483" s="658"/>
      <c r="D483" s="658"/>
      <c r="E483" s="658"/>
      <c r="F483" s="659"/>
      <c r="G483" s="222"/>
      <c r="H483" s="200"/>
    </row>
    <row r="484" spans="1:8" s="352" customFormat="1" ht="52.2" x14ac:dyDescent="0.3">
      <c r="A484" s="357">
        <v>12</v>
      </c>
      <c r="B484" s="506" t="s">
        <v>107</v>
      </c>
      <c r="C484" s="358" t="s">
        <v>71</v>
      </c>
      <c r="D484" s="358" t="s">
        <v>42</v>
      </c>
      <c r="E484" s="358" t="s">
        <v>43</v>
      </c>
      <c r="F484" s="359" t="s">
        <v>44</v>
      </c>
      <c r="G484" s="351"/>
      <c r="H484" s="238">
        <f>H485+H489</f>
        <v>233</v>
      </c>
    </row>
    <row r="485" spans="1:8" s="352" customFormat="1" ht="36" x14ac:dyDescent="0.35">
      <c r="A485" s="343"/>
      <c r="B485" s="509" t="s">
        <v>108</v>
      </c>
      <c r="C485" s="191" t="s">
        <v>71</v>
      </c>
      <c r="D485" s="192" t="s">
        <v>45</v>
      </c>
      <c r="E485" s="192" t="s">
        <v>43</v>
      </c>
      <c r="F485" s="193" t="s">
        <v>44</v>
      </c>
      <c r="G485" s="28"/>
      <c r="H485" s="200">
        <f>H486</f>
        <v>115</v>
      </c>
    </row>
    <row r="486" spans="1:8" s="352" customFormat="1" ht="36" x14ac:dyDescent="0.35">
      <c r="A486" s="343"/>
      <c r="B486" s="494" t="s">
        <v>109</v>
      </c>
      <c r="C486" s="191" t="s">
        <v>71</v>
      </c>
      <c r="D486" s="192" t="s">
        <v>45</v>
      </c>
      <c r="E486" s="192" t="s">
        <v>37</v>
      </c>
      <c r="F486" s="193" t="s">
        <v>44</v>
      </c>
      <c r="G486" s="28"/>
      <c r="H486" s="200">
        <f>H487</f>
        <v>115</v>
      </c>
    </row>
    <row r="487" spans="1:8" s="352" customFormat="1" ht="36" x14ac:dyDescent="0.35">
      <c r="A487" s="343"/>
      <c r="B487" s="509" t="s">
        <v>110</v>
      </c>
      <c r="C487" s="191" t="s">
        <v>71</v>
      </c>
      <c r="D487" s="192" t="s">
        <v>45</v>
      </c>
      <c r="E487" s="192" t="s">
        <v>37</v>
      </c>
      <c r="F487" s="193" t="s">
        <v>111</v>
      </c>
      <c r="G487" s="28"/>
      <c r="H487" s="200">
        <f>SUM(H488:H488)</f>
        <v>115</v>
      </c>
    </row>
    <row r="488" spans="1:8" s="352" customFormat="1" ht="36" x14ac:dyDescent="0.35">
      <c r="A488" s="343"/>
      <c r="B488" s="494" t="s">
        <v>55</v>
      </c>
      <c r="C488" s="191" t="s">
        <v>71</v>
      </c>
      <c r="D488" s="192" t="s">
        <v>45</v>
      </c>
      <c r="E488" s="192" t="s">
        <v>37</v>
      </c>
      <c r="F488" s="193" t="s">
        <v>111</v>
      </c>
      <c r="G488" s="28" t="s">
        <v>56</v>
      </c>
      <c r="H488" s="200">
        <f>'прил9 (ведом 23)'!M152</f>
        <v>115</v>
      </c>
    </row>
    <row r="489" spans="1:8" s="352" customFormat="1" ht="36" x14ac:dyDescent="0.35">
      <c r="A489" s="343"/>
      <c r="B489" s="509" t="s">
        <v>112</v>
      </c>
      <c r="C489" s="191" t="s">
        <v>71</v>
      </c>
      <c r="D489" s="192" t="s">
        <v>89</v>
      </c>
      <c r="E489" s="192" t="s">
        <v>43</v>
      </c>
      <c r="F489" s="193" t="s">
        <v>44</v>
      </c>
      <c r="G489" s="28"/>
      <c r="H489" s="200">
        <f>H490</f>
        <v>118</v>
      </c>
    </row>
    <row r="490" spans="1:8" s="352" customFormat="1" ht="36" x14ac:dyDescent="0.35">
      <c r="A490" s="343"/>
      <c r="B490" s="509" t="s">
        <v>113</v>
      </c>
      <c r="C490" s="191" t="s">
        <v>71</v>
      </c>
      <c r="D490" s="192" t="s">
        <v>89</v>
      </c>
      <c r="E490" s="192" t="s">
        <v>37</v>
      </c>
      <c r="F490" s="193" t="s">
        <v>44</v>
      </c>
      <c r="G490" s="28"/>
      <c r="H490" s="200">
        <f>H491</f>
        <v>118</v>
      </c>
    </row>
    <row r="491" spans="1:8" s="352" customFormat="1" ht="72" x14ac:dyDescent="0.35">
      <c r="A491" s="343"/>
      <c r="B491" s="509" t="s">
        <v>114</v>
      </c>
      <c r="C491" s="191" t="s">
        <v>71</v>
      </c>
      <c r="D491" s="192" t="s">
        <v>89</v>
      </c>
      <c r="E491" s="192" t="s">
        <v>37</v>
      </c>
      <c r="F491" s="193" t="s">
        <v>115</v>
      </c>
      <c r="G491" s="28"/>
      <c r="H491" s="200">
        <f>H492</f>
        <v>118</v>
      </c>
    </row>
    <row r="492" spans="1:8" ht="36" x14ac:dyDescent="0.35">
      <c r="A492" s="343"/>
      <c r="B492" s="494" t="s">
        <v>55</v>
      </c>
      <c r="C492" s="191" t="s">
        <v>71</v>
      </c>
      <c r="D492" s="192" t="s">
        <v>89</v>
      </c>
      <c r="E492" s="192" t="s">
        <v>37</v>
      </c>
      <c r="F492" s="193" t="s">
        <v>115</v>
      </c>
      <c r="G492" s="28" t="s">
        <v>56</v>
      </c>
      <c r="H492" s="200">
        <f>'прил9 (ведом 23)'!M156</f>
        <v>118</v>
      </c>
    </row>
    <row r="493" spans="1:8" ht="18" x14ac:dyDescent="0.35">
      <c r="A493" s="343"/>
      <c r="B493" s="501"/>
      <c r="C493" s="658"/>
      <c r="D493" s="658"/>
      <c r="E493" s="658"/>
      <c r="F493" s="659"/>
      <c r="G493" s="222"/>
      <c r="H493" s="200"/>
    </row>
    <row r="494" spans="1:8" s="352" customFormat="1" ht="52.2" x14ac:dyDescent="0.3">
      <c r="A494" s="357">
        <v>13</v>
      </c>
      <c r="B494" s="506" t="s">
        <v>116</v>
      </c>
      <c r="C494" s="358" t="s">
        <v>88</v>
      </c>
      <c r="D494" s="358" t="s">
        <v>42</v>
      </c>
      <c r="E494" s="358" t="s">
        <v>43</v>
      </c>
      <c r="F494" s="359" t="s">
        <v>44</v>
      </c>
      <c r="G494" s="351"/>
      <c r="H494" s="238">
        <f>H495</f>
        <v>55235.5</v>
      </c>
    </row>
    <row r="495" spans="1:8" s="352" customFormat="1" ht="18" x14ac:dyDescent="0.35">
      <c r="A495" s="343"/>
      <c r="B495" s="494" t="s">
        <v>344</v>
      </c>
      <c r="C495" s="191" t="s">
        <v>88</v>
      </c>
      <c r="D495" s="192" t="s">
        <v>45</v>
      </c>
      <c r="E495" s="192" t="s">
        <v>43</v>
      </c>
      <c r="F495" s="193" t="s">
        <v>44</v>
      </c>
      <c r="G495" s="28"/>
      <c r="H495" s="200">
        <f>H496</f>
        <v>55235.5</v>
      </c>
    </row>
    <row r="496" spans="1:8" s="352" customFormat="1" ht="54" x14ac:dyDescent="0.35">
      <c r="A496" s="343"/>
      <c r="B496" s="509" t="s">
        <v>312</v>
      </c>
      <c r="C496" s="191" t="s">
        <v>88</v>
      </c>
      <c r="D496" s="192" t="s">
        <v>45</v>
      </c>
      <c r="E496" s="192" t="s">
        <v>37</v>
      </c>
      <c r="F496" s="193" t="s">
        <v>44</v>
      </c>
      <c r="G496" s="28"/>
      <c r="H496" s="200">
        <f>H497+H499+H501</f>
        <v>55235.5</v>
      </c>
    </row>
    <row r="497" spans="1:8" s="352" customFormat="1" ht="54" x14ac:dyDescent="0.35">
      <c r="A497" s="343"/>
      <c r="B497" s="509" t="s">
        <v>117</v>
      </c>
      <c r="C497" s="191" t="s">
        <v>88</v>
      </c>
      <c r="D497" s="192" t="s">
        <v>45</v>
      </c>
      <c r="E497" s="192" t="s">
        <v>37</v>
      </c>
      <c r="F497" s="193" t="s">
        <v>118</v>
      </c>
      <c r="G497" s="28"/>
      <c r="H497" s="200">
        <f>H498</f>
        <v>2724.4</v>
      </c>
    </row>
    <row r="498" spans="1:8" ht="36" x14ac:dyDescent="0.35">
      <c r="A498" s="343"/>
      <c r="B498" s="494" t="s">
        <v>55</v>
      </c>
      <c r="C498" s="191" t="s">
        <v>88</v>
      </c>
      <c r="D498" s="192" t="s">
        <v>45</v>
      </c>
      <c r="E498" s="192" t="s">
        <v>37</v>
      </c>
      <c r="F498" s="193" t="s">
        <v>118</v>
      </c>
      <c r="G498" s="28" t="s">
        <v>56</v>
      </c>
      <c r="H498" s="200">
        <f>'прил9 (ведом 23)'!M161</f>
        <v>2724.4</v>
      </c>
    </row>
    <row r="499" spans="1:8" ht="72" x14ac:dyDescent="0.35">
      <c r="A499" s="343"/>
      <c r="B499" s="495" t="s">
        <v>534</v>
      </c>
      <c r="C499" s="191" t="s">
        <v>88</v>
      </c>
      <c r="D499" s="192" t="s">
        <v>45</v>
      </c>
      <c r="E499" s="192" t="s">
        <v>37</v>
      </c>
      <c r="F499" s="193" t="s">
        <v>532</v>
      </c>
      <c r="G499" s="28"/>
      <c r="H499" s="200">
        <f>H500</f>
        <v>15802.7</v>
      </c>
    </row>
    <row r="500" spans="1:8" ht="36" x14ac:dyDescent="0.35">
      <c r="A500" s="343"/>
      <c r="B500" s="495" t="s">
        <v>55</v>
      </c>
      <c r="C500" s="191" t="s">
        <v>88</v>
      </c>
      <c r="D500" s="192" t="s">
        <v>45</v>
      </c>
      <c r="E500" s="192" t="s">
        <v>37</v>
      </c>
      <c r="F500" s="193" t="s">
        <v>532</v>
      </c>
      <c r="G500" s="28" t="s">
        <v>56</v>
      </c>
      <c r="H500" s="200">
        <f>'прил9 (ведом 23)'!M163</f>
        <v>15802.7</v>
      </c>
    </row>
    <row r="501" spans="1:8" ht="54" x14ac:dyDescent="0.35">
      <c r="A501" s="343"/>
      <c r="B501" s="495" t="s">
        <v>589</v>
      </c>
      <c r="C501" s="191" t="s">
        <v>88</v>
      </c>
      <c r="D501" s="192" t="s">
        <v>45</v>
      </c>
      <c r="E501" s="192" t="s">
        <v>37</v>
      </c>
      <c r="F501" s="193" t="s">
        <v>588</v>
      </c>
      <c r="G501" s="28"/>
      <c r="H501" s="200">
        <f>H502</f>
        <v>36708.400000000001</v>
      </c>
    </row>
    <row r="502" spans="1:8" ht="36" x14ac:dyDescent="0.35">
      <c r="A502" s="343"/>
      <c r="B502" s="495" t="s">
        <v>55</v>
      </c>
      <c r="C502" s="191" t="s">
        <v>88</v>
      </c>
      <c r="D502" s="192" t="s">
        <v>45</v>
      </c>
      <c r="E502" s="192" t="s">
        <v>37</v>
      </c>
      <c r="F502" s="193" t="s">
        <v>588</v>
      </c>
      <c r="G502" s="28" t="s">
        <v>56</v>
      </c>
      <c r="H502" s="200">
        <f>'прил9 (ведом 23)'!M165</f>
        <v>36708.400000000001</v>
      </c>
    </row>
    <row r="503" spans="1:8" s="352" customFormat="1" ht="18" x14ac:dyDescent="0.35">
      <c r="A503" s="343"/>
      <c r="B503" s="497"/>
      <c r="C503" s="658"/>
      <c r="D503" s="658"/>
      <c r="E503" s="658"/>
      <c r="F503" s="659"/>
      <c r="G503" s="222"/>
      <c r="H503" s="200"/>
    </row>
    <row r="504" spans="1:8" s="352" customFormat="1" ht="69.599999999999994" x14ac:dyDescent="0.3">
      <c r="A504" s="357">
        <v>14</v>
      </c>
      <c r="B504" s="506" t="s">
        <v>72</v>
      </c>
      <c r="C504" s="358" t="s">
        <v>73</v>
      </c>
      <c r="D504" s="358" t="s">
        <v>42</v>
      </c>
      <c r="E504" s="358" t="s">
        <v>43</v>
      </c>
      <c r="F504" s="359" t="s">
        <v>44</v>
      </c>
      <c r="G504" s="351"/>
      <c r="H504" s="238">
        <f>H505</f>
        <v>4548.4000000000005</v>
      </c>
    </row>
    <row r="505" spans="1:8" ht="30.75" customHeight="1" x14ac:dyDescent="0.35">
      <c r="A505" s="343"/>
      <c r="B505" s="494" t="s">
        <v>344</v>
      </c>
      <c r="C505" s="191" t="s">
        <v>73</v>
      </c>
      <c r="D505" s="192" t="s">
        <v>45</v>
      </c>
      <c r="E505" s="192" t="s">
        <v>43</v>
      </c>
      <c r="F505" s="193" t="s">
        <v>44</v>
      </c>
      <c r="G505" s="28"/>
      <c r="H505" s="200">
        <f>H506</f>
        <v>4548.4000000000005</v>
      </c>
    </row>
    <row r="506" spans="1:8" ht="36" x14ac:dyDescent="0.35">
      <c r="A506" s="343"/>
      <c r="B506" s="510" t="s">
        <v>271</v>
      </c>
      <c r="C506" s="191" t="s">
        <v>73</v>
      </c>
      <c r="D506" s="192" t="s">
        <v>45</v>
      </c>
      <c r="E506" s="192" t="s">
        <v>37</v>
      </c>
      <c r="F506" s="193" t="s">
        <v>44</v>
      </c>
      <c r="G506" s="28"/>
      <c r="H506" s="200">
        <f>H507</f>
        <v>4548.4000000000005</v>
      </c>
    </row>
    <row r="507" spans="1:8" ht="36" x14ac:dyDescent="0.35">
      <c r="A507" s="343"/>
      <c r="B507" s="510" t="s">
        <v>74</v>
      </c>
      <c r="C507" s="191" t="s">
        <v>73</v>
      </c>
      <c r="D507" s="192" t="s">
        <v>45</v>
      </c>
      <c r="E507" s="192" t="s">
        <v>37</v>
      </c>
      <c r="F507" s="193" t="s">
        <v>75</v>
      </c>
      <c r="G507" s="28"/>
      <c r="H507" s="200">
        <f>H508</f>
        <v>4548.4000000000005</v>
      </c>
    </row>
    <row r="508" spans="1:8" ht="49.5" customHeight="1" x14ac:dyDescent="0.35">
      <c r="A508" s="343"/>
      <c r="B508" s="497" t="s">
        <v>76</v>
      </c>
      <c r="C508" s="191" t="s">
        <v>73</v>
      </c>
      <c r="D508" s="192" t="s">
        <v>45</v>
      </c>
      <c r="E508" s="192" t="s">
        <v>37</v>
      </c>
      <c r="F508" s="193" t="s">
        <v>75</v>
      </c>
      <c r="G508" s="28" t="s">
        <v>77</v>
      </c>
      <c r="H508" s="200">
        <f>'прил9 (ведом 23)'!M66+'прил9 (ведом 23)'!M220</f>
        <v>4548.4000000000005</v>
      </c>
    </row>
    <row r="509" spans="1:8" ht="18" x14ac:dyDescent="0.35">
      <c r="A509" s="343"/>
      <c r="B509" s="497"/>
      <c r="C509" s="658"/>
      <c r="D509" s="658"/>
      <c r="E509" s="658"/>
      <c r="F509" s="659"/>
      <c r="G509" s="222"/>
      <c r="H509" s="200"/>
    </row>
    <row r="510" spans="1:8" s="352" customFormat="1" ht="52.2" x14ac:dyDescent="0.3">
      <c r="A510" s="357">
        <v>15</v>
      </c>
      <c r="B510" s="506" t="s">
        <v>40</v>
      </c>
      <c r="C510" s="358" t="s">
        <v>41</v>
      </c>
      <c r="D510" s="358" t="s">
        <v>42</v>
      </c>
      <c r="E510" s="358" t="s">
        <v>43</v>
      </c>
      <c r="F510" s="359" t="s">
        <v>44</v>
      </c>
      <c r="G510" s="351"/>
      <c r="H510" s="238">
        <f>H511</f>
        <v>164515.99400000001</v>
      </c>
    </row>
    <row r="511" spans="1:8" s="352" customFormat="1" ht="18" x14ac:dyDescent="0.35">
      <c r="A511" s="343"/>
      <c r="B511" s="494" t="s">
        <v>344</v>
      </c>
      <c r="C511" s="191" t="s">
        <v>41</v>
      </c>
      <c r="D511" s="192" t="s">
        <v>45</v>
      </c>
      <c r="E511" s="192" t="s">
        <v>43</v>
      </c>
      <c r="F511" s="193" t="s">
        <v>44</v>
      </c>
      <c r="G511" s="28"/>
      <c r="H511" s="200">
        <f>H512+H515+H533+H541+H546+H563+H553+H558+H550</f>
        <v>164515.99400000001</v>
      </c>
    </row>
    <row r="512" spans="1:8" s="352" customFormat="1" ht="36" x14ac:dyDescent="0.35">
      <c r="A512" s="343"/>
      <c r="B512" s="494" t="s">
        <v>46</v>
      </c>
      <c r="C512" s="191" t="s">
        <v>41</v>
      </c>
      <c r="D512" s="192" t="s">
        <v>45</v>
      </c>
      <c r="E512" s="192" t="s">
        <v>37</v>
      </c>
      <c r="F512" s="193" t="s">
        <v>44</v>
      </c>
      <c r="G512" s="28"/>
      <c r="H512" s="200">
        <f>H513</f>
        <v>2536.8000000000002</v>
      </c>
    </row>
    <row r="513" spans="1:8" s="352" customFormat="1" ht="36" x14ac:dyDescent="0.35">
      <c r="A513" s="343"/>
      <c r="B513" s="494" t="s">
        <v>47</v>
      </c>
      <c r="C513" s="191" t="s">
        <v>41</v>
      </c>
      <c r="D513" s="192" t="s">
        <v>45</v>
      </c>
      <c r="E513" s="192" t="s">
        <v>37</v>
      </c>
      <c r="F513" s="193" t="s">
        <v>48</v>
      </c>
      <c r="G513" s="28"/>
      <c r="H513" s="200">
        <f>H514</f>
        <v>2536.8000000000002</v>
      </c>
    </row>
    <row r="514" spans="1:8" s="352" customFormat="1" ht="90" x14ac:dyDescent="0.35">
      <c r="A514" s="343"/>
      <c r="B514" s="494" t="s">
        <v>49</v>
      </c>
      <c r="C514" s="191" t="s">
        <v>41</v>
      </c>
      <c r="D514" s="192" t="s">
        <v>45</v>
      </c>
      <c r="E514" s="192" t="s">
        <v>37</v>
      </c>
      <c r="F514" s="193" t="s">
        <v>48</v>
      </c>
      <c r="G514" s="28" t="s">
        <v>50</v>
      </c>
      <c r="H514" s="200">
        <f>'прил9 (ведом 23)'!M22</f>
        <v>2536.8000000000002</v>
      </c>
    </row>
    <row r="515" spans="1:8" s="352" customFormat="1" ht="36" x14ac:dyDescent="0.35">
      <c r="A515" s="343"/>
      <c r="B515" s="494" t="s">
        <v>54</v>
      </c>
      <c r="C515" s="191" t="s">
        <v>41</v>
      </c>
      <c r="D515" s="192" t="s">
        <v>45</v>
      </c>
      <c r="E515" s="192" t="s">
        <v>39</v>
      </c>
      <c r="F515" s="193" t="s">
        <v>44</v>
      </c>
      <c r="G515" s="28"/>
      <c r="H515" s="200">
        <f>H516+H523+H525+H527+H521+H530</f>
        <v>84449.23245000001</v>
      </c>
    </row>
    <row r="516" spans="1:8" s="352" customFormat="1" ht="36" x14ac:dyDescent="0.35">
      <c r="A516" s="343"/>
      <c r="B516" s="494" t="s">
        <v>47</v>
      </c>
      <c r="C516" s="191" t="s">
        <v>41</v>
      </c>
      <c r="D516" s="192" t="s">
        <v>45</v>
      </c>
      <c r="E516" s="192" t="s">
        <v>39</v>
      </c>
      <c r="F516" s="193" t="s">
        <v>48</v>
      </c>
      <c r="G516" s="28"/>
      <c r="H516" s="200">
        <f>SUM(H517:H520)</f>
        <v>78947.032449999999</v>
      </c>
    </row>
    <row r="517" spans="1:8" s="352" customFormat="1" ht="90" x14ac:dyDescent="0.35">
      <c r="A517" s="343"/>
      <c r="B517" s="494" t="s">
        <v>49</v>
      </c>
      <c r="C517" s="191" t="s">
        <v>41</v>
      </c>
      <c r="D517" s="192" t="s">
        <v>45</v>
      </c>
      <c r="E517" s="192" t="s">
        <v>39</v>
      </c>
      <c r="F517" s="193" t="s">
        <v>48</v>
      </c>
      <c r="G517" s="28" t="s">
        <v>50</v>
      </c>
      <c r="H517" s="200">
        <f>'прил9 (ведом 23)'!M28</f>
        <v>77441.2</v>
      </c>
    </row>
    <row r="518" spans="1:8" ht="36" x14ac:dyDescent="0.35">
      <c r="A518" s="343"/>
      <c r="B518" s="494" t="s">
        <v>55</v>
      </c>
      <c r="C518" s="191" t="s">
        <v>41</v>
      </c>
      <c r="D518" s="192" t="s">
        <v>45</v>
      </c>
      <c r="E518" s="192" t="s">
        <v>39</v>
      </c>
      <c r="F518" s="193" t="s">
        <v>48</v>
      </c>
      <c r="G518" s="28" t="s">
        <v>56</v>
      </c>
      <c r="H518" s="200">
        <f>'прил9 (ведом 23)'!M29</f>
        <v>1095.0839999999998</v>
      </c>
    </row>
    <row r="519" spans="1:8" ht="18" x14ac:dyDescent="0.35">
      <c r="A519" s="343"/>
      <c r="B519" s="505" t="s">
        <v>120</v>
      </c>
      <c r="C519" s="661" t="s">
        <v>41</v>
      </c>
      <c r="D519" s="662" t="s">
        <v>45</v>
      </c>
      <c r="E519" s="662" t="s">
        <v>39</v>
      </c>
      <c r="F519" s="663" t="s">
        <v>48</v>
      </c>
      <c r="G519" s="10" t="s">
        <v>121</v>
      </c>
      <c r="H519" s="200">
        <f>'прил9 (ведом 23)'!M30</f>
        <v>341.24845000000005</v>
      </c>
    </row>
    <row r="520" spans="1:8" s="352" customFormat="1" ht="18" x14ac:dyDescent="0.35">
      <c r="A520" s="343"/>
      <c r="B520" s="494" t="s">
        <v>57</v>
      </c>
      <c r="C520" s="191" t="s">
        <v>41</v>
      </c>
      <c r="D520" s="192" t="s">
        <v>45</v>
      </c>
      <c r="E520" s="192" t="s">
        <v>39</v>
      </c>
      <c r="F520" s="193" t="s">
        <v>48</v>
      </c>
      <c r="G520" s="28" t="s">
        <v>58</v>
      </c>
      <c r="H520" s="200">
        <f>'прил9 (ведом 23)'!M31</f>
        <v>69.5</v>
      </c>
    </row>
    <row r="521" spans="1:8" s="352" customFormat="1" ht="72" x14ac:dyDescent="0.35">
      <c r="A521" s="343"/>
      <c r="B521" s="495" t="s">
        <v>389</v>
      </c>
      <c r="C521" s="191" t="s">
        <v>41</v>
      </c>
      <c r="D521" s="192" t="s">
        <v>45</v>
      </c>
      <c r="E521" s="192" t="s">
        <v>39</v>
      </c>
      <c r="F521" s="193" t="s">
        <v>388</v>
      </c>
      <c r="G521" s="28"/>
      <c r="H521" s="200">
        <f>H522</f>
        <v>19.8</v>
      </c>
    </row>
    <row r="522" spans="1:8" s="352" customFormat="1" ht="36" x14ac:dyDescent="0.35">
      <c r="A522" s="343"/>
      <c r="B522" s="495" t="s">
        <v>55</v>
      </c>
      <c r="C522" s="191" t="s">
        <v>41</v>
      </c>
      <c r="D522" s="192" t="s">
        <v>45</v>
      </c>
      <c r="E522" s="192" t="s">
        <v>39</v>
      </c>
      <c r="F522" s="193" t="s">
        <v>388</v>
      </c>
      <c r="G522" s="28" t="s">
        <v>56</v>
      </c>
      <c r="H522" s="200">
        <f>'прил9 (ведом 23)'!M50</f>
        <v>19.8</v>
      </c>
    </row>
    <row r="523" spans="1:8" ht="72" x14ac:dyDescent="0.35">
      <c r="A523" s="343"/>
      <c r="B523" s="494" t="s">
        <v>448</v>
      </c>
      <c r="C523" s="191" t="s">
        <v>41</v>
      </c>
      <c r="D523" s="192" t="s">
        <v>45</v>
      </c>
      <c r="E523" s="192" t="s">
        <v>39</v>
      </c>
      <c r="F523" s="193" t="s">
        <v>270</v>
      </c>
      <c r="G523" s="28"/>
      <c r="H523" s="200">
        <f>H524</f>
        <v>63</v>
      </c>
    </row>
    <row r="524" spans="1:8" ht="36" x14ac:dyDescent="0.35">
      <c r="A524" s="343"/>
      <c r="B524" s="494" t="s">
        <v>55</v>
      </c>
      <c r="C524" s="191" t="s">
        <v>41</v>
      </c>
      <c r="D524" s="192" t="s">
        <v>45</v>
      </c>
      <c r="E524" s="192" t="s">
        <v>39</v>
      </c>
      <c r="F524" s="193" t="s">
        <v>270</v>
      </c>
      <c r="G524" s="28" t="s">
        <v>56</v>
      </c>
      <c r="H524" s="200">
        <f>'прил9 (ведом 23)'!M33</f>
        <v>63</v>
      </c>
    </row>
    <row r="525" spans="1:8" ht="173.25" customHeight="1" x14ac:dyDescent="0.35">
      <c r="A525" s="343"/>
      <c r="B525" s="530" t="s">
        <v>454</v>
      </c>
      <c r="C525" s="191" t="s">
        <v>41</v>
      </c>
      <c r="D525" s="192" t="s">
        <v>45</v>
      </c>
      <c r="E525" s="192" t="s">
        <v>39</v>
      </c>
      <c r="F525" s="193" t="s">
        <v>59</v>
      </c>
      <c r="G525" s="28"/>
      <c r="H525" s="200">
        <f>H526</f>
        <v>729.8</v>
      </c>
    </row>
    <row r="526" spans="1:8" ht="90" x14ac:dyDescent="0.35">
      <c r="A526" s="343"/>
      <c r="B526" s="495" t="s">
        <v>49</v>
      </c>
      <c r="C526" s="191" t="s">
        <v>41</v>
      </c>
      <c r="D526" s="192" t="s">
        <v>45</v>
      </c>
      <c r="E526" s="192" t="s">
        <v>39</v>
      </c>
      <c r="F526" s="193" t="s">
        <v>59</v>
      </c>
      <c r="G526" s="28" t="s">
        <v>50</v>
      </c>
      <c r="H526" s="200">
        <f>'прил9 (ведом 23)'!M35</f>
        <v>729.8</v>
      </c>
    </row>
    <row r="527" spans="1:8" ht="54" x14ac:dyDescent="0.35">
      <c r="A527" s="343"/>
      <c r="B527" s="495" t="s">
        <v>412</v>
      </c>
      <c r="C527" s="191" t="s">
        <v>41</v>
      </c>
      <c r="D527" s="192" t="s">
        <v>45</v>
      </c>
      <c r="E527" s="192" t="s">
        <v>39</v>
      </c>
      <c r="F527" s="193" t="s">
        <v>61</v>
      </c>
      <c r="G527" s="28"/>
      <c r="H527" s="200">
        <f>H528+H529</f>
        <v>730</v>
      </c>
    </row>
    <row r="528" spans="1:8" ht="90" x14ac:dyDescent="0.35">
      <c r="A528" s="343"/>
      <c r="B528" s="495" t="s">
        <v>49</v>
      </c>
      <c r="C528" s="191" t="s">
        <v>41</v>
      </c>
      <c r="D528" s="192" t="s">
        <v>45</v>
      </c>
      <c r="E528" s="192" t="s">
        <v>39</v>
      </c>
      <c r="F528" s="193" t="s">
        <v>61</v>
      </c>
      <c r="G528" s="28" t="s">
        <v>50</v>
      </c>
      <c r="H528" s="200">
        <f>'прил9 (ведом 23)'!M37</f>
        <v>725.8</v>
      </c>
    </row>
    <row r="529" spans="1:8" ht="36" x14ac:dyDescent="0.35">
      <c r="A529" s="343"/>
      <c r="B529" s="495" t="s">
        <v>55</v>
      </c>
      <c r="C529" s="191" t="s">
        <v>41</v>
      </c>
      <c r="D529" s="192" t="s">
        <v>45</v>
      </c>
      <c r="E529" s="192" t="s">
        <v>39</v>
      </c>
      <c r="F529" s="193" t="s">
        <v>61</v>
      </c>
      <c r="G529" s="28" t="s">
        <v>56</v>
      </c>
      <c r="H529" s="200">
        <f>'прил9 (ведом 23)'!M38</f>
        <v>4.2</v>
      </c>
    </row>
    <row r="530" spans="1:8" ht="72" x14ac:dyDescent="0.35">
      <c r="A530" s="343"/>
      <c r="B530" s="494" t="s">
        <v>60</v>
      </c>
      <c r="C530" s="191" t="s">
        <v>41</v>
      </c>
      <c r="D530" s="192" t="s">
        <v>45</v>
      </c>
      <c r="E530" s="192" t="s">
        <v>39</v>
      </c>
      <c r="F530" s="193" t="s">
        <v>546</v>
      </c>
      <c r="G530" s="28"/>
      <c r="H530" s="200">
        <f>H531+H532</f>
        <v>3959.6</v>
      </c>
    </row>
    <row r="531" spans="1:8" ht="90" x14ac:dyDescent="0.35">
      <c r="A531" s="343"/>
      <c r="B531" s="494" t="s">
        <v>49</v>
      </c>
      <c r="C531" s="191" t="s">
        <v>41</v>
      </c>
      <c r="D531" s="192" t="s">
        <v>45</v>
      </c>
      <c r="E531" s="192" t="s">
        <v>39</v>
      </c>
      <c r="F531" s="193" t="s">
        <v>546</v>
      </c>
      <c r="G531" s="28" t="s">
        <v>50</v>
      </c>
      <c r="H531" s="200">
        <f>'прил9 (ведом 23)'!M40</f>
        <v>3918.5</v>
      </c>
    </row>
    <row r="532" spans="1:8" ht="36" x14ac:dyDescent="0.35">
      <c r="A532" s="343"/>
      <c r="B532" s="495" t="s">
        <v>55</v>
      </c>
      <c r="C532" s="191" t="s">
        <v>41</v>
      </c>
      <c r="D532" s="192" t="s">
        <v>45</v>
      </c>
      <c r="E532" s="192" t="s">
        <v>39</v>
      </c>
      <c r="F532" s="193" t="s">
        <v>546</v>
      </c>
      <c r="G532" s="28" t="s">
        <v>56</v>
      </c>
      <c r="H532" s="200">
        <f>'прил9 (ведом 23)'!M41</f>
        <v>41.100000000000009</v>
      </c>
    </row>
    <row r="533" spans="1:8" ht="18" x14ac:dyDescent="0.35">
      <c r="A533" s="343"/>
      <c r="B533" s="494" t="s">
        <v>62</v>
      </c>
      <c r="C533" s="191" t="s">
        <v>41</v>
      </c>
      <c r="D533" s="192" t="s">
        <v>45</v>
      </c>
      <c r="E533" s="192" t="s">
        <v>63</v>
      </c>
      <c r="F533" s="193" t="s">
        <v>44</v>
      </c>
      <c r="G533" s="28"/>
      <c r="H533" s="200">
        <f>H534+H536+H538</f>
        <v>7589.0999999999995</v>
      </c>
    </row>
    <row r="534" spans="1:8" ht="36" x14ac:dyDescent="0.35">
      <c r="A534" s="343"/>
      <c r="B534" s="494" t="s">
        <v>47</v>
      </c>
      <c r="C534" s="191" t="s">
        <v>41</v>
      </c>
      <c r="D534" s="192" t="s">
        <v>45</v>
      </c>
      <c r="E534" s="192" t="s">
        <v>63</v>
      </c>
      <c r="F534" s="193" t="s">
        <v>48</v>
      </c>
      <c r="G534" s="28"/>
      <c r="H534" s="200">
        <f>H535</f>
        <v>4.5</v>
      </c>
    </row>
    <row r="535" spans="1:8" ht="36" x14ac:dyDescent="0.35">
      <c r="A535" s="343"/>
      <c r="B535" s="494" t="s">
        <v>55</v>
      </c>
      <c r="C535" s="191" t="s">
        <v>41</v>
      </c>
      <c r="D535" s="192" t="s">
        <v>45</v>
      </c>
      <c r="E535" s="192" t="s">
        <v>63</v>
      </c>
      <c r="F535" s="193" t="s">
        <v>48</v>
      </c>
      <c r="G535" s="28" t="s">
        <v>56</v>
      </c>
      <c r="H535" s="200">
        <f>'прил9 (ведом 23)'!M44</f>
        <v>4.5</v>
      </c>
    </row>
    <row r="536" spans="1:8" ht="36" x14ac:dyDescent="0.35">
      <c r="A536" s="343"/>
      <c r="B536" s="495" t="s">
        <v>540</v>
      </c>
      <c r="C536" s="191" t="s">
        <v>41</v>
      </c>
      <c r="D536" s="192" t="s">
        <v>45</v>
      </c>
      <c r="E536" s="192" t="s">
        <v>63</v>
      </c>
      <c r="F536" s="193" t="s">
        <v>539</v>
      </c>
      <c r="G536" s="28"/>
      <c r="H536" s="200">
        <f>H537</f>
        <v>130.9</v>
      </c>
    </row>
    <row r="537" spans="1:8" ht="36" x14ac:dyDescent="0.35">
      <c r="A537" s="343"/>
      <c r="B537" s="495" t="s">
        <v>55</v>
      </c>
      <c r="C537" s="191" t="s">
        <v>41</v>
      </c>
      <c r="D537" s="192" t="s">
        <v>45</v>
      </c>
      <c r="E537" s="192" t="s">
        <v>63</v>
      </c>
      <c r="F537" s="193" t="s">
        <v>539</v>
      </c>
      <c r="G537" s="28" t="s">
        <v>56</v>
      </c>
      <c r="H537" s="200">
        <f>'прил9 (ведом 23)'!M201</f>
        <v>130.9</v>
      </c>
    </row>
    <row r="538" spans="1:8" ht="54" x14ac:dyDescent="0.35">
      <c r="A538" s="343"/>
      <c r="B538" s="495" t="s">
        <v>383</v>
      </c>
      <c r="C538" s="191" t="s">
        <v>41</v>
      </c>
      <c r="D538" s="192" t="s">
        <v>45</v>
      </c>
      <c r="E538" s="192" t="s">
        <v>63</v>
      </c>
      <c r="F538" s="193" t="s">
        <v>382</v>
      </c>
      <c r="G538" s="28"/>
      <c r="H538" s="200">
        <f>H539+H540</f>
        <v>7453.7</v>
      </c>
    </row>
    <row r="539" spans="1:8" ht="36" x14ac:dyDescent="0.35">
      <c r="A539" s="343"/>
      <c r="B539" s="495" t="s">
        <v>55</v>
      </c>
      <c r="C539" s="191" t="s">
        <v>41</v>
      </c>
      <c r="D539" s="192" t="s">
        <v>45</v>
      </c>
      <c r="E539" s="192" t="s">
        <v>63</v>
      </c>
      <c r="F539" s="193" t="s">
        <v>382</v>
      </c>
      <c r="G539" s="28" t="s">
        <v>56</v>
      </c>
      <c r="H539" s="200">
        <f>'прил9 (ведом 23)'!M71</f>
        <v>7229.4</v>
      </c>
    </row>
    <row r="540" spans="1:8" ht="18" x14ac:dyDescent="0.35">
      <c r="A540" s="343"/>
      <c r="B540" s="495" t="s">
        <v>57</v>
      </c>
      <c r="C540" s="191" t="s">
        <v>41</v>
      </c>
      <c r="D540" s="192" t="s">
        <v>45</v>
      </c>
      <c r="E540" s="192" t="s">
        <v>63</v>
      </c>
      <c r="F540" s="193" t="s">
        <v>382</v>
      </c>
      <c r="G540" s="28" t="s">
        <v>58</v>
      </c>
      <c r="H540" s="200">
        <f>'прил9 (ведом 23)'!M72</f>
        <v>224.3</v>
      </c>
    </row>
    <row r="541" spans="1:8" ht="18" x14ac:dyDescent="0.35">
      <c r="A541" s="343"/>
      <c r="B541" s="494" t="s">
        <v>64</v>
      </c>
      <c r="C541" s="191" t="s">
        <v>41</v>
      </c>
      <c r="D541" s="192" t="s">
        <v>45</v>
      </c>
      <c r="E541" s="192" t="s">
        <v>52</v>
      </c>
      <c r="F541" s="193" t="s">
        <v>44</v>
      </c>
      <c r="G541" s="28"/>
      <c r="H541" s="200">
        <f>H542+H544</f>
        <v>6078.75155</v>
      </c>
    </row>
    <row r="542" spans="1:8" ht="54" x14ac:dyDescent="0.35">
      <c r="A542" s="343"/>
      <c r="B542" s="509" t="s">
        <v>357</v>
      </c>
      <c r="C542" s="191" t="s">
        <v>41</v>
      </c>
      <c r="D542" s="192" t="s">
        <v>45</v>
      </c>
      <c r="E542" s="192" t="s">
        <v>52</v>
      </c>
      <c r="F542" s="193" t="s">
        <v>105</v>
      </c>
      <c r="G542" s="28"/>
      <c r="H542" s="200">
        <f>H543</f>
        <v>3649.7</v>
      </c>
    </row>
    <row r="543" spans="1:8" ht="36" x14ac:dyDescent="0.35">
      <c r="A543" s="343"/>
      <c r="B543" s="494" t="s">
        <v>55</v>
      </c>
      <c r="C543" s="191" t="s">
        <v>41</v>
      </c>
      <c r="D543" s="192" t="s">
        <v>45</v>
      </c>
      <c r="E543" s="192" t="s">
        <v>52</v>
      </c>
      <c r="F543" s="193" t="s">
        <v>105</v>
      </c>
      <c r="G543" s="28" t="s">
        <v>56</v>
      </c>
      <c r="H543" s="200">
        <f>'прил9 (ведом 23)'!M75</f>
        <v>3649.7</v>
      </c>
    </row>
    <row r="544" spans="1:8" ht="54" x14ac:dyDescent="0.35">
      <c r="A544" s="343"/>
      <c r="B544" s="494" t="s">
        <v>359</v>
      </c>
      <c r="C544" s="191" t="s">
        <v>41</v>
      </c>
      <c r="D544" s="192" t="s">
        <v>45</v>
      </c>
      <c r="E544" s="192" t="s">
        <v>52</v>
      </c>
      <c r="F544" s="193" t="s">
        <v>358</v>
      </c>
      <c r="G544" s="28"/>
      <c r="H544" s="200">
        <f>H545</f>
        <v>2429.0515500000001</v>
      </c>
    </row>
    <row r="545" spans="1:8" ht="36" x14ac:dyDescent="0.35">
      <c r="A545" s="343"/>
      <c r="B545" s="494" t="s">
        <v>55</v>
      </c>
      <c r="C545" s="191" t="s">
        <v>41</v>
      </c>
      <c r="D545" s="192" t="s">
        <v>45</v>
      </c>
      <c r="E545" s="192" t="s">
        <v>52</v>
      </c>
      <c r="F545" s="193" t="s">
        <v>358</v>
      </c>
      <c r="G545" s="28" t="s">
        <v>56</v>
      </c>
      <c r="H545" s="200">
        <f>'прил9 (ведом 23)'!M77</f>
        <v>2429.0515500000001</v>
      </c>
    </row>
    <row r="546" spans="1:8" ht="72" x14ac:dyDescent="0.35">
      <c r="A546" s="367"/>
      <c r="B546" s="517" t="s">
        <v>304</v>
      </c>
      <c r="C546" s="360" t="s">
        <v>41</v>
      </c>
      <c r="D546" s="368" t="s">
        <v>45</v>
      </c>
      <c r="E546" s="368" t="s">
        <v>81</v>
      </c>
      <c r="F546" s="378" t="s">
        <v>44</v>
      </c>
      <c r="G546" s="379"/>
      <c r="H546" s="200">
        <f>H547</f>
        <v>6577.4</v>
      </c>
    </row>
    <row r="547" spans="1:8" ht="36" x14ac:dyDescent="0.35">
      <c r="A547" s="367"/>
      <c r="B547" s="494" t="s">
        <v>466</v>
      </c>
      <c r="C547" s="360" t="s">
        <v>41</v>
      </c>
      <c r="D547" s="368" t="s">
        <v>45</v>
      </c>
      <c r="E547" s="368" t="s">
        <v>81</v>
      </c>
      <c r="F547" s="378" t="s">
        <v>91</v>
      </c>
      <c r="G547" s="379"/>
      <c r="H547" s="200">
        <f>SUM(H548:H549)</f>
        <v>6577.4</v>
      </c>
    </row>
    <row r="548" spans="1:8" ht="90" x14ac:dyDescent="0.35">
      <c r="A548" s="367"/>
      <c r="B548" s="517" t="s">
        <v>49</v>
      </c>
      <c r="C548" s="360" t="s">
        <v>41</v>
      </c>
      <c r="D548" s="368" t="s">
        <v>45</v>
      </c>
      <c r="E548" s="368" t="s">
        <v>81</v>
      </c>
      <c r="F548" s="378" t="s">
        <v>91</v>
      </c>
      <c r="G548" s="379" t="s">
        <v>50</v>
      </c>
      <c r="H548" s="200">
        <f>'прил9 (ведом 23)'!M403</f>
        <v>5728.3</v>
      </c>
    </row>
    <row r="549" spans="1:8" ht="36" x14ac:dyDescent="0.35">
      <c r="A549" s="367"/>
      <c r="B549" s="494" t="s">
        <v>55</v>
      </c>
      <c r="C549" s="360" t="s">
        <v>41</v>
      </c>
      <c r="D549" s="368" t="s">
        <v>45</v>
      </c>
      <c r="E549" s="368" t="s">
        <v>81</v>
      </c>
      <c r="F549" s="378" t="s">
        <v>91</v>
      </c>
      <c r="G549" s="379" t="s">
        <v>56</v>
      </c>
      <c r="H549" s="200">
        <f>'прил9 (ведом 23)'!M404</f>
        <v>849.09999999999991</v>
      </c>
    </row>
    <row r="550" spans="1:8" ht="36" x14ac:dyDescent="0.35">
      <c r="A550" s="367"/>
      <c r="B550" s="626" t="s">
        <v>791</v>
      </c>
      <c r="C550" s="661" t="s">
        <v>41</v>
      </c>
      <c r="D550" s="662" t="s">
        <v>45</v>
      </c>
      <c r="E550" s="662" t="s">
        <v>79</v>
      </c>
      <c r="F550" s="663" t="s">
        <v>44</v>
      </c>
      <c r="G550" s="379"/>
      <c r="H550" s="200">
        <f>H551</f>
        <v>6</v>
      </c>
    </row>
    <row r="551" spans="1:8" ht="18" x14ac:dyDescent="0.35">
      <c r="A551" s="367"/>
      <c r="B551" s="626" t="s">
        <v>792</v>
      </c>
      <c r="C551" s="661" t="s">
        <v>41</v>
      </c>
      <c r="D551" s="662" t="s">
        <v>45</v>
      </c>
      <c r="E551" s="662" t="s">
        <v>79</v>
      </c>
      <c r="F551" s="663" t="s">
        <v>793</v>
      </c>
      <c r="G551" s="10"/>
      <c r="H551" s="200">
        <f>H552</f>
        <v>6</v>
      </c>
    </row>
    <row r="552" spans="1:8" ht="36" x14ac:dyDescent="0.35">
      <c r="A552" s="367"/>
      <c r="B552" s="626" t="s">
        <v>789</v>
      </c>
      <c r="C552" s="661" t="s">
        <v>41</v>
      </c>
      <c r="D552" s="662" t="s">
        <v>45</v>
      </c>
      <c r="E552" s="662" t="s">
        <v>79</v>
      </c>
      <c r="F552" s="663" t="s">
        <v>793</v>
      </c>
      <c r="G552" s="10" t="s">
        <v>794</v>
      </c>
      <c r="H552" s="200">
        <f>'прил9 (ведом 23)'!M227</f>
        <v>6</v>
      </c>
    </row>
    <row r="553" spans="1:8" ht="36" x14ac:dyDescent="0.35">
      <c r="A553" s="367"/>
      <c r="B553" s="498" t="s">
        <v>336</v>
      </c>
      <c r="C553" s="661" t="s">
        <v>41</v>
      </c>
      <c r="D553" s="662" t="s">
        <v>45</v>
      </c>
      <c r="E553" s="662" t="s">
        <v>88</v>
      </c>
      <c r="F553" s="663" t="s">
        <v>44</v>
      </c>
      <c r="G553" s="379"/>
      <c r="H553" s="200">
        <f>H554+H556</f>
        <v>11643</v>
      </c>
    </row>
    <row r="554" spans="1:8" ht="36" x14ac:dyDescent="0.35">
      <c r="A554" s="367"/>
      <c r="B554" s="495" t="s">
        <v>545</v>
      </c>
      <c r="C554" s="191" t="s">
        <v>41</v>
      </c>
      <c r="D554" s="192" t="s">
        <v>45</v>
      </c>
      <c r="E554" s="192" t="s">
        <v>88</v>
      </c>
      <c r="F554" s="193" t="s">
        <v>544</v>
      </c>
      <c r="G554" s="28"/>
      <c r="H554" s="200">
        <f>H555</f>
        <v>1743</v>
      </c>
    </row>
    <row r="555" spans="1:8" ht="36" x14ac:dyDescent="0.35">
      <c r="A555" s="367"/>
      <c r="B555" s="495" t="s">
        <v>55</v>
      </c>
      <c r="C555" s="191" t="s">
        <v>41</v>
      </c>
      <c r="D555" s="192" t="s">
        <v>45</v>
      </c>
      <c r="E555" s="192" t="s">
        <v>88</v>
      </c>
      <c r="F555" s="193" t="s">
        <v>544</v>
      </c>
      <c r="G555" s="28" t="s">
        <v>56</v>
      </c>
      <c r="H555" s="200">
        <f>'прил9 (ведом 23)'!M172</f>
        <v>1743</v>
      </c>
    </row>
    <row r="556" spans="1:8" ht="54" x14ac:dyDescent="0.35">
      <c r="A556" s="367"/>
      <c r="B556" s="498" t="s">
        <v>726</v>
      </c>
      <c r="C556" s="661" t="s">
        <v>41</v>
      </c>
      <c r="D556" s="662" t="s">
        <v>45</v>
      </c>
      <c r="E556" s="662" t="s">
        <v>88</v>
      </c>
      <c r="F556" s="663" t="s">
        <v>725</v>
      </c>
      <c r="G556" s="10"/>
      <c r="H556" s="200">
        <f>H557</f>
        <v>9900</v>
      </c>
    </row>
    <row r="557" spans="1:8" ht="36" x14ac:dyDescent="0.35">
      <c r="A557" s="367"/>
      <c r="B557" s="498" t="s">
        <v>55</v>
      </c>
      <c r="C557" s="661" t="s">
        <v>41</v>
      </c>
      <c r="D557" s="662" t="s">
        <v>45</v>
      </c>
      <c r="E557" s="662" t="s">
        <v>88</v>
      </c>
      <c r="F557" s="663" t="s">
        <v>725</v>
      </c>
      <c r="G557" s="10" t="s">
        <v>56</v>
      </c>
      <c r="H557" s="200">
        <f>'прил9 (ведом 23)'!M174</f>
        <v>9900</v>
      </c>
    </row>
    <row r="558" spans="1:8" ht="18" x14ac:dyDescent="0.35">
      <c r="A558" s="367"/>
      <c r="B558" s="566" t="s">
        <v>378</v>
      </c>
      <c r="C558" s="661" t="s">
        <v>41</v>
      </c>
      <c r="D558" s="662" t="s">
        <v>45</v>
      </c>
      <c r="E558" s="662" t="s">
        <v>674</v>
      </c>
      <c r="F558" s="663" t="s">
        <v>44</v>
      </c>
      <c r="G558" s="28"/>
      <c r="H558" s="200">
        <f>H561+H559</f>
        <v>2882.8999999999996</v>
      </c>
    </row>
    <row r="559" spans="1:8" ht="18" x14ac:dyDescent="0.35">
      <c r="A559" s="367"/>
      <c r="B559" s="566" t="s">
        <v>376</v>
      </c>
      <c r="C559" s="661" t="s">
        <v>41</v>
      </c>
      <c r="D559" s="662" t="s">
        <v>45</v>
      </c>
      <c r="E559" s="662" t="s">
        <v>674</v>
      </c>
      <c r="F559" s="663" t="s">
        <v>375</v>
      </c>
      <c r="G559" s="10"/>
      <c r="H559" s="200">
        <f>H560</f>
        <v>1048.2</v>
      </c>
    </row>
    <row r="560" spans="1:8" ht="36" x14ac:dyDescent="0.35">
      <c r="A560" s="367"/>
      <c r="B560" s="566" t="s">
        <v>55</v>
      </c>
      <c r="C560" s="661" t="s">
        <v>41</v>
      </c>
      <c r="D560" s="662" t="s">
        <v>45</v>
      </c>
      <c r="E560" s="662" t="s">
        <v>674</v>
      </c>
      <c r="F560" s="663" t="s">
        <v>375</v>
      </c>
      <c r="G560" s="10" t="s">
        <v>56</v>
      </c>
      <c r="H560" s="200">
        <f>'прил9 (ведом 23)'!M177</f>
        <v>1048.2</v>
      </c>
    </row>
    <row r="561" spans="1:8" ht="36" x14ac:dyDescent="0.35">
      <c r="A561" s="367"/>
      <c r="B561" s="566" t="s">
        <v>342</v>
      </c>
      <c r="C561" s="661" t="s">
        <v>41</v>
      </c>
      <c r="D561" s="662" t="s">
        <v>45</v>
      </c>
      <c r="E561" s="662" t="s">
        <v>674</v>
      </c>
      <c r="F561" s="663" t="s">
        <v>341</v>
      </c>
      <c r="G561" s="28"/>
      <c r="H561" s="200">
        <f>H562</f>
        <v>1834.6999999999998</v>
      </c>
    </row>
    <row r="562" spans="1:8" ht="18" x14ac:dyDescent="0.35">
      <c r="A562" s="367"/>
      <c r="B562" s="498" t="s">
        <v>57</v>
      </c>
      <c r="C562" s="661" t="s">
        <v>41</v>
      </c>
      <c r="D562" s="662" t="s">
        <v>45</v>
      </c>
      <c r="E562" s="662" t="s">
        <v>674</v>
      </c>
      <c r="F562" s="663" t="s">
        <v>341</v>
      </c>
      <c r="G562" s="28" t="s">
        <v>58</v>
      </c>
      <c r="H562" s="200">
        <f>'прил9 (ведом 23)'!M80</f>
        <v>1834.6999999999998</v>
      </c>
    </row>
    <row r="563" spans="1:8" ht="90" x14ac:dyDescent="0.35">
      <c r="A563" s="367"/>
      <c r="B563" s="498" t="s">
        <v>604</v>
      </c>
      <c r="C563" s="661" t="s">
        <v>41</v>
      </c>
      <c r="D563" s="662" t="s">
        <v>45</v>
      </c>
      <c r="E563" s="662" t="s">
        <v>592</v>
      </c>
      <c r="F563" s="663" t="s">
        <v>44</v>
      </c>
      <c r="G563" s="10"/>
      <c r="H563" s="200">
        <f>H564+H568</f>
        <v>42752.80999999999</v>
      </c>
    </row>
    <row r="564" spans="1:8" ht="36" x14ac:dyDescent="0.35">
      <c r="A564" s="367"/>
      <c r="B564" s="531" t="s">
        <v>466</v>
      </c>
      <c r="C564" s="661" t="s">
        <v>41</v>
      </c>
      <c r="D564" s="662" t="s">
        <v>45</v>
      </c>
      <c r="E564" s="662" t="s">
        <v>592</v>
      </c>
      <c r="F564" s="663" t="s">
        <v>91</v>
      </c>
      <c r="G564" s="10"/>
      <c r="H564" s="200">
        <f>SUM(H565:H567)</f>
        <v>41345.609999999993</v>
      </c>
    </row>
    <row r="565" spans="1:8" ht="90" x14ac:dyDescent="0.35">
      <c r="A565" s="367"/>
      <c r="B565" s="498" t="s">
        <v>49</v>
      </c>
      <c r="C565" s="661" t="s">
        <v>41</v>
      </c>
      <c r="D565" s="662" t="s">
        <v>45</v>
      </c>
      <c r="E565" s="662" t="s">
        <v>592</v>
      </c>
      <c r="F565" s="663" t="s">
        <v>91</v>
      </c>
      <c r="G565" s="10" t="s">
        <v>50</v>
      </c>
      <c r="H565" s="200">
        <f>'прил9 (ведом 23)'!M83</f>
        <v>29040.3</v>
      </c>
    </row>
    <row r="566" spans="1:8" ht="36" x14ac:dyDescent="0.35">
      <c r="A566" s="367"/>
      <c r="B566" s="498" t="s">
        <v>55</v>
      </c>
      <c r="C566" s="661" t="s">
        <v>41</v>
      </c>
      <c r="D566" s="662" t="s">
        <v>45</v>
      </c>
      <c r="E566" s="662" t="s">
        <v>592</v>
      </c>
      <c r="F566" s="663" t="s">
        <v>91</v>
      </c>
      <c r="G566" s="10" t="s">
        <v>56</v>
      </c>
      <c r="H566" s="200">
        <f>'прил9 (ведом 23)'!M84</f>
        <v>12233.109999999999</v>
      </c>
    </row>
    <row r="567" spans="1:8" ht="18" x14ac:dyDescent="0.35">
      <c r="A567" s="367"/>
      <c r="B567" s="498" t="s">
        <v>57</v>
      </c>
      <c r="C567" s="661" t="s">
        <v>41</v>
      </c>
      <c r="D567" s="662" t="s">
        <v>45</v>
      </c>
      <c r="E567" s="662" t="s">
        <v>592</v>
      </c>
      <c r="F567" s="663" t="s">
        <v>91</v>
      </c>
      <c r="G567" s="10" t="s">
        <v>58</v>
      </c>
      <c r="H567" s="200">
        <f>'прил9 (ведом 23)'!M85</f>
        <v>72.2</v>
      </c>
    </row>
    <row r="568" spans="1:8" ht="18" x14ac:dyDescent="0.35">
      <c r="A568" s="367"/>
      <c r="B568" s="498" t="s">
        <v>467</v>
      </c>
      <c r="C568" s="661" t="s">
        <v>41</v>
      </c>
      <c r="D568" s="662" t="s">
        <v>45</v>
      </c>
      <c r="E568" s="662" t="s">
        <v>592</v>
      </c>
      <c r="F568" s="663" t="s">
        <v>384</v>
      </c>
      <c r="G568" s="10"/>
      <c r="H568" s="200">
        <f>H569</f>
        <v>1407.1999999999998</v>
      </c>
    </row>
    <row r="569" spans="1:8" ht="36" x14ac:dyDescent="0.35">
      <c r="A569" s="367"/>
      <c r="B569" s="498" t="s">
        <v>55</v>
      </c>
      <c r="C569" s="661" t="s">
        <v>41</v>
      </c>
      <c r="D569" s="662" t="s">
        <v>45</v>
      </c>
      <c r="E569" s="662" t="s">
        <v>592</v>
      </c>
      <c r="F569" s="663" t="s">
        <v>384</v>
      </c>
      <c r="G569" s="10" t="s">
        <v>56</v>
      </c>
      <c r="H569" s="200">
        <f>'прил9 (ведом 23)'!M87</f>
        <v>1407.1999999999998</v>
      </c>
    </row>
    <row r="570" spans="1:8" ht="18" x14ac:dyDescent="0.35">
      <c r="A570" s="367"/>
      <c r="B570" s="494"/>
      <c r="C570" s="192"/>
      <c r="D570" s="192"/>
      <c r="E570" s="192"/>
      <c r="F570" s="193"/>
      <c r="G570" s="28"/>
      <c r="H570" s="200"/>
    </row>
    <row r="571" spans="1:8" ht="52.2" x14ac:dyDescent="0.3">
      <c r="A571" s="357">
        <v>16</v>
      </c>
      <c r="B571" s="516" t="s">
        <v>233</v>
      </c>
      <c r="C571" s="358" t="s">
        <v>234</v>
      </c>
      <c r="D571" s="358" t="s">
        <v>42</v>
      </c>
      <c r="E571" s="358" t="s">
        <v>43</v>
      </c>
      <c r="F571" s="359" t="s">
        <v>44</v>
      </c>
      <c r="G571" s="351"/>
      <c r="H571" s="238">
        <f>H572</f>
        <v>0</v>
      </c>
    </row>
    <row r="572" spans="1:8" ht="18" x14ac:dyDescent="0.35">
      <c r="A572" s="343"/>
      <c r="B572" s="494" t="s">
        <v>344</v>
      </c>
      <c r="C572" s="191" t="s">
        <v>234</v>
      </c>
      <c r="D572" s="192" t="s">
        <v>45</v>
      </c>
      <c r="E572" s="192" t="s">
        <v>43</v>
      </c>
      <c r="F572" s="193" t="s">
        <v>44</v>
      </c>
      <c r="G572" s="28"/>
      <c r="H572" s="200">
        <f>H573</f>
        <v>0</v>
      </c>
    </row>
    <row r="573" spans="1:8" ht="126" x14ac:dyDescent="0.35">
      <c r="A573" s="343"/>
      <c r="B573" s="494" t="s">
        <v>741</v>
      </c>
      <c r="C573" s="191" t="s">
        <v>234</v>
      </c>
      <c r="D573" s="192" t="s">
        <v>45</v>
      </c>
      <c r="E573" s="192" t="s">
        <v>37</v>
      </c>
      <c r="F573" s="193" t="s">
        <v>44</v>
      </c>
      <c r="G573" s="28"/>
      <c r="H573" s="200">
        <f>H574</f>
        <v>0</v>
      </c>
    </row>
    <row r="574" spans="1:8" ht="36" x14ac:dyDescent="0.35">
      <c r="A574" s="343"/>
      <c r="B574" s="494" t="s">
        <v>235</v>
      </c>
      <c r="C574" s="191" t="s">
        <v>234</v>
      </c>
      <c r="D574" s="192" t="s">
        <v>45</v>
      </c>
      <c r="E574" s="192" t="s">
        <v>37</v>
      </c>
      <c r="F574" s="193" t="s">
        <v>285</v>
      </c>
      <c r="G574" s="28"/>
      <c r="H574" s="200">
        <f>H575</f>
        <v>0</v>
      </c>
    </row>
    <row r="575" spans="1:8" ht="36" x14ac:dyDescent="0.35">
      <c r="A575" s="343"/>
      <c r="B575" s="494" t="s">
        <v>76</v>
      </c>
      <c r="C575" s="191" t="s">
        <v>234</v>
      </c>
      <c r="D575" s="192" t="s">
        <v>45</v>
      </c>
      <c r="E575" s="192" t="s">
        <v>37</v>
      </c>
      <c r="F575" s="193" t="s">
        <v>285</v>
      </c>
      <c r="G575" s="28" t="s">
        <v>77</v>
      </c>
      <c r="H575" s="200">
        <f>'прил9 (ведом 23)'!M520</f>
        <v>0</v>
      </c>
    </row>
    <row r="576" spans="1:8" ht="18" x14ac:dyDescent="0.35">
      <c r="A576" s="367"/>
      <c r="B576" s="494"/>
      <c r="C576" s="192"/>
      <c r="D576" s="192"/>
      <c r="E576" s="192"/>
      <c r="F576" s="192"/>
      <c r="G576" s="28"/>
      <c r="H576" s="200"/>
    </row>
    <row r="577" spans="1:8" ht="34.799999999999997" x14ac:dyDescent="0.3">
      <c r="A577" s="357">
        <v>17</v>
      </c>
      <c r="B577" s="532" t="s">
        <v>130</v>
      </c>
      <c r="C577" s="358" t="s">
        <v>131</v>
      </c>
      <c r="D577" s="358" t="s">
        <v>42</v>
      </c>
      <c r="E577" s="358" t="s">
        <v>43</v>
      </c>
      <c r="F577" s="358" t="s">
        <v>44</v>
      </c>
      <c r="G577" s="351"/>
      <c r="H577" s="238">
        <f>H578</f>
        <v>6829.7999999999984</v>
      </c>
    </row>
    <row r="578" spans="1:8" ht="36" x14ac:dyDescent="0.35">
      <c r="A578" s="343"/>
      <c r="B578" s="533" t="s">
        <v>132</v>
      </c>
      <c r="C578" s="191" t="s">
        <v>131</v>
      </c>
      <c r="D578" s="192" t="s">
        <v>45</v>
      </c>
      <c r="E578" s="192" t="s">
        <v>43</v>
      </c>
      <c r="F578" s="193" t="s">
        <v>44</v>
      </c>
      <c r="G578" s="28"/>
      <c r="H578" s="200">
        <f>H579+H585+H583</f>
        <v>6829.7999999999984</v>
      </c>
    </row>
    <row r="579" spans="1:8" ht="36" x14ac:dyDescent="0.35">
      <c r="A579" s="343"/>
      <c r="B579" s="494" t="s">
        <v>47</v>
      </c>
      <c r="C579" s="191" t="s">
        <v>131</v>
      </c>
      <c r="D579" s="192" t="s">
        <v>45</v>
      </c>
      <c r="E579" s="192" t="s">
        <v>43</v>
      </c>
      <c r="F579" s="193" t="s">
        <v>48</v>
      </c>
      <c r="G579" s="28"/>
      <c r="H579" s="200">
        <f>H580+H581+H582</f>
        <v>5667.7069999999985</v>
      </c>
    </row>
    <row r="580" spans="1:8" ht="90" x14ac:dyDescent="0.35">
      <c r="A580" s="343"/>
      <c r="B580" s="510" t="s">
        <v>49</v>
      </c>
      <c r="C580" s="191" t="s">
        <v>131</v>
      </c>
      <c r="D580" s="192" t="s">
        <v>45</v>
      </c>
      <c r="E580" s="192" t="s">
        <v>43</v>
      </c>
      <c r="F580" s="193" t="s">
        <v>48</v>
      </c>
      <c r="G580" s="28" t="s">
        <v>50</v>
      </c>
      <c r="H580" s="200">
        <f>'прил9 (ведом 23)'!M345</f>
        <v>5302.7826999999988</v>
      </c>
    </row>
    <row r="581" spans="1:8" ht="36" x14ac:dyDescent="0.35">
      <c r="A581" s="343"/>
      <c r="B581" s="494" t="s">
        <v>55</v>
      </c>
      <c r="C581" s="191" t="s">
        <v>131</v>
      </c>
      <c r="D581" s="192" t="s">
        <v>45</v>
      </c>
      <c r="E581" s="192" t="s">
        <v>43</v>
      </c>
      <c r="F581" s="193" t="s">
        <v>48</v>
      </c>
      <c r="G581" s="28" t="s">
        <v>56</v>
      </c>
      <c r="H581" s="200">
        <f>'прил9 (ведом 23)'!M346</f>
        <v>345.92430000000002</v>
      </c>
    </row>
    <row r="582" spans="1:8" ht="18" x14ac:dyDescent="0.35">
      <c r="A582" s="343"/>
      <c r="B582" s="494" t="s">
        <v>57</v>
      </c>
      <c r="C582" s="191" t="s">
        <v>131</v>
      </c>
      <c r="D582" s="192" t="s">
        <v>45</v>
      </c>
      <c r="E582" s="192" t="s">
        <v>43</v>
      </c>
      <c r="F582" s="193" t="s">
        <v>48</v>
      </c>
      <c r="G582" s="28" t="s">
        <v>58</v>
      </c>
      <c r="H582" s="200">
        <f>'прил9 (ведом 23)'!M347</f>
        <v>19</v>
      </c>
    </row>
    <row r="583" spans="1:8" ht="36" x14ac:dyDescent="0.35">
      <c r="A583" s="343"/>
      <c r="B583" s="495" t="s">
        <v>540</v>
      </c>
      <c r="C583" s="661" t="s">
        <v>131</v>
      </c>
      <c r="D583" s="662" t="s">
        <v>45</v>
      </c>
      <c r="E583" s="662" t="s">
        <v>43</v>
      </c>
      <c r="F583" s="662" t="s">
        <v>539</v>
      </c>
      <c r="G583" s="10"/>
      <c r="H583" s="200">
        <f>H584</f>
        <v>39.893000000000001</v>
      </c>
    </row>
    <row r="584" spans="1:8" ht="36" x14ac:dyDescent="0.35">
      <c r="A584" s="343"/>
      <c r="B584" s="495" t="s">
        <v>55</v>
      </c>
      <c r="C584" s="661" t="s">
        <v>131</v>
      </c>
      <c r="D584" s="662" t="s">
        <v>45</v>
      </c>
      <c r="E584" s="662" t="s">
        <v>43</v>
      </c>
      <c r="F584" s="662" t="s">
        <v>539</v>
      </c>
      <c r="G584" s="486" t="s">
        <v>56</v>
      </c>
      <c r="H584" s="200">
        <f>'прил9 (ведом 23)'!M355</f>
        <v>39.893000000000001</v>
      </c>
    </row>
    <row r="585" spans="1:8" ht="36" x14ac:dyDescent="0.35">
      <c r="A585" s="343"/>
      <c r="B585" s="494" t="s">
        <v>236</v>
      </c>
      <c r="C585" s="191" t="s">
        <v>131</v>
      </c>
      <c r="D585" s="192" t="s">
        <v>45</v>
      </c>
      <c r="E585" s="192" t="s">
        <v>43</v>
      </c>
      <c r="F585" s="193" t="s">
        <v>133</v>
      </c>
      <c r="G585" s="28"/>
      <c r="H585" s="200">
        <f>SUM(H586:H586)</f>
        <v>1122.2</v>
      </c>
    </row>
    <row r="586" spans="1:8" ht="90" x14ac:dyDescent="0.35">
      <c r="A586" s="343"/>
      <c r="B586" s="494" t="s">
        <v>49</v>
      </c>
      <c r="C586" s="191" t="s">
        <v>131</v>
      </c>
      <c r="D586" s="192" t="s">
        <v>45</v>
      </c>
      <c r="E586" s="192" t="s">
        <v>43</v>
      </c>
      <c r="F586" s="193" t="s">
        <v>133</v>
      </c>
      <c r="G586" s="28" t="s">
        <v>50</v>
      </c>
      <c r="H586" s="200">
        <f>'прил9 (ведом 23)'!M349</f>
        <v>1122.2</v>
      </c>
    </row>
    <row r="587" spans="1:8" ht="18" x14ac:dyDescent="0.35">
      <c r="A587" s="343"/>
      <c r="B587" s="495"/>
      <c r="C587" s="662"/>
      <c r="D587" s="662"/>
      <c r="E587" s="662"/>
      <c r="F587" s="662"/>
      <c r="G587" s="486"/>
      <c r="H587" s="200"/>
    </row>
    <row r="588" spans="1:8" ht="87.6" x14ac:dyDescent="0.35">
      <c r="A588" s="357">
        <v>18</v>
      </c>
      <c r="B588" s="624" t="s">
        <v>681</v>
      </c>
      <c r="C588" s="397" t="s">
        <v>682</v>
      </c>
      <c r="D588" s="398" t="s">
        <v>42</v>
      </c>
      <c r="E588" s="398" t="s">
        <v>43</v>
      </c>
      <c r="F588" s="399" t="s">
        <v>44</v>
      </c>
      <c r="G588" s="222"/>
      <c r="H588" s="238">
        <f>H589</f>
        <v>33999.271999999997</v>
      </c>
    </row>
    <row r="589" spans="1:8" ht="90" x14ac:dyDescent="0.35">
      <c r="A589" s="343"/>
      <c r="B589" s="625" t="s">
        <v>683</v>
      </c>
      <c r="C589" s="191" t="s">
        <v>682</v>
      </c>
      <c r="D589" s="192" t="s">
        <v>89</v>
      </c>
      <c r="E589" s="192" t="s">
        <v>43</v>
      </c>
      <c r="F589" s="193" t="s">
        <v>44</v>
      </c>
      <c r="G589" s="28"/>
      <c r="H589" s="200">
        <f>H590+H593+H596+H599+H602+H605+H608+H611+H614+H619+H622+H625+H628+H631+H634+H637+H640+H643+H646</f>
        <v>33999.271999999997</v>
      </c>
    </row>
    <row r="590" spans="1:8" ht="108" x14ac:dyDescent="0.35">
      <c r="A590" s="343"/>
      <c r="B590" s="625" t="s">
        <v>686</v>
      </c>
      <c r="C590" s="191" t="s">
        <v>682</v>
      </c>
      <c r="D590" s="192" t="s">
        <v>89</v>
      </c>
      <c r="E590" s="192" t="s">
        <v>37</v>
      </c>
      <c r="F590" s="193" t="s">
        <v>44</v>
      </c>
      <c r="G590" s="28"/>
      <c r="H590" s="200">
        <f>H591</f>
        <v>11752.900000000001</v>
      </c>
    </row>
    <row r="591" spans="1:8" ht="72" x14ac:dyDescent="0.35">
      <c r="A591" s="343"/>
      <c r="B591" s="625" t="s">
        <v>685</v>
      </c>
      <c r="C591" s="191" t="s">
        <v>682</v>
      </c>
      <c r="D591" s="192" t="s">
        <v>89</v>
      </c>
      <c r="E591" s="192" t="s">
        <v>37</v>
      </c>
      <c r="F591" s="193" t="s">
        <v>684</v>
      </c>
      <c r="G591" s="28"/>
      <c r="H591" s="200">
        <f>H592</f>
        <v>11752.900000000001</v>
      </c>
    </row>
    <row r="592" spans="1:8" ht="18" x14ac:dyDescent="0.35">
      <c r="A592" s="343"/>
      <c r="B592" s="625" t="s">
        <v>123</v>
      </c>
      <c r="C592" s="191" t="s">
        <v>682</v>
      </c>
      <c r="D592" s="192" t="s">
        <v>89</v>
      </c>
      <c r="E592" s="192" t="s">
        <v>37</v>
      </c>
      <c r="F592" s="193" t="s">
        <v>684</v>
      </c>
      <c r="G592" s="28" t="s">
        <v>124</v>
      </c>
      <c r="H592" s="200">
        <f>'прил9 (ведом 23)'!M234</f>
        <v>11752.900000000001</v>
      </c>
    </row>
    <row r="593" spans="1:8" ht="54" x14ac:dyDescent="0.35">
      <c r="A593" s="343"/>
      <c r="B593" s="625" t="s">
        <v>709</v>
      </c>
      <c r="C593" s="192" t="s">
        <v>682</v>
      </c>
      <c r="D593" s="192" t="s">
        <v>89</v>
      </c>
      <c r="E593" s="192" t="s">
        <v>39</v>
      </c>
      <c r="F593" s="192" t="s">
        <v>44</v>
      </c>
      <c r="G593" s="28"/>
      <c r="H593" s="200">
        <f>H594</f>
        <v>2699</v>
      </c>
    </row>
    <row r="594" spans="1:8" ht="72" x14ac:dyDescent="0.35">
      <c r="A594" s="343"/>
      <c r="B594" s="625" t="s">
        <v>685</v>
      </c>
      <c r="C594" s="192" t="s">
        <v>682</v>
      </c>
      <c r="D594" s="192" t="s">
        <v>89</v>
      </c>
      <c r="E594" s="192" t="s">
        <v>39</v>
      </c>
      <c r="F594" s="192" t="s">
        <v>684</v>
      </c>
      <c r="G594" s="28"/>
      <c r="H594" s="200">
        <f>H595</f>
        <v>2699</v>
      </c>
    </row>
    <row r="595" spans="1:8" ht="18" x14ac:dyDescent="0.35">
      <c r="A595" s="343"/>
      <c r="B595" s="625" t="s">
        <v>123</v>
      </c>
      <c r="C595" s="192" t="s">
        <v>682</v>
      </c>
      <c r="D595" s="192" t="s">
        <v>89</v>
      </c>
      <c r="E595" s="192" t="s">
        <v>39</v>
      </c>
      <c r="F595" s="192" t="s">
        <v>684</v>
      </c>
      <c r="G595" s="28" t="s">
        <v>124</v>
      </c>
      <c r="H595" s="200">
        <f>'прил9 (ведом 23)'!M237</f>
        <v>2699</v>
      </c>
    </row>
    <row r="596" spans="1:8" ht="108" x14ac:dyDescent="0.35">
      <c r="A596" s="343"/>
      <c r="B596" s="498" t="s">
        <v>720</v>
      </c>
      <c r="C596" s="661" t="s">
        <v>682</v>
      </c>
      <c r="D596" s="662" t="s">
        <v>89</v>
      </c>
      <c r="E596" s="662" t="s">
        <v>63</v>
      </c>
      <c r="F596" s="663" t="s">
        <v>44</v>
      </c>
      <c r="G596" s="256"/>
      <c r="H596" s="200">
        <f>H597</f>
        <v>250</v>
      </c>
    </row>
    <row r="597" spans="1:8" ht="72" x14ac:dyDescent="0.35">
      <c r="A597" s="343"/>
      <c r="B597" s="626" t="s">
        <v>685</v>
      </c>
      <c r="C597" s="661" t="s">
        <v>682</v>
      </c>
      <c r="D597" s="662" t="s">
        <v>89</v>
      </c>
      <c r="E597" s="662" t="s">
        <v>63</v>
      </c>
      <c r="F597" s="663" t="s">
        <v>684</v>
      </c>
      <c r="G597" s="256"/>
      <c r="H597" s="200">
        <f>H598</f>
        <v>250</v>
      </c>
    </row>
    <row r="598" spans="1:8" ht="18" x14ac:dyDescent="0.35">
      <c r="A598" s="343"/>
      <c r="B598" s="498" t="s">
        <v>123</v>
      </c>
      <c r="C598" s="661" t="s">
        <v>682</v>
      </c>
      <c r="D598" s="662" t="s">
        <v>89</v>
      </c>
      <c r="E598" s="662" t="s">
        <v>63</v>
      </c>
      <c r="F598" s="663" t="s">
        <v>684</v>
      </c>
      <c r="G598" s="256">
        <v>500</v>
      </c>
      <c r="H598" s="200">
        <f>'прил9 (ведом 23)'!M240</f>
        <v>250</v>
      </c>
    </row>
    <row r="599" spans="1:8" ht="90" x14ac:dyDescent="0.35">
      <c r="A599" s="343"/>
      <c r="B599" s="498" t="s">
        <v>723</v>
      </c>
      <c r="C599" s="661" t="s">
        <v>682</v>
      </c>
      <c r="D599" s="662" t="s">
        <v>89</v>
      </c>
      <c r="E599" s="662" t="s">
        <v>52</v>
      </c>
      <c r="F599" s="663" t="s">
        <v>44</v>
      </c>
      <c r="G599" s="256"/>
      <c r="H599" s="200">
        <f>H600</f>
        <v>5950</v>
      </c>
    </row>
    <row r="600" spans="1:8" ht="72" x14ac:dyDescent="0.35">
      <c r="A600" s="343"/>
      <c r="B600" s="626" t="s">
        <v>685</v>
      </c>
      <c r="C600" s="661" t="s">
        <v>682</v>
      </c>
      <c r="D600" s="662" t="s">
        <v>89</v>
      </c>
      <c r="E600" s="662" t="s">
        <v>52</v>
      </c>
      <c r="F600" s="663" t="s">
        <v>684</v>
      </c>
      <c r="G600" s="256"/>
      <c r="H600" s="200">
        <f>H601</f>
        <v>5950</v>
      </c>
    </row>
    <row r="601" spans="1:8" ht="18" x14ac:dyDescent="0.35">
      <c r="A601" s="343"/>
      <c r="B601" s="498" t="s">
        <v>123</v>
      </c>
      <c r="C601" s="661" t="s">
        <v>682</v>
      </c>
      <c r="D601" s="662" t="s">
        <v>89</v>
      </c>
      <c r="E601" s="662" t="s">
        <v>52</v>
      </c>
      <c r="F601" s="663" t="s">
        <v>684</v>
      </c>
      <c r="G601" s="256">
        <v>500</v>
      </c>
      <c r="H601" s="200">
        <f>'прил9 (ведом 23)'!M243</f>
        <v>5950</v>
      </c>
    </row>
    <row r="602" spans="1:8" ht="72" x14ac:dyDescent="0.35">
      <c r="A602" s="343"/>
      <c r="B602" s="498" t="s">
        <v>736</v>
      </c>
      <c r="C602" s="661" t="s">
        <v>682</v>
      </c>
      <c r="D602" s="662" t="s">
        <v>89</v>
      </c>
      <c r="E602" s="662" t="s">
        <v>65</v>
      </c>
      <c r="F602" s="663" t="s">
        <v>44</v>
      </c>
      <c r="G602" s="256"/>
      <c r="H602" s="200">
        <f>H603</f>
        <v>590</v>
      </c>
    </row>
    <row r="603" spans="1:8" ht="72" x14ac:dyDescent="0.35">
      <c r="A603" s="343"/>
      <c r="B603" s="626" t="s">
        <v>685</v>
      </c>
      <c r="C603" s="661" t="s">
        <v>682</v>
      </c>
      <c r="D603" s="662" t="s">
        <v>89</v>
      </c>
      <c r="E603" s="662" t="s">
        <v>65</v>
      </c>
      <c r="F603" s="663" t="s">
        <v>684</v>
      </c>
      <c r="G603" s="256"/>
      <c r="H603" s="200">
        <f>H604</f>
        <v>590</v>
      </c>
    </row>
    <row r="604" spans="1:8" ht="18" x14ac:dyDescent="0.35">
      <c r="A604" s="343"/>
      <c r="B604" s="498" t="s">
        <v>123</v>
      </c>
      <c r="C604" s="661" t="s">
        <v>682</v>
      </c>
      <c r="D604" s="662" t="s">
        <v>89</v>
      </c>
      <c r="E604" s="662" t="s">
        <v>65</v>
      </c>
      <c r="F604" s="663" t="s">
        <v>684</v>
      </c>
      <c r="G604" s="256">
        <v>500</v>
      </c>
      <c r="H604" s="200">
        <f>'прил9 (ведом 23)'!M246</f>
        <v>590</v>
      </c>
    </row>
    <row r="605" spans="1:8" ht="72" x14ac:dyDescent="0.35">
      <c r="A605" s="343"/>
      <c r="B605" s="543" t="s">
        <v>735</v>
      </c>
      <c r="C605" s="661" t="s">
        <v>682</v>
      </c>
      <c r="D605" s="662" t="s">
        <v>89</v>
      </c>
      <c r="E605" s="662" t="s">
        <v>81</v>
      </c>
      <c r="F605" s="663" t="s">
        <v>44</v>
      </c>
      <c r="G605" s="256"/>
      <c r="H605" s="200">
        <f>H606</f>
        <v>614.27200000000005</v>
      </c>
    </row>
    <row r="606" spans="1:8" ht="36" x14ac:dyDescent="0.35">
      <c r="A606" s="343"/>
      <c r="B606" s="543" t="s">
        <v>449</v>
      </c>
      <c r="C606" s="661" t="s">
        <v>682</v>
      </c>
      <c r="D606" s="662" t="s">
        <v>89</v>
      </c>
      <c r="E606" s="662" t="s">
        <v>81</v>
      </c>
      <c r="F606" s="663" t="s">
        <v>69</v>
      </c>
      <c r="G606" s="256"/>
      <c r="H606" s="200">
        <f>H607</f>
        <v>614.27200000000005</v>
      </c>
    </row>
    <row r="607" spans="1:8" ht="36" x14ac:dyDescent="0.35">
      <c r="A607" s="343"/>
      <c r="B607" s="543" t="s">
        <v>55</v>
      </c>
      <c r="C607" s="661" t="s">
        <v>682</v>
      </c>
      <c r="D607" s="662" t="s">
        <v>89</v>
      </c>
      <c r="E607" s="662" t="s">
        <v>81</v>
      </c>
      <c r="F607" s="663" t="s">
        <v>69</v>
      </c>
      <c r="G607" s="256">
        <v>200</v>
      </c>
      <c r="H607" s="200">
        <f>'прил9 (ведом 23)'!M409</f>
        <v>614.27200000000005</v>
      </c>
    </row>
    <row r="608" spans="1:8" ht="72" x14ac:dyDescent="0.35">
      <c r="A608" s="343"/>
      <c r="B608" s="498" t="s">
        <v>742</v>
      </c>
      <c r="C608" s="661" t="s">
        <v>682</v>
      </c>
      <c r="D608" s="662" t="s">
        <v>89</v>
      </c>
      <c r="E608" s="662" t="s">
        <v>224</v>
      </c>
      <c r="F608" s="663" t="s">
        <v>44</v>
      </c>
      <c r="G608" s="256"/>
      <c r="H608" s="200">
        <f>H609</f>
        <v>569.1</v>
      </c>
    </row>
    <row r="609" spans="1:8" ht="72" x14ac:dyDescent="0.35">
      <c r="A609" s="343"/>
      <c r="B609" s="626" t="s">
        <v>685</v>
      </c>
      <c r="C609" s="661" t="s">
        <v>682</v>
      </c>
      <c r="D609" s="662" t="s">
        <v>89</v>
      </c>
      <c r="E609" s="662" t="s">
        <v>224</v>
      </c>
      <c r="F609" s="663" t="s">
        <v>684</v>
      </c>
      <c r="G609" s="256"/>
      <c r="H609" s="200">
        <f>H610</f>
        <v>569.1</v>
      </c>
    </row>
    <row r="610" spans="1:8" ht="18" x14ac:dyDescent="0.35">
      <c r="A610" s="343"/>
      <c r="B610" s="498" t="s">
        <v>123</v>
      </c>
      <c r="C610" s="661" t="s">
        <v>682</v>
      </c>
      <c r="D610" s="662" t="s">
        <v>89</v>
      </c>
      <c r="E610" s="662" t="s">
        <v>224</v>
      </c>
      <c r="F610" s="663" t="s">
        <v>684</v>
      </c>
      <c r="G610" s="256">
        <v>500</v>
      </c>
      <c r="H610" s="200">
        <f>'прил9 (ведом 23)'!M249</f>
        <v>569.1</v>
      </c>
    </row>
    <row r="611" spans="1:8" ht="54" x14ac:dyDescent="0.35">
      <c r="A611" s="343"/>
      <c r="B611" s="498" t="s">
        <v>746</v>
      </c>
      <c r="C611" s="661" t="s">
        <v>682</v>
      </c>
      <c r="D611" s="662" t="s">
        <v>89</v>
      </c>
      <c r="E611" s="662" t="s">
        <v>226</v>
      </c>
      <c r="F611" s="663" t="s">
        <v>44</v>
      </c>
      <c r="G611" s="256"/>
      <c r="H611" s="200">
        <f>H612</f>
        <v>245</v>
      </c>
    </row>
    <row r="612" spans="1:8" ht="72" x14ac:dyDescent="0.35">
      <c r="A612" s="343"/>
      <c r="B612" s="626" t="s">
        <v>685</v>
      </c>
      <c r="C612" s="661" t="s">
        <v>682</v>
      </c>
      <c r="D612" s="662" t="s">
        <v>89</v>
      </c>
      <c r="E612" s="662" t="s">
        <v>226</v>
      </c>
      <c r="F612" s="663" t="s">
        <v>684</v>
      </c>
      <c r="G612" s="256"/>
      <c r="H612" s="200">
        <f>H613</f>
        <v>245</v>
      </c>
    </row>
    <row r="613" spans="1:8" ht="18" x14ac:dyDescent="0.35">
      <c r="A613" s="343"/>
      <c r="B613" s="498" t="s">
        <v>123</v>
      </c>
      <c r="C613" s="661" t="s">
        <v>682</v>
      </c>
      <c r="D613" s="662" t="s">
        <v>89</v>
      </c>
      <c r="E613" s="662" t="s">
        <v>226</v>
      </c>
      <c r="F613" s="663" t="s">
        <v>684</v>
      </c>
      <c r="G613" s="256">
        <v>500</v>
      </c>
      <c r="H613" s="200">
        <f>'прил9 (ведом 23)'!M252</f>
        <v>245</v>
      </c>
    </row>
    <row r="614" spans="1:8" ht="72" x14ac:dyDescent="0.35">
      <c r="A614" s="343"/>
      <c r="B614" s="498" t="s">
        <v>747</v>
      </c>
      <c r="C614" s="661" t="s">
        <v>682</v>
      </c>
      <c r="D614" s="662" t="s">
        <v>89</v>
      </c>
      <c r="E614" s="662" t="s">
        <v>79</v>
      </c>
      <c r="F614" s="663" t="s">
        <v>44</v>
      </c>
      <c r="G614" s="256"/>
      <c r="H614" s="200">
        <f>H615</f>
        <v>530</v>
      </c>
    </row>
    <row r="615" spans="1:8" ht="72" x14ac:dyDescent="0.35">
      <c r="A615" s="343"/>
      <c r="B615" s="626" t="s">
        <v>685</v>
      </c>
      <c r="C615" s="661" t="s">
        <v>682</v>
      </c>
      <c r="D615" s="662" t="s">
        <v>89</v>
      </c>
      <c r="E615" s="662" t="s">
        <v>79</v>
      </c>
      <c r="F615" s="663" t="s">
        <v>684</v>
      </c>
      <c r="G615" s="256"/>
      <c r="H615" s="200">
        <f>H616</f>
        <v>530</v>
      </c>
    </row>
    <row r="616" spans="1:8" ht="18" x14ac:dyDescent="0.35">
      <c r="A616" s="343"/>
      <c r="B616" s="498" t="s">
        <v>123</v>
      </c>
      <c r="C616" s="661" t="s">
        <v>682</v>
      </c>
      <c r="D616" s="662" t="s">
        <v>89</v>
      </c>
      <c r="E616" s="662" t="s">
        <v>79</v>
      </c>
      <c r="F616" s="663" t="s">
        <v>684</v>
      </c>
      <c r="G616" s="256">
        <v>500</v>
      </c>
      <c r="H616" s="200">
        <f>'прил9 (ведом 23)'!M255</f>
        <v>530</v>
      </c>
    </row>
    <row r="617" spans="1:8" ht="54" x14ac:dyDescent="0.35">
      <c r="A617" s="343"/>
      <c r="B617" s="498" t="s">
        <v>750</v>
      </c>
      <c r="C617" s="661" t="s">
        <v>682</v>
      </c>
      <c r="D617" s="662" t="s">
        <v>89</v>
      </c>
      <c r="E617" s="662" t="s">
        <v>104</v>
      </c>
      <c r="F617" s="663" t="s">
        <v>44</v>
      </c>
      <c r="G617" s="256"/>
      <c r="H617" s="200">
        <f>H618</f>
        <v>1400</v>
      </c>
    </row>
    <row r="618" spans="1:8" ht="72" x14ac:dyDescent="0.35">
      <c r="A618" s="343"/>
      <c r="B618" s="626" t="s">
        <v>685</v>
      </c>
      <c r="C618" s="661" t="s">
        <v>682</v>
      </c>
      <c r="D618" s="662" t="s">
        <v>89</v>
      </c>
      <c r="E618" s="662" t="s">
        <v>104</v>
      </c>
      <c r="F618" s="663" t="s">
        <v>684</v>
      </c>
      <c r="G618" s="256"/>
      <c r="H618" s="200">
        <f>H619</f>
        <v>1400</v>
      </c>
    </row>
    <row r="619" spans="1:8" ht="18" x14ac:dyDescent="0.35">
      <c r="A619" s="343"/>
      <c r="B619" s="498" t="s">
        <v>123</v>
      </c>
      <c r="C619" s="661" t="s">
        <v>682</v>
      </c>
      <c r="D619" s="662" t="s">
        <v>89</v>
      </c>
      <c r="E619" s="662" t="s">
        <v>104</v>
      </c>
      <c r="F619" s="663" t="s">
        <v>684</v>
      </c>
      <c r="G619" s="256">
        <v>500</v>
      </c>
      <c r="H619" s="200">
        <f>'прил9 (ведом 23)'!M258</f>
        <v>1400</v>
      </c>
    </row>
    <row r="620" spans="1:8" ht="72" x14ac:dyDescent="0.35">
      <c r="A620" s="343"/>
      <c r="B620" s="498" t="s">
        <v>751</v>
      </c>
      <c r="C620" s="661" t="s">
        <v>682</v>
      </c>
      <c r="D620" s="662" t="s">
        <v>89</v>
      </c>
      <c r="E620" s="662" t="s">
        <v>67</v>
      </c>
      <c r="F620" s="663" t="s">
        <v>44</v>
      </c>
      <c r="G620" s="256"/>
      <c r="H620" s="200">
        <f>H621</f>
        <v>2800</v>
      </c>
    </row>
    <row r="621" spans="1:8" ht="72" x14ac:dyDescent="0.35">
      <c r="A621" s="343"/>
      <c r="B621" s="626" t="s">
        <v>685</v>
      </c>
      <c r="C621" s="661" t="s">
        <v>682</v>
      </c>
      <c r="D621" s="662" t="s">
        <v>89</v>
      </c>
      <c r="E621" s="662" t="s">
        <v>67</v>
      </c>
      <c r="F621" s="663" t="s">
        <v>684</v>
      </c>
      <c r="G621" s="256"/>
      <c r="H621" s="200">
        <f>H622</f>
        <v>2800</v>
      </c>
    </row>
    <row r="622" spans="1:8" ht="18" x14ac:dyDescent="0.35">
      <c r="A622" s="343"/>
      <c r="B622" s="498" t="s">
        <v>123</v>
      </c>
      <c r="C622" s="661" t="s">
        <v>682</v>
      </c>
      <c r="D622" s="662" t="s">
        <v>89</v>
      </c>
      <c r="E622" s="662" t="s">
        <v>67</v>
      </c>
      <c r="F622" s="663" t="s">
        <v>684</v>
      </c>
      <c r="G622" s="256">
        <v>500</v>
      </c>
      <c r="H622" s="200">
        <f>'прил9 (ведом 23)'!M261</f>
        <v>2800</v>
      </c>
    </row>
    <row r="623" spans="1:8" ht="54" x14ac:dyDescent="0.35">
      <c r="A623" s="343"/>
      <c r="B623" s="498" t="s">
        <v>757</v>
      </c>
      <c r="C623" s="661" t="s">
        <v>682</v>
      </c>
      <c r="D623" s="662" t="s">
        <v>89</v>
      </c>
      <c r="E623" s="662" t="s">
        <v>100</v>
      </c>
      <c r="F623" s="663" t="s">
        <v>44</v>
      </c>
      <c r="G623" s="256"/>
      <c r="H623" s="200">
        <f>H624</f>
        <v>1100</v>
      </c>
    </row>
    <row r="624" spans="1:8" ht="72" x14ac:dyDescent="0.35">
      <c r="A624" s="343"/>
      <c r="B624" s="626" t="s">
        <v>685</v>
      </c>
      <c r="C624" s="661" t="s">
        <v>682</v>
      </c>
      <c r="D624" s="662" t="s">
        <v>89</v>
      </c>
      <c r="E624" s="662" t="s">
        <v>100</v>
      </c>
      <c r="F624" s="663" t="s">
        <v>684</v>
      </c>
      <c r="G624" s="256"/>
      <c r="H624" s="200">
        <f>H625</f>
        <v>1100</v>
      </c>
    </row>
    <row r="625" spans="1:8" ht="18" x14ac:dyDescent="0.35">
      <c r="A625" s="343"/>
      <c r="B625" s="498" t="s">
        <v>123</v>
      </c>
      <c r="C625" s="661" t="s">
        <v>682</v>
      </c>
      <c r="D625" s="662" t="s">
        <v>89</v>
      </c>
      <c r="E625" s="662" t="s">
        <v>100</v>
      </c>
      <c r="F625" s="663" t="s">
        <v>684</v>
      </c>
      <c r="G625" s="256">
        <v>500</v>
      </c>
      <c r="H625" s="200">
        <f>'прил9 (ведом 23)'!M264</f>
        <v>1100</v>
      </c>
    </row>
    <row r="626" spans="1:8" ht="108" x14ac:dyDescent="0.35">
      <c r="A626" s="343"/>
      <c r="B626" s="498" t="s">
        <v>758</v>
      </c>
      <c r="C626" s="661" t="s">
        <v>682</v>
      </c>
      <c r="D626" s="662" t="s">
        <v>89</v>
      </c>
      <c r="E626" s="662" t="s">
        <v>71</v>
      </c>
      <c r="F626" s="663" t="s">
        <v>44</v>
      </c>
      <c r="G626" s="256"/>
      <c r="H626" s="200">
        <f>H627</f>
        <v>900</v>
      </c>
    </row>
    <row r="627" spans="1:8" ht="72" x14ac:dyDescent="0.35">
      <c r="A627" s="343"/>
      <c r="B627" s="626" t="s">
        <v>685</v>
      </c>
      <c r="C627" s="661" t="s">
        <v>682</v>
      </c>
      <c r="D627" s="662" t="s">
        <v>89</v>
      </c>
      <c r="E627" s="662" t="s">
        <v>71</v>
      </c>
      <c r="F627" s="663" t="s">
        <v>684</v>
      </c>
      <c r="G627" s="256"/>
      <c r="H627" s="200">
        <f>H628</f>
        <v>900</v>
      </c>
    </row>
    <row r="628" spans="1:8" ht="18" x14ac:dyDescent="0.35">
      <c r="A628" s="343"/>
      <c r="B628" s="498" t="s">
        <v>123</v>
      </c>
      <c r="C628" s="661" t="s">
        <v>682</v>
      </c>
      <c r="D628" s="662" t="s">
        <v>89</v>
      </c>
      <c r="E628" s="662" t="s">
        <v>71</v>
      </c>
      <c r="F628" s="663" t="s">
        <v>684</v>
      </c>
      <c r="G628" s="256">
        <v>500</v>
      </c>
      <c r="H628" s="200">
        <f>'прил9 (ведом 23)'!M267</f>
        <v>900</v>
      </c>
    </row>
    <row r="629" spans="1:8" ht="54" x14ac:dyDescent="0.35">
      <c r="A629" s="343"/>
      <c r="B629" s="498" t="s">
        <v>763</v>
      </c>
      <c r="C629" s="661" t="s">
        <v>682</v>
      </c>
      <c r="D629" s="662" t="s">
        <v>89</v>
      </c>
      <c r="E629" s="662" t="s">
        <v>88</v>
      </c>
      <c r="F629" s="663" t="s">
        <v>44</v>
      </c>
      <c r="G629" s="256"/>
      <c r="H629" s="200">
        <f>H630</f>
        <v>599</v>
      </c>
    </row>
    <row r="630" spans="1:8" ht="72" x14ac:dyDescent="0.35">
      <c r="A630" s="343"/>
      <c r="B630" s="626" t="s">
        <v>685</v>
      </c>
      <c r="C630" s="661" t="s">
        <v>682</v>
      </c>
      <c r="D630" s="662" t="s">
        <v>89</v>
      </c>
      <c r="E630" s="662" t="s">
        <v>88</v>
      </c>
      <c r="F630" s="663" t="s">
        <v>684</v>
      </c>
      <c r="G630" s="256"/>
      <c r="H630" s="200">
        <f>H631</f>
        <v>599</v>
      </c>
    </row>
    <row r="631" spans="1:8" ht="18" x14ac:dyDescent="0.35">
      <c r="A631" s="343"/>
      <c r="B631" s="498" t="s">
        <v>123</v>
      </c>
      <c r="C631" s="661" t="s">
        <v>682</v>
      </c>
      <c r="D631" s="662" t="s">
        <v>89</v>
      </c>
      <c r="E631" s="662" t="s">
        <v>88</v>
      </c>
      <c r="F631" s="663" t="s">
        <v>684</v>
      </c>
      <c r="G631" s="256">
        <v>500</v>
      </c>
      <c r="H631" s="200">
        <f>'прил9 (ведом 23)'!M270</f>
        <v>599</v>
      </c>
    </row>
    <row r="632" spans="1:8" ht="72" x14ac:dyDescent="0.35">
      <c r="A632" s="343"/>
      <c r="B632" s="498" t="s">
        <v>764</v>
      </c>
      <c r="C632" s="661" t="s">
        <v>682</v>
      </c>
      <c r="D632" s="662" t="s">
        <v>89</v>
      </c>
      <c r="E632" s="662" t="s">
        <v>73</v>
      </c>
      <c r="F632" s="663" t="s">
        <v>44</v>
      </c>
      <c r="G632" s="256"/>
      <c r="H632" s="200">
        <f>H633</f>
        <v>1000</v>
      </c>
    </row>
    <row r="633" spans="1:8" ht="72" x14ac:dyDescent="0.35">
      <c r="A633" s="343"/>
      <c r="B633" s="626" t="s">
        <v>685</v>
      </c>
      <c r="C633" s="661" t="s">
        <v>682</v>
      </c>
      <c r="D633" s="662" t="s">
        <v>89</v>
      </c>
      <c r="E633" s="662" t="s">
        <v>73</v>
      </c>
      <c r="F633" s="663" t="s">
        <v>684</v>
      </c>
      <c r="G633" s="256"/>
      <c r="H633" s="200">
        <f>H634</f>
        <v>1000</v>
      </c>
    </row>
    <row r="634" spans="1:8" ht="18" x14ac:dyDescent="0.35">
      <c r="A634" s="343"/>
      <c r="B634" s="498" t="s">
        <v>123</v>
      </c>
      <c r="C634" s="661" t="s">
        <v>682</v>
      </c>
      <c r="D634" s="662" t="s">
        <v>89</v>
      </c>
      <c r="E634" s="662" t="s">
        <v>73</v>
      </c>
      <c r="F634" s="663" t="s">
        <v>684</v>
      </c>
      <c r="G634" s="256">
        <v>500</v>
      </c>
      <c r="H634" s="200">
        <f>'прил9 (ведом 23)'!M273</f>
        <v>1000</v>
      </c>
    </row>
    <row r="635" spans="1:8" ht="90" x14ac:dyDescent="0.35">
      <c r="A635" s="343"/>
      <c r="B635" s="498" t="s">
        <v>765</v>
      </c>
      <c r="C635" s="661" t="s">
        <v>682</v>
      </c>
      <c r="D635" s="662" t="s">
        <v>89</v>
      </c>
      <c r="E635" s="662" t="s">
        <v>762</v>
      </c>
      <c r="F635" s="663" t="s">
        <v>44</v>
      </c>
      <c r="G635" s="256"/>
      <c r="H635" s="200">
        <f>H636</f>
        <v>245</v>
      </c>
    </row>
    <row r="636" spans="1:8" ht="72" x14ac:dyDescent="0.35">
      <c r="A636" s="343"/>
      <c r="B636" s="626" t="s">
        <v>685</v>
      </c>
      <c r="C636" s="661" t="s">
        <v>682</v>
      </c>
      <c r="D636" s="662" t="s">
        <v>89</v>
      </c>
      <c r="E636" s="662" t="s">
        <v>762</v>
      </c>
      <c r="F636" s="663" t="s">
        <v>684</v>
      </c>
      <c r="G636" s="256"/>
      <c r="H636" s="200">
        <f>H637</f>
        <v>245</v>
      </c>
    </row>
    <row r="637" spans="1:8" ht="18" x14ac:dyDescent="0.35">
      <c r="A637" s="343"/>
      <c r="B637" s="498" t="s">
        <v>123</v>
      </c>
      <c r="C637" s="661" t="s">
        <v>682</v>
      </c>
      <c r="D637" s="662" t="s">
        <v>89</v>
      </c>
      <c r="E637" s="662" t="s">
        <v>762</v>
      </c>
      <c r="F637" s="663" t="s">
        <v>684</v>
      </c>
      <c r="G637" s="256">
        <v>500</v>
      </c>
      <c r="H637" s="200">
        <f>'прил9 (ведом 23)'!M276</f>
        <v>245</v>
      </c>
    </row>
    <row r="638" spans="1:8" ht="90" x14ac:dyDescent="0.35">
      <c r="A638" s="343"/>
      <c r="B638" s="498" t="s">
        <v>766</v>
      </c>
      <c r="C638" s="661" t="s">
        <v>682</v>
      </c>
      <c r="D638" s="662" t="s">
        <v>89</v>
      </c>
      <c r="E638" s="662" t="s">
        <v>41</v>
      </c>
      <c r="F638" s="663" t="s">
        <v>44</v>
      </c>
      <c r="G638" s="256"/>
      <c r="H638" s="200">
        <f>H639</f>
        <v>975</v>
      </c>
    </row>
    <row r="639" spans="1:8" ht="72" x14ac:dyDescent="0.35">
      <c r="A639" s="343"/>
      <c r="B639" s="626" t="s">
        <v>685</v>
      </c>
      <c r="C639" s="661" t="s">
        <v>682</v>
      </c>
      <c r="D639" s="662" t="s">
        <v>89</v>
      </c>
      <c r="E639" s="662" t="s">
        <v>41</v>
      </c>
      <c r="F639" s="663" t="s">
        <v>684</v>
      </c>
      <c r="G639" s="256"/>
      <c r="H639" s="200">
        <f>H640</f>
        <v>975</v>
      </c>
    </row>
    <row r="640" spans="1:8" ht="18" x14ac:dyDescent="0.35">
      <c r="A640" s="343"/>
      <c r="B640" s="498" t="s">
        <v>123</v>
      </c>
      <c r="C640" s="661" t="s">
        <v>682</v>
      </c>
      <c r="D640" s="662" t="s">
        <v>89</v>
      </c>
      <c r="E640" s="662" t="s">
        <v>41</v>
      </c>
      <c r="F640" s="663" t="s">
        <v>684</v>
      </c>
      <c r="G640" s="256">
        <v>500</v>
      </c>
      <c r="H640" s="200">
        <f>'прил9 (ведом 23)'!M279</f>
        <v>975</v>
      </c>
    </row>
    <row r="641" spans="1:8" ht="36" x14ac:dyDescent="0.35">
      <c r="A641" s="343"/>
      <c r="B641" s="498" t="s">
        <v>767</v>
      </c>
      <c r="C641" s="661" t="s">
        <v>682</v>
      </c>
      <c r="D641" s="662" t="s">
        <v>89</v>
      </c>
      <c r="E641" s="662" t="s">
        <v>674</v>
      </c>
      <c r="F641" s="663" t="s">
        <v>44</v>
      </c>
      <c r="G641" s="256"/>
      <c r="H641" s="200">
        <f>H642</f>
        <v>300</v>
      </c>
    </row>
    <row r="642" spans="1:8" ht="72" x14ac:dyDescent="0.35">
      <c r="A642" s="343"/>
      <c r="B642" s="626" t="s">
        <v>685</v>
      </c>
      <c r="C642" s="661" t="s">
        <v>682</v>
      </c>
      <c r="D642" s="662" t="s">
        <v>89</v>
      </c>
      <c r="E642" s="662" t="s">
        <v>674</v>
      </c>
      <c r="F642" s="663" t="s">
        <v>684</v>
      </c>
      <c r="G642" s="256"/>
      <c r="H642" s="200">
        <f>H643</f>
        <v>300</v>
      </c>
    </row>
    <row r="643" spans="1:8" ht="18" x14ac:dyDescent="0.35">
      <c r="A643" s="343"/>
      <c r="B643" s="498" t="s">
        <v>123</v>
      </c>
      <c r="C643" s="661" t="s">
        <v>682</v>
      </c>
      <c r="D643" s="662" t="s">
        <v>89</v>
      </c>
      <c r="E643" s="662" t="s">
        <v>674</v>
      </c>
      <c r="F643" s="663" t="s">
        <v>684</v>
      </c>
      <c r="G643" s="256">
        <v>500</v>
      </c>
      <c r="H643" s="200">
        <f>'прил9 (ведом 23)'!M282</f>
        <v>300</v>
      </c>
    </row>
    <row r="644" spans="1:8" ht="108" x14ac:dyDescent="0.35">
      <c r="A644" s="343"/>
      <c r="B644" s="498" t="s">
        <v>768</v>
      </c>
      <c r="C644" s="661" t="s">
        <v>682</v>
      </c>
      <c r="D644" s="662" t="s">
        <v>89</v>
      </c>
      <c r="E644" s="662" t="s">
        <v>592</v>
      </c>
      <c r="F644" s="663" t="s">
        <v>44</v>
      </c>
      <c r="G644" s="256"/>
      <c r="H644" s="200">
        <f>H645</f>
        <v>1480</v>
      </c>
    </row>
    <row r="645" spans="1:8" ht="72" x14ac:dyDescent="0.35">
      <c r="A645" s="343"/>
      <c r="B645" s="626" t="s">
        <v>685</v>
      </c>
      <c r="C645" s="661" t="s">
        <v>682</v>
      </c>
      <c r="D645" s="662" t="s">
        <v>89</v>
      </c>
      <c r="E645" s="662" t="s">
        <v>592</v>
      </c>
      <c r="F645" s="663" t="s">
        <v>684</v>
      </c>
      <c r="G645" s="256"/>
      <c r="H645" s="200">
        <f>H646</f>
        <v>1480</v>
      </c>
    </row>
    <row r="646" spans="1:8" ht="18" x14ac:dyDescent="0.35">
      <c r="A646" s="343"/>
      <c r="B646" s="498" t="s">
        <v>123</v>
      </c>
      <c r="C646" s="661" t="s">
        <v>682</v>
      </c>
      <c r="D646" s="662" t="s">
        <v>89</v>
      </c>
      <c r="E646" s="662" t="s">
        <v>592</v>
      </c>
      <c r="F646" s="663" t="s">
        <v>684</v>
      </c>
      <c r="G646" s="256">
        <v>500</v>
      </c>
      <c r="H646" s="200">
        <f>'прил9 (ведом 23)'!M285</f>
        <v>1480</v>
      </c>
    </row>
    <row r="647" spans="1:8" ht="18" x14ac:dyDescent="0.35">
      <c r="A647" s="343"/>
      <c r="B647" s="498"/>
      <c r="C647" s="662"/>
      <c r="D647" s="662"/>
      <c r="E647" s="662"/>
      <c r="F647" s="662"/>
      <c r="G647" s="256"/>
      <c r="H647" s="200"/>
    </row>
    <row r="648" spans="1:8" s="352" customFormat="1" ht="39" customHeight="1" x14ac:dyDescent="0.3">
      <c r="A648" s="357">
        <v>19</v>
      </c>
      <c r="B648" s="532" t="s">
        <v>609</v>
      </c>
      <c r="C648" s="358" t="s">
        <v>68</v>
      </c>
      <c r="D648" s="358" t="s">
        <v>42</v>
      </c>
      <c r="E648" s="358" t="s">
        <v>43</v>
      </c>
      <c r="F648" s="358" t="s">
        <v>44</v>
      </c>
      <c r="G648" s="351"/>
      <c r="H648" s="238">
        <f>H649</f>
        <v>62294.105939999994</v>
      </c>
    </row>
    <row r="649" spans="1:8" ht="18" x14ac:dyDescent="0.35">
      <c r="A649" s="343"/>
      <c r="B649" s="510" t="s">
        <v>451</v>
      </c>
      <c r="C649" s="191" t="s">
        <v>68</v>
      </c>
      <c r="D649" s="192" t="s">
        <v>45</v>
      </c>
      <c r="E649" s="192" t="s">
        <v>43</v>
      </c>
      <c r="F649" s="193" t="s">
        <v>44</v>
      </c>
      <c r="G649" s="28"/>
      <c r="H649" s="200">
        <f>H654+H656+H652+H650</f>
        <v>62294.105939999994</v>
      </c>
    </row>
    <row r="650" spans="1:8" ht="36" x14ac:dyDescent="0.35">
      <c r="A650" s="343"/>
      <c r="B650" s="498" t="s">
        <v>722</v>
      </c>
      <c r="C650" s="661" t="s">
        <v>68</v>
      </c>
      <c r="D650" s="662" t="s">
        <v>45</v>
      </c>
      <c r="E650" s="662" t="s">
        <v>43</v>
      </c>
      <c r="F650" s="663" t="s">
        <v>721</v>
      </c>
      <c r="G650" s="10"/>
      <c r="H650" s="200">
        <f>H651</f>
        <v>14918.399999999998</v>
      </c>
    </row>
    <row r="651" spans="1:8" ht="36" x14ac:dyDescent="0.35">
      <c r="A651" s="343"/>
      <c r="B651" s="498" t="s">
        <v>55</v>
      </c>
      <c r="C651" s="661" t="s">
        <v>68</v>
      </c>
      <c r="D651" s="662" t="s">
        <v>45</v>
      </c>
      <c r="E651" s="662" t="s">
        <v>43</v>
      </c>
      <c r="F651" s="663" t="s">
        <v>721</v>
      </c>
      <c r="G651" s="10" t="s">
        <v>56</v>
      </c>
      <c r="H651" s="200">
        <f>'прил9 (ведом 23)'!M91</f>
        <v>14918.399999999998</v>
      </c>
    </row>
    <row r="652" spans="1:8" ht="36" x14ac:dyDescent="0.35">
      <c r="A652" s="343"/>
      <c r="B652" s="510" t="s">
        <v>710</v>
      </c>
      <c r="C652" s="191" t="s">
        <v>68</v>
      </c>
      <c r="D652" s="192" t="s">
        <v>45</v>
      </c>
      <c r="E652" s="192" t="s">
        <v>43</v>
      </c>
      <c r="F652" s="193" t="s">
        <v>711</v>
      </c>
      <c r="G652" s="28"/>
      <c r="H652" s="200">
        <f>H653</f>
        <v>21761.599999999999</v>
      </c>
    </row>
    <row r="653" spans="1:8" ht="18" x14ac:dyDescent="0.35">
      <c r="A653" s="343"/>
      <c r="B653" s="510" t="s">
        <v>123</v>
      </c>
      <c r="C653" s="191" t="s">
        <v>68</v>
      </c>
      <c r="D653" s="192" t="s">
        <v>45</v>
      </c>
      <c r="E653" s="192" t="s">
        <v>43</v>
      </c>
      <c r="F653" s="193" t="s">
        <v>711</v>
      </c>
      <c r="G653" s="28">
        <v>500</v>
      </c>
      <c r="H653" s="200">
        <f>'прил9 (ведом 23)'!M289</f>
        <v>21761.599999999999</v>
      </c>
    </row>
    <row r="654" spans="1:8" ht="162" x14ac:dyDescent="0.35">
      <c r="A654" s="343"/>
      <c r="B654" s="510" t="s">
        <v>761</v>
      </c>
      <c r="C654" s="191" t="s">
        <v>68</v>
      </c>
      <c r="D654" s="192" t="s">
        <v>45</v>
      </c>
      <c r="E654" s="192" t="s">
        <v>43</v>
      </c>
      <c r="F654" s="193" t="s">
        <v>679</v>
      </c>
      <c r="G654" s="28"/>
      <c r="H654" s="200">
        <f>H655</f>
        <v>15478.199999999999</v>
      </c>
    </row>
    <row r="655" spans="1:8" ht="36" x14ac:dyDescent="0.35">
      <c r="A655" s="343"/>
      <c r="B655" s="495" t="s">
        <v>55</v>
      </c>
      <c r="C655" s="191" t="s">
        <v>68</v>
      </c>
      <c r="D655" s="192" t="s">
        <v>45</v>
      </c>
      <c r="E655" s="192" t="s">
        <v>43</v>
      </c>
      <c r="F655" s="193" t="s">
        <v>679</v>
      </c>
      <c r="G655" s="28" t="s">
        <v>56</v>
      </c>
      <c r="H655" s="200">
        <f>'прил9 (ведом 23)'!M93</f>
        <v>15478.199999999999</v>
      </c>
    </row>
    <row r="656" spans="1:8" ht="36" x14ac:dyDescent="0.35">
      <c r="A656" s="343"/>
      <c r="B656" s="494" t="s">
        <v>449</v>
      </c>
      <c r="C656" s="191" t="s">
        <v>68</v>
      </c>
      <c r="D656" s="192" t="s">
        <v>45</v>
      </c>
      <c r="E656" s="192" t="s">
        <v>43</v>
      </c>
      <c r="F656" s="193" t="s">
        <v>69</v>
      </c>
      <c r="G656" s="28"/>
      <c r="H656" s="200">
        <f>H657</f>
        <v>10135.905939999995</v>
      </c>
    </row>
    <row r="657" spans="1:8" ht="18" x14ac:dyDescent="0.35">
      <c r="A657" s="343"/>
      <c r="B657" s="494" t="s">
        <v>57</v>
      </c>
      <c r="C657" s="191" t="s">
        <v>68</v>
      </c>
      <c r="D657" s="192" t="s">
        <v>45</v>
      </c>
      <c r="E657" s="192" t="s">
        <v>43</v>
      </c>
      <c r="F657" s="193" t="s">
        <v>69</v>
      </c>
      <c r="G657" s="28" t="s">
        <v>58</v>
      </c>
      <c r="H657" s="200">
        <f>'прил9 (ведом 23)'!M55</f>
        <v>10135.905939999995</v>
      </c>
    </row>
    <row r="658" spans="1:8" ht="14.4" customHeight="1" x14ac:dyDescent="0.35">
      <c r="A658" s="428"/>
      <c r="B658" s="429"/>
      <c r="C658" s="73"/>
      <c r="D658" s="73"/>
      <c r="E658" s="73"/>
      <c r="F658" s="73"/>
      <c r="G658" s="73"/>
      <c r="H658" s="430"/>
    </row>
    <row r="659" spans="1:8" ht="18" x14ac:dyDescent="0.35">
      <c r="A659" s="428"/>
      <c r="B659" s="429"/>
      <c r="C659" s="73"/>
      <c r="D659" s="73"/>
      <c r="E659" s="73"/>
      <c r="F659" s="73"/>
      <c r="G659" s="73"/>
      <c r="H659" s="430"/>
    </row>
    <row r="660" spans="1:8" ht="17.399999999999999" x14ac:dyDescent="0.3">
      <c r="A660" s="340"/>
      <c r="B660" s="41"/>
      <c r="C660" s="42"/>
      <c r="D660" s="42"/>
      <c r="E660" s="42"/>
      <c r="F660" s="42"/>
      <c r="G660" s="43"/>
    </row>
    <row r="661" spans="1:8" ht="18" x14ac:dyDescent="0.35">
      <c r="A661" s="650" t="s">
        <v>379</v>
      </c>
      <c r="B661" s="41"/>
      <c r="C661" s="42"/>
      <c r="D661" s="42"/>
      <c r="E661" s="42"/>
      <c r="F661" s="42"/>
      <c r="G661" s="43"/>
    </row>
    <row r="662" spans="1:8" ht="18" x14ac:dyDescent="0.35">
      <c r="A662" s="650" t="s">
        <v>380</v>
      </c>
      <c r="B662" s="41"/>
      <c r="C662" s="42"/>
      <c r="D662" s="42"/>
      <c r="E662" s="42"/>
      <c r="F662" s="42"/>
      <c r="G662" s="43"/>
    </row>
    <row r="663" spans="1:8" ht="18" x14ac:dyDescent="0.35">
      <c r="A663" s="651" t="s">
        <v>381</v>
      </c>
      <c r="B663" s="41"/>
      <c r="C663" s="45"/>
      <c r="D663" s="42"/>
      <c r="E663" s="42"/>
      <c r="F663" s="42"/>
      <c r="G663" s="45"/>
      <c r="H663" s="652" t="s">
        <v>391</v>
      </c>
    </row>
    <row r="664" spans="1:8" ht="18" x14ac:dyDescent="0.35">
      <c r="A664" s="642"/>
      <c r="B664" s="41"/>
      <c r="C664" s="42"/>
      <c r="D664" s="42"/>
      <c r="E664" s="42"/>
      <c r="F664" s="42"/>
    </row>
    <row r="665" spans="1:8" x14ac:dyDescent="0.3">
      <c r="A665" s="340"/>
      <c r="B665" s="41"/>
      <c r="C665" s="42"/>
      <c r="D665" s="42"/>
      <c r="E665" s="42"/>
      <c r="F665" s="42"/>
    </row>
    <row r="666" spans="1:8" x14ac:dyDescent="0.3">
      <c r="A666" s="340"/>
      <c r="B666" s="41"/>
      <c r="C666" s="42"/>
      <c r="D666" s="42"/>
      <c r="E666" s="42"/>
      <c r="F666" s="42"/>
    </row>
    <row r="667" spans="1:8" ht="17.399999999999999" hidden="1" x14ac:dyDescent="0.3">
      <c r="A667" s="340"/>
      <c r="B667" s="41"/>
      <c r="C667" s="42"/>
      <c r="D667" s="42"/>
      <c r="E667" s="42"/>
      <c r="F667" s="42"/>
      <c r="G667" s="43"/>
    </row>
    <row r="668" spans="1:8" hidden="1" x14ac:dyDescent="0.3">
      <c r="A668" s="338">
        <v>1</v>
      </c>
      <c r="B668" s="401" t="s">
        <v>237</v>
      </c>
      <c r="H668" s="339">
        <f>H14+H160+H223+H274+H299+H338+H364+H403+H469+H478+H484+H494+H504+H510+H446+H571</f>
        <v>2576335.6669600001</v>
      </c>
    </row>
    <row r="669" spans="1:8" hidden="1" x14ac:dyDescent="0.3"/>
    <row r="670" spans="1:8" hidden="1" x14ac:dyDescent="0.3">
      <c r="H670" s="339">
        <f>(H668/H13)*100</f>
        <v>96.151342015135484</v>
      </c>
    </row>
    <row r="671" spans="1:8" hidden="1" x14ac:dyDescent="0.3"/>
    <row r="672" spans="1:8" hidden="1" x14ac:dyDescent="0.3">
      <c r="A672" s="338">
        <v>1</v>
      </c>
      <c r="B672" s="401" t="s">
        <v>238</v>
      </c>
      <c r="H672" s="339">
        <f>H577+H648</f>
        <v>69123.905939999997</v>
      </c>
    </row>
    <row r="673" spans="8:8" hidden="1" x14ac:dyDescent="0.3">
      <c r="H673" s="339">
        <f>(H672/H674)*100</f>
        <v>2.6129261867428628</v>
      </c>
    </row>
    <row r="674" spans="8:8" hidden="1" x14ac:dyDescent="0.3">
      <c r="H674" s="339">
        <f>H668+H672</f>
        <v>2645459.5729</v>
      </c>
    </row>
  </sheetData>
  <autoFilter ref="A1:H674"/>
  <mergeCells count="3">
    <mergeCell ref="A8:H8"/>
    <mergeCell ref="C11:F11"/>
    <mergeCell ref="C12:F12"/>
  </mergeCells>
  <printOptions horizontalCentered="1"/>
  <pageMargins left="1.1811023622047245" right="0.39370078740157483" top="0.78740157480314965" bottom="0.39370078740157483" header="0" footer="0"/>
  <pageSetup paperSize="9" scale="81" fitToHeight="0" orientation="portrait" blackAndWhite="1" r:id="rId1"/>
  <headerFooter differentFirst="1" alignWithMargins="0">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P1011"/>
  <sheetViews>
    <sheetView zoomScale="80" zoomScaleNormal="80" workbookViewId="0">
      <selection activeCell="Q57" sqref="Q57"/>
    </sheetView>
  </sheetViews>
  <sheetFormatPr defaultColWidth="8.88671875" defaultRowHeight="14.4" x14ac:dyDescent="0.3"/>
  <cols>
    <col min="1" max="1" width="4.6640625" style="1" customWidth="1"/>
    <col min="2" max="2" width="54.44140625" style="489" customWidth="1"/>
    <col min="3" max="3" width="10" style="1" customWidth="1"/>
    <col min="4" max="4" width="3.6640625" style="1" customWidth="1"/>
    <col min="5" max="5" width="4" style="1" customWidth="1"/>
    <col min="6" max="6" width="3.33203125" style="1" customWidth="1"/>
    <col min="7" max="7" width="2.44140625" style="1" customWidth="1"/>
    <col min="8" max="8" width="3.33203125" style="1" customWidth="1"/>
    <col min="9" max="9" width="7.6640625" style="1" customWidth="1"/>
    <col min="10" max="10" width="5" style="1" customWidth="1"/>
    <col min="11" max="11" width="17.33203125" style="1" hidden="1" customWidth="1"/>
    <col min="12" max="12" width="16.6640625" style="1" customWidth="1"/>
    <col min="13" max="13" width="14.33203125" style="30" customWidth="1"/>
    <col min="14" max="14" width="10.109375" style="1" customWidth="1"/>
    <col min="15" max="15" width="11.6640625" style="1" hidden="1" customWidth="1"/>
    <col min="16" max="16" width="9.33203125" style="1" bestFit="1" customWidth="1"/>
    <col min="17" max="16384" width="8.88671875" style="1"/>
  </cols>
  <sheetData>
    <row r="1" spans="1:14" ht="18" x14ac:dyDescent="0.35">
      <c r="M1" s="142" t="s">
        <v>565</v>
      </c>
    </row>
    <row r="2" spans="1:14" ht="18" customHeight="1" x14ac:dyDescent="0.35">
      <c r="M2" s="142" t="s">
        <v>799</v>
      </c>
    </row>
    <row r="3" spans="1:14" ht="18" customHeight="1" x14ac:dyDescent="0.35">
      <c r="M3" s="142"/>
    </row>
    <row r="4" spans="1:14" s="35" customFormat="1" ht="19.95" customHeight="1" x14ac:dyDescent="0.35">
      <c r="M4" s="596" t="s">
        <v>520</v>
      </c>
    </row>
    <row r="5" spans="1:14" s="35" customFormat="1" ht="18.75" customHeight="1" x14ac:dyDescent="0.35">
      <c r="M5" s="596" t="s">
        <v>669</v>
      </c>
    </row>
    <row r="6" spans="1:14" ht="14.4" customHeight="1" x14ac:dyDescent="0.3"/>
    <row r="7" spans="1:14" ht="14.4" customHeight="1" x14ac:dyDescent="0.3"/>
    <row r="8" spans="1:14" ht="17.399999999999999" customHeight="1" x14ac:dyDescent="0.3">
      <c r="A8" s="689" t="s">
        <v>597</v>
      </c>
      <c r="B8" s="689"/>
      <c r="C8" s="689"/>
      <c r="D8" s="689"/>
      <c r="E8" s="689"/>
      <c r="F8" s="689"/>
      <c r="G8" s="689"/>
      <c r="H8" s="689"/>
      <c r="I8" s="689"/>
      <c r="J8" s="689"/>
      <c r="K8" s="689"/>
      <c r="L8" s="689"/>
      <c r="M8" s="689"/>
    </row>
    <row r="9" spans="1:14" ht="17.399999999999999" customHeight="1" x14ac:dyDescent="0.3">
      <c r="A9" s="660"/>
      <c r="B9" s="490"/>
      <c r="C9" s="660"/>
      <c r="D9" s="660"/>
      <c r="E9" s="660"/>
      <c r="F9" s="660"/>
      <c r="G9" s="660"/>
      <c r="H9" s="660"/>
      <c r="I9" s="660"/>
      <c r="J9" s="660"/>
      <c r="K9" s="660"/>
      <c r="L9" s="660"/>
    </row>
    <row r="10" spans="1:14" ht="18" customHeight="1" x14ac:dyDescent="0.35">
      <c r="A10" s="2"/>
      <c r="B10" s="3"/>
      <c r="C10" s="4"/>
      <c r="D10" s="4"/>
      <c r="E10" s="4"/>
      <c r="F10" s="4"/>
      <c r="G10" s="2"/>
      <c r="H10" s="5"/>
      <c r="I10" s="6"/>
      <c r="J10" s="7"/>
      <c r="K10" s="7"/>
      <c r="L10" s="7"/>
      <c r="M10" s="462" t="s">
        <v>22</v>
      </c>
    </row>
    <row r="11" spans="1:14" ht="18" customHeight="1" x14ac:dyDescent="0.3">
      <c r="A11" s="693" t="s">
        <v>23</v>
      </c>
      <c r="B11" s="695" t="s">
        <v>24</v>
      </c>
      <c r="C11" s="697" t="s">
        <v>25</v>
      </c>
      <c r="D11" s="697" t="s">
        <v>26</v>
      </c>
      <c r="E11" s="697" t="s">
        <v>27</v>
      </c>
      <c r="F11" s="699" t="s">
        <v>28</v>
      </c>
      <c r="G11" s="700"/>
      <c r="H11" s="700"/>
      <c r="I11" s="701"/>
      <c r="J11" s="697" t="s">
        <v>29</v>
      </c>
      <c r="K11" s="705" t="s">
        <v>666</v>
      </c>
      <c r="L11" s="707" t="s">
        <v>460</v>
      </c>
      <c r="M11" s="708"/>
    </row>
    <row r="12" spans="1:14" ht="34.799999999999997" customHeight="1" x14ac:dyDescent="0.35">
      <c r="A12" s="694"/>
      <c r="B12" s="696"/>
      <c r="C12" s="698"/>
      <c r="D12" s="698"/>
      <c r="E12" s="698"/>
      <c r="F12" s="702"/>
      <c r="G12" s="703"/>
      <c r="H12" s="703"/>
      <c r="I12" s="704"/>
      <c r="J12" s="698"/>
      <c r="K12" s="706"/>
      <c r="L12" s="627" t="s">
        <v>667</v>
      </c>
      <c r="M12" s="628" t="s">
        <v>668</v>
      </c>
    </row>
    <row r="13" spans="1:14" ht="18" customHeight="1" x14ac:dyDescent="0.35">
      <c r="A13" s="8">
        <v>1</v>
      </c>
      <c r="B13" s="9">
        <v>2</v>
      </c>
      <c r="C13" s="10" t="s">
        <v>30</v>
      </c>
      <c r="D13" s="10" t="s">
        <v>31</v>
      </c>
      <c r="E13" s="10" t="s">
        <v>32</v>
      </c>
      <c r="F13" s="690" t="s">
        <v>33</v>
      </c>
      <c r="G13" s="691"/>
      <c r="H13" s="691"/>
      <c r="I13" s="692"/>
      <c r="J13" s="10" t="s">
        <v>34</v>
      </c>
      <c r="K13" s="10"/>
      <c r="L13" s="10" t="s">
        <v>484</v>
      </c>
      <c r="M13" s="31">
        <v>9</v>
      </c>
    </row>
    <row r="14" spans="1:14" ht="18" customHeight="1" x14ac:dyDescent="0.3">
      <c r="A14" s="11">
        <v>1</v>
      </c>
      <c r="B14" s="12" t="s">
        <v>202</v>
      </c>
      <c r="C14" s="13"/>
      <c r="D14" s="14"/>
      <c r="E14" s="14"/>
      <c r="F14" s="15"/>
      <c r="G14" s="16"/>
      <c r="H14" s="16"/>
      <c r="I14" s="17"/>
      <c r="J14" s="14"/>
      <c r="K14" s="240">
        <f>K15+K291+K339+K357+K668+K751+K825+K859+K470</f>
        <v>2708057.4719000002</v>
      </c>
      <c r="L14" s="240">
        <f>L15+L291+L339+L357+L668+L751+L825+L859+L470</f>
        <v>-28598.627</v>
      </c>
      <c r="M14" s="240">
        <f>M15+M291+M339+M357+M668+M751+M825+M859+M470</f>
        <v>2679458.8749000002</v>
      </c>
      <c r="N14" s="188"/>
    </row>
    <row r="15" spans="1:14" s="112" customFormat="1" ht="34.950000000000003" customHeight="1" x14ac:dyDescent="0.3">
      <c r="A15" s="110">
        <v>1</v>
      </c>
      <c r="B15" s="535" t="s">
        <v>0</v>
      </c>
      <c r="C15" s="18" t="s">
        <v>1</v>
      </c>
      <c r="D15" s="19"/>
      <c r="E15" s="19"/>
      <c r="F15" s="20"/>
      <c r="G15" s="21"/>
      <c r="H15" s="21"/>
      <c r="I15" s="22"/>
      <c r="J15" s="19"/>
      <c r="K15" s="32">
        <f>K16+K94+K131+K178+K202+K195+K228</f>
        <v>427925.66353999998</v>
      </c>
      <c r="L15" s="32">
        <f>L16+L94+L131+L178+L202+L195+L228+L221</f>
        <v>5465.199999999998</v>
      </c>
      <c r="M15" s="32">
        <f>M16+M94+M131+M178+M202+M195+M228+M221</f>
        <v>433390.89353999996</v>
      </c>
    </row>
    <row r="16" spans="1:14" s="113" customFormat="1" ht="18" customHeight="1" x14ac:dyDescent="0.35">
      <c r="A16" s="11"/>
      <c r="B16" s="498" t="s">
        <v>36</v>
      </c>
      <c r="C16" s="23" t="s">
        <v>1</v>
      </c>
      <c r="D16" s="10" t="s">
        <v>37</v>
      </c>
      <c r="E16" s="10"/>
      <c r="F16" s="661"/>
      <c r="G16" s="662"/>
      <c r="H16" s="662"/>
      <c r="I16" s="663"/>
      <c r="J16" s="10"/>
      <c r="K16" s="24">
        <f>K17+K23+K51+K56+K45</f>
        <v>185698.49994000001</v>
      </c>
      <c r="L16" s="24">
        <f>L17+L23+L51+L56+L45</f>
        <v>1775.3999999999976</v>
      </c>
      <c r="M16" s="24">
        <f>M17+M23+M51+M56+M45</f>
        <v>187473.92993999997</v>
      </c>
    </row>
    <row r="17" spans="1:15" s="111" customFormat="1" ht="54" customHeight="1" x14ac:dyDescent="0.35">
      <c r="A17" s="11"/>
      <c r="B17" s="498" t="s">
        <v>38</v>
      </c>
      <c r="C17" s="23" t="s">
        <v>1</v>
      </c>
      <c r="D17" s="10" t="s">
        <v>37</v>
      </c>
      <c r="E17" s="10" t="s">
        <v>39</v>
      </c>
      <c r="F17" s="661"/>
      <c r="G17" s="662"/>
      <c r="H17" s="662"/>
      <c r="I17" s="663"/>
      <c r="J17" s="10"/>
      <c r="K17" s="24">
        <f t="shared" ref="K17:M20" si="0">K18</f>
        <v>2536.8000000000002</v>
      </c>
      <c r="L17" s="24">
        <f t="shared" si="0"/>
        <v>0</v>
      </c>
      <c r="M17" s="24">
        <f t="shared" si="0"/>
        <v>2536.8000000000002</v>
      </c>
      <c r="O17" s="111" t="s">
        <v>446</v>
      </c>
    </row>
    <row r="18" spans="1:15" s="111" customFormat="1" ht="54" customHeight="1" x14ac:dyDescent="0.35">
      <c r="A18" s="11"/>
      <c r="B18" s="498" t="s">
        <v>40</v>
      </c>
      <c r="C18" s="23" t="s">
        <v>1</v>
      </c>
      <c r="D18" s="10" t="s">
        <v>37</v>
      </c>
      <c r="E18" s="10" t="s">
        <v>39</v>
      </c>
      <c r="F18" s="661" t="s">
        <v>41</v>
      </c>
      <c r="G18" s="662" t="s">
        <v>42</v>
      </c>
      <c r="H18" s="662" t="s">
        <v>43</v>
      </c>
      <c r="I18" s="663" t="s">
        <v>44</v>
      </c>
      <c r="J18" s="10"/>
      <c r="K18" s="24">
        <f t="shared" si="0"/>
        <v>2536.8000000000002</v>
      </c>
      <c r="L18" s="24">
        <f t="shared" si="0"/>
        <v>0</v>
      </c>
      <c r="M18" s="24">
        <f t="shared" si="0"/>
        <v>2536.8000000000002</v>
      </c>
    </row>
    <row r="19" spans="1:15" s="111" customFormat="1" ht="36" customHeight="1" x14ac:dyDescent="0.35">
      <c r="A19" s="11"/>
      <c r="B19" s="498" t="s">
        <v>344</v>
      </c>
      <c r="C19" s="23" t="s">
        <v>1</v>
      </c>
      <c r="D19" s="10" t="s">
        <v>37</v>
      </c>
      <c r="E19" s="10" t="s">
        <v>39</v>
      </c>
      <c r="F19" s="661" t="s">
        <v>41</v>
      </c>
      <c r="G19" s="662" t="s">
        <v>45</v>
      </c>
      <c r="H19" s="662" t="s">
        <v>43</v>
      </c>
      <c r="I19" s="663" t="s">
        <v>44</v>
      </c>
      <c r="J19" s="10"/>
      <c r="K19" s="24">
        <f t="shared" si="0"/>
        <v>2536.8000000000002</v>
      </c>
      <c r="L19" s="24">
        <f t="shared" si="0"/>
        <v>0</v>
      </c>
      <c r="M19" s="24">
        <f t="shared" si="0"/>
        <v>2536.8000000000002</v>
      </c>
    </row>
    <row r="20" spans="1:15" s="111" customFormat="1" ht="54" customHeight="1" x14ac:dyDescent="0.35">
      <c r="A20" s="11"/>
      <c r="B20" s="498" t="s">
        <v>46</v>
      </c>
      <c r="C20" s="23" t="s">
        <v>1</v>
      </c>
      <c r="D20" s="10" t="s">
        <v>37</v>
      </c>
      <c r="E20" s="10" t="s">
        <v>39</v>
      </c>
      <c r="F20" s="661" t="s">
        <v>41</v>
      </c>
      <c r="G20" s="662" t="s">
        <v>45</v>
      </c>
      <c r="H20" s="662" t="s">
        <v>37</v>
      </c>
      <c r="I20" s="663" t="s">
        <v>44</v>
      </c>
      <c r="J20" s="10"/>
      <c r="K20" s="24">
        <f t="shared" si="0"/>
        <v>2536.8000000000002</v>
      </c>
      <c r="L20" s="24">
        <f t="shared" si="0"/>
        <v>0</v>
      </c>
      <c r="M20" s="24">
        <f t="shared" si="0"/>
        <v>2536.8000000000002</v>
      </c>
    </row>
    <row r="21" spans="1:15" s="111" customFormat="1" ht="36" customHeight="1" x14ac:dyDescent="0.35">
      <c r="A21" s="11"/>
      <c r="B21" s="498" t="s">
        <v>47</v>
      </c>
      <c r="C21" s="23" t="s">
        <v>1</v>
      </c>
      <c r="D21" s="10" t="s">
        <v>37</v>
      </c>
      <c r="E21" s="10" t="s">
        <v>39</v>
      </c>
      <c r="F21" s="661" t="s">
        <v>41</v>
      </c>
      <c r="G21" s="662" t="s">
        <v>45</v>
      </c>
      <c r="H21" s="662" t="s">
        <v>37</v>
      </c>
      <c r="I21" s="663" t="s">
        <v>48</v>
      </c>
      <c r="J21" s="10"/>
      <c r="K21" s="24">
        <f>K22</f>
        <v>2536.8000000000002</v>
      </c>
      <c r="L21" s="24">
        <f>L22</f>
        <v>0</v>
      </c>
      <c r="M21" s="24">
        <f>M22</f>
        <v>2536.8000000000002</v>
      </c>
    </row>
    <row r="22" spans="1:15" s="111" customFormat="1" ht="108" customHeight="1" x14ac:dyDescent="0.35">
      <c r="A22" s="11"/>
      <c r="B22" s="498" t="s">
        <v>49</v>
      </c>
      <c r="C22" s="23" t="s">
        <v>1</v>
      </c>
      <c r="D22" s="10" t="s">
        <v>37</v>
      </c>
      <c r="E22" s="10" t="s">
        <v>39</v>
      </c>
      <c r="F22" s="661" t="s">
        <v>41</v>
      </c>
      <c r="G22" s="662" t="s">
        <v>45</v>
      </c>
      <c r="H22" s="662" t="s">
        <v>37</v>
      </c>
      <c r="I22" s="663" t="s">
        <v>48</v>
      </c>
      <c r="J22" s="10" t="s">
        <v>50</v>
      </c>
      <c r="K22" s="24">
        <f>2536.8</f>
        <v>2536.8000000000002</v>
      </c>
      <c r="L22" s="24">
        <f>M22-K22</f>
        <v>0</v>
      </c>
      <c r="M22" s="24">
        <f>2536.8</f>
        <v>2536.8000000000002</v>
      </c>
    </row>
    <row r="23" spans="1:15" s="113" customFormat="1" ht="86.25" customHeight="1" x14ac:dyDescent="0.35">
      <c r="A23" s="11"/>
      <c r="B23" s="498" t="s">
        <v>51</v>
      </c>
      <c r="C23" s="23" t="s">
        <v>1</v>
      </c>
      <c r="D23" s="10" t="s">
        <v>37</v>
      </c>
      <c r="E23" s="10" t="s">
        <v>52</v>
      </c>
      <c r="F23" s="661"/>
      <c r="G23" s="662"/>
      <c r="H23" s="662"/>
      <c r="I23" s="663"/>
      <c r="J23" s="10"/>
      <c r="K23" s="24">
        <f t="shared" ref="K23:M24" si="1">K24</f>
        <v>83818.684000000008</v>
      </c>
      <c r="L23" s="24">
        <f t="shared" si="1"/>
        <v>615.248449999998</v>
      </c>
      <c r="M23" s="24">
        <f t="shared" si="1"/>
        <v>84433.932450000008</v>
      </c>
    </row>
    <row r="24" spans="1:15" s="113" customFormat="1" ht="54" customHeight="1" x14ac:dyDescent="0.35">
      <c r="A24" s="11"/>
      <c r="B24" s="498" t="s">
        <v>53</v>
      </c>
      <c r="C24" s="23" t="s">
        <v>1</v>
      </c>
      <c r="D24" s="10" t="s">
        <v>37</v>
      </c>
      <c r="E24" s="10" t="s">
        <v>52</v>
      </c>
      <c r="F24" s="661" t="s">
        <v>41</v>
      </c>
      <c r="G24" s="662" t="s">
        <v>42</v>
      </c>
      <c r="H24" s="662" t="s">
        <v>43</v>
      </c>
      <c r="I24" s="663" t="s">
        <v>44</v>
      </c>
      <c r="J24" s="10"/>
      <c r="K24" s="24">
        <f t="shared" si="1"/>
        <v>83818.684000000008</v>
      </c>
      <c r="L24" s="24">
        <f t="shared" si="1"/>
        <v>615.248449999998</v>
      </c>
      <c r="M24" s="24">
        <f t="shared" si="1"/>
        <v>84433.932450000008</v>
      </c>
    </row>
    <row r="25" spans="1:15" s="7" customFormat="1" ht="36" customHeight="1" x14ac:dyDescent="0.35">
      <c r="A25" s="11"/>
      <c r="B25" s="498" t="s">
        <v>344</v>
      </c>
      <c r="C25" s="23" t="s">
        <v>1</v>
      </c>
      <c r="D25" s="10" t="s">
        <v>37</v>
      </c>
      <c r="E25" s="10" t="s">
        <v>52</v>
      </c>
      <c r="F25" s="661" t="s">
        <v>41</v>
      </c>
      <c r="G25" s="662" t="s">
        <v>45</v>
      </c>
      <c r="H25" s="662" t="s">
        <v>43</v>
      </c>
      <c r="I25" s="663" t="s">
        <v>44</v>
      </c>
      <c r="J25" s="10"/>
      <c r="K25" s="24">
        <f>K26+K42</f>
        <v>83818.684000000008</v>
      </c>
      <c r="L25" s="24">
        <f>L26+L42</f>
        <v>615.248449999998</v>
      </c>
      <c r="M25" s="24">
        <f>M26+M42</f>
        <v>84433.932450000008</v>
      </c>
    </row>
    <row r="26" spans="1:15" s="7" customFormat="1" ht="36" customHeight="1" x14ac:dyDescent="0.35">
      <c r="A26" s="11"/>
      <c r="B26" s="498" t="s">
        <v>54</v>
      </c>
      <c r="C26" s="23" t="s">
        <v>1</v>
      </c>
      <c r="D26" s="10" t="s">
        <v>37</v>
      </c>
      <c r="E26" s="10" t="s">
        <v>52</v>
      </c>
      <c r="F26" s="661" t="s">
        <v>41</v>
      </c>
      <c r="G26" s="662" t="s">
        <v>45</v>
      </c>
      <c r="H26" s="662" t="s">
        <v>39</v>
      </c>
      <c r="I26" s="663" t="s">
        <v>44</v>
      </c>
      <c r="J26" s="10"/>
      <c r="K26" s="24">
        <f>K27+K34+K36+K32+K39</f>
        <v>83814.184000000008</v>
      </c>
      <c r="L26" s="24">
        <f>L27+L34+L36+L32+L39</f>
        <v>615.248449999998</v>
      </c>
      <c r="M26" s="24">
        <f>M27+M34+M36+M32+M39</f>
        <v>84429.432450000008</v>
      </c>
    </row>
    <row r="27" spans="1:15" s="111" customFormat="1" ht="36" customHeight="1" x14ac:dyDescent="0.35">
      <c r="A27" s="11"/>
      <c r="B27" s="498" t="s">
        <v>47</v>
      </c>
      <c r="C27" s="23" t="s">
        <v>1</v>
      </c>
      <c r="D27" s="10" t="s">
        <v>37</v>
      </c>
      <c r="E27" s="10" t="s">
        <v>52</v>
      </c>
      <c r="F27" s="661" t="s">
        <v>41</v>
      </c>
      <c r="G27" s="662" t="s">
        <v>45</v>
      </c>
      <c r="H27" s="662" t="s">
        <v>39</v>
      </c>
      <c r="I27" s="663" t="s">
        <v>48</v>
      </c>
      <c r="J27" s="10"/>
      <c r="K27" s="24">
        <f>K28+K29+K30+K31</f>
        <v>78331.784</v>
      </c>
      <c r="L27" s="24">
        <f>L28+L29+L30+L31</f>
        <v>615.248449999998</v>
      </c>
      <c r="M27" s="24">
        <f>M28+M29+M30+M31</f>
        <v>78947.032449999999</v>
      </c>
    </row>
    <row r="28" spans="1:15" s="111" customFormat="1" ht="108" customHeight="1" x14ac:dyDescent="0.35">
      <c r="A28" s="11"/>
      <c r="B28" s="498" t="s">
        <v>49</v>
      </c>
      <c r="C28" s="23" t="s">
        <v>1</v>
      </c>
      <c r="D28" s="10" t="s">
        <v>37</v>
      </c>
      <c r="E28" s="10" t="s">
        <v>52</v>
      </c>
      <c r="F28" s="661" t="s">
        <v>41</v>
      </c>
      <c r="G28" s="662" t="s">
        <v>45</v>
      </c>
      <c r="H28" s="662" t="s">
        <v>39</v>
      </c>
      <c r="I28" s="663" t="s">
        <v>48</v>
      </c>
      <c r="J28" s="10" t="s">
        <v>50</v>
      </c>
      <c r="K28" s="24">
        <f>74010+661.8-9.68736-2500+2500-15758.5+15758.5-177.84109+2493.4</f>
        <v>76977.671549999999</v>
      </c>
      <c r="L28" s="24">
        <f>M28-K28</f>
        <v>463.52844999999797</v>
      </c>
      <c r="M28" s="24">
        <f>74010+661.8-9.68736-2500+2500-15758.5+15758.5-177.84109+2493.4-153.72+419.74845+22.1+526.4-1743.3-6+1398.3</f>
        <v>77441.2</v>
      </c>
      <c r="N28" s="113"/>
    </row>
    <row r="29" spans="1:15" s="7" customFormat="1" ht="54" customHeight="1" x14ac:dyDescent="0.35">
      <c r="A29" s="11"/>
      <c r="B29" s="498" t="s">
        <v>55</v>
      </c>
      <c r="C29" s="23" t="s">
        <v>1</v>
      </c>
      <c r="D29" s="10" t="s">
        <v>37</v>
      </c>
      <c r="E29" s="10" t="s">
        <v>52</v>
      </c>
      <c r="F29" s="661" t="s">
        <v>41</v>
      </c>
      <c r="G29" s="662" t="s">
        <v>45</v>
      </c>
      <c r="H29" s="662" t="s">
        <v>39</v>
      </c>
      <c r="I29" s="663" t="s">
        <v>48</v>
      </c>
      <c r="J29" s="10" t="s">
        <v>56</v>
      </c>
      <c r="K29" s="24">
        <f>1054.6+40.484</f>
        <v>1095.0839999999998</v>
      </c>
      <c r="L29" s="24">
        <f>M29-K29</f>
        <v>0</v>
      </c>
      <c r="M29" s="24">
        <f>1054.6+40.484</f>
        <v>1095.0839999999998</v>
      </c>
    </row>
    <row r="30" spans="1:15" s="7" customFormat="1" ht="36" x14ac:dyDescent="0.35">
      <c r="A30" s="11"/>
      <c r="B30" s="505" t="s">
        <v>120</v>
      </c>
      <c r="C30" s="23" t="s">
        <v>1</v>
      </c>
      <c r="D30" s="10" t="s">
        <v>37</v>
      </c>
      <c r="E30" s="10" t="s">
        <v>52</v>
      </c>
      <c r="F30" s="661" t="s">
        <v>41</v>
      </c>
      <c r="G30" s="662" t="s">
        <v>45</v>
      </c>
      <c r="H30" s="662" t="s">
        <v>39</v>
      </c>
      <c r="I30" s="663" t="s">
        <v>48</v>
      </c>
      <c r="J30" s="10" t="s">
        <v>121</v>
      </c>
      <c r="K30" s="24">
        <f>9.68736+177.84109</f>
        <v>187.52845000000002</v>
      </c>
      <c r="L30" s="24">
        <f>M30-K30</f>
        <v>153.72000000000003</v>
      </c>
      <c r="M30" s="24">
        <f>9.68736+177.84109+153.72</f>
        <v>341.24845000000005</v>
      </c>
    </row>
    <row r="31" spans="1:15" s="111" customFormat="1" ht="18" customHeight="1" x14ac:dyDescent="0.35">
      <c r="A31" s="11"/>
      <c r="B31" s="498" t="s">
        <v>57</v>
      </c>
      <c r="C31" s="23" t="s">
        <v>1</v>
      </c>
      <c r="D31" s="10" t="s">
        <v>37</v>
      </c>
      <c r="E31" s="10" t="s">
        <v>52</v>
      </c>
      <c r="F31" s="661" t="s">
        <v>41</v>
      </c>
      <c r="G31" s="662" t="s">
        <v>45</v>
      </c>
      <c r="H31" s="662" t="s">
        <v>39</v>
      </c>
      <c r="I31" s="663" t="s">
        <v>48</v>
      </c>
      <c r="J31" s="10" t="s">
        <v>58</v>
      </c>
      <c r="K31" s="24">
        <f>32.7+38.8</f>
        <v>71.5</v>
      </c>
      <c r="L31" s="24">
        <f>M31-K31</f>
        <v>-2</v>
      </c>
      <c r="M31" s="24">
        <f>32.7+38.8-2</f>
        <v>69.5</v>
      </c>
      <c r="N31" s="7"/>
    </row>
    <row r="32" spans="1:15" s="7" customFormat="1" ht="90" customHeight="1" x14ac:dyDescent="0.35">
      <c r="A32" s="11"/>
      <c r="B32" s="498" t="s">
        <v>448</v>
      </c>
      <c r="C32" s="23" t="s">
        <v>1</v>
      </c>
      <c r="D32" s="10" t="s">
        <v>37</v>
      </c>
      <c r="E32" s="10" t="s">
        <v>52</v>
      </c>
      <c r="F32" s="661" t="s">
        <v>41</v>
      </c>
      <c r="G32" s="662" t="s">
        <v>45</v>
      </c>
      <c r="H32" s="662" t="s">
        <v>39</v>
      </c>
      <c r="I32" s="663" t="s">
        <v>270</v>
      </c>
      <c r="J32" s="10"/>
      <c r="K32" s="24">
        <f>K33</f>
        <v>63</v>
      </c>
      <c r="L32" s="24">
        <f>L33</f>
        <v>0</v>
      </c>
      <c r="M32" s="24">
        <f>M33</f>
        <v>63</v>
      </c>
    </row>
    <row r="33" spans="1:13" s="113" customFormat="1" ht="54" customHeight="1" x14ac:dyDescent="0.35">
      <c r="A33" s="11"/>
      <c r="B33" s="498" t="s">
        <v>55</v>
      </c>
      <c r="C33" s="23" t="s">
        <v>1</v>
      </c>
      <c r="D33" s="10" t="s">
        <v>37</v>
      </c>
      <c r="E33" s="10" t="s">
        <v>52</v>
      </c>
      <c r="F33" s="661" t="s">
        <v>41</v>
      </c>
      <c r="G33" s="662" t="s">
        <v>45</v>
      </c>
      <c r="H33" s="662" t="s">
        <v>39</v>
      </c>
      <c r="I33" s="663" t="s">
        <v>270</v>
      </c>
      <c r="J33" s="10" t="s">
        <v>56</v>
      </c>
      <c r="K33" s="24">
        <v>63</v>
      </c>
      <c r="L33" s="24">
        <f>M33-K33</f>
        <v>0</v>
      </c>
      <c r="M33" s="24">
        <v>63</v>
      </c>
    </row>
    <row r="34" spans="1:13" s="113" customFormat="1" ht="198" customHeight="1" x14ac:dyDescent="0.35">
      <c r="A34" s="11"/>
      <c r="B34" s="536" t="s">
        <v>454</v>
      </c>
      <c r="C34" s="23" t="s">
        <v>1</v>
      </c>
      <c r="D34" s="10" t="s">
        <v>37</v>
      </c>
      <c r="E34" s="10" t="s">
        <v>52</v>
      </c>
      <c r="F34" s="661" t="s">
        <v>41</v>
      </c>
      <c r="G34" s="662" t="s">
        <v>45</v>
      </c>
      <c r="H34" s="662" t="s">
        <v>39</v>
      </c>
      <c r="I34" s="663" t="s">
        <v>59</v>
      </c>
      <c r="J34" s="10"/>
      <c r="K34" s="24">
        <f>K35</f>
        <v>729.8</v>
      </c>
      <c r="L34" s="24">
        <f>L35</f>
        <v>0</v>
      </c>
      <c r="M34" s="24">
        <f>M35</f>
        <v>729.8</v>
      </c>
    </row>
    <row r="35" spans="1:13" s="113" customFormat="1" ht="108" customHeight="1" x14ac:dyDescent="0.35">
      <c r="A35" s="11"/>
      <c r="B35" s="498" t="s">
        <v>49</v>
      </c>
      <c r="C35" s="23" t="s">
        <v>1</v>
      </c>
      <c r="D35" s="10" t="s">
        <v>37</v>
      </c>
      <c r="E35" s="10" t="s">
        <v>52</v>
      </c>
      <c r="F35" s="661" t="s">
        <v>41</v>
      </c>
      <c r="G35" s="662" t="s">
        <v>45</v>
      </c>
      <c r="H35" s="662" t="s">
        <v>39</v>
      </c>
      <c r="I35" s="663" t="s">
        <v>59</v>
      </c>
      <c r="J35" s="10" t="s">
        <v>50</v>
      </c>
      <c r="K35" s="24">
        <v>729.8</v>
      </c>
      <c r="L35" s="24">
        <f>M35-K35</f>
        <v>0</v>
      </c>
      <c r="M35" s="24">
        <v>729.8</v>
      </c>
    </row>
    <row r="36" spans="1:13" s="113" customFormat="1" ht="72" customHeight="1" x14ac:dyDescent="0.35">
      <c r="A36" s="11"/>
      <c r="B36" s="498" t="s">
        <v>412</v>
      </c>
      <c r="C36" s="23" t="s">
        <v>1</v>
      </c>
      <c r="D36" s="10" t="s">
        <v>37</v>
      </c>
      <c r="E36" s="10" t="s">
        <v>52</v>
      </c>
      <c r="F36" s="661" t="s">
        <v>41</v>
      </c>
      <c r="G36" s="662" t="s">
        <v>45</v>
      </c>
      <c r="H36" s="662" t="s">
        <v>39</v>
      </c>
      <c r="I36" s="663" t="s">
        <v>61</v>
      </c>
      <c r="J36" s="10"/>
      <c r="K36" s="24">
        <f>K37+K38</f>
        <v>730</v>
      </c>
      <c r="L36" s="24">
        <f>L37+L38</f>
        <v>0</v>
      </c>
      <c r="M36" s="24">
        <f>M37+M38</f>
        <v>730</v>
      </c>
    </row>
    <row r="37" spans="1:13" s="113" customFormat="1" ht="108" customHeight="1" x14ac:dyDescent="0.35">
      <c r="A37" s="11"/>
      <c r="B37" s="498" t="s">
        <v>49</v>
      </c>
      <c r="C37" s="23" t="s">
        <v>1</v>
      </c>
      <c r="D37" s="10" t="s">
        <v>37</v>
      </c>
      <c r="E37" s="10" t="s">
        <v>52</v>
      </c>
      <c r="F37" s="661" t="s">
        <v>41</v>
      </c>
      <c r="G37" s="662" t="s">
        <v>45</v>
      </c>
      <c r="H37" s="662" t="s">
        <v>39</v>
      </c>
      <c r="I37" s="663" t="s">
        <v>61</v>
      </c>
      <c r="J37" s="10" t="s">
        <v>50</v>
      </c>
      <c r="K37" s="24">
        <v>725.8</v>
      </c>
      <c r="L37" s="24">
        <f>M37-K37</f>
        <v>0</v>
      </c>
      <c r="M37" s="24">
        <v>725.8</v>
      </c>
    </row>
    <row r="38" spans="1:13" s="113" customFormat="1" ht="54" customHeight="1" x14ac:dyDescent="0.35">
      <c r="A38" s="11"/>
      <c r="B38" s="498" t="s">
        <v>55</v>
      </c>
      <c r="C38" s="23" t="s">
        <v>1</v>
      </c>
      <c r="D38" s="10" t="s">
        <v>37</v>
      </c>
      <c r="E38" s="10" t="s">
        <v>52</v>
      </c>
      <c r="F38" s="661" t="s">
        <v>41</v>
      </c>
      <c r="G38" s="662" t="s">
        <v>45</v>
      </c>
      <c r="H38" s="662" t="s">
        <v>39</v>
      </c>
      <c r="I38" s="663" t="s">
        <v>61</v>
      </c>
      <c r="J38" s="10" t="s">
        <v>56</v>
      </c>
      <c r="K38" s="24">
        <v>4.2</v>
      </c>
      <c r="L38" s="24">
        <f>M38-K38</f>
        <v>0</v>
      </c>
      <c r="M38" s="24">
        <v>4.2</v>
      </c>
    </row>
    <row r="39" spans="1:13" s="113" customFormat="1" ht="72" customHeight="1" x14ac:dyDescent="0.35">
      <c r="A39" s="11"/>
      <c r="B39" s="498" t="s">
        <v>60</v>
      </c>
      <c r="C39" s="23" t="s">
        <v>1</v>
      </c>
      <c r="D39" s="10" t="s">
        <v>37</v>
      </c>
      <c r="E39" s="10" t="s">
        <v>52</v>
      </c>
      <c r="F39" s="661" t="s">
        <v>41</v>
      </c>
      <c r="G39" s="662" t="s">
        <v>45</v>
      </c>
      <c r="H39" s="662" t="s">
        <v>39</v>
      </c>
      <c r="I39" s="663" t="s">
        <v>546</v>
      </c>
      <c r="J39" s="10"/>
      <c r="K39" s="24">
        <f>SUM(K40:K41)</f>
        <v>3959.6</v>
      </c>
      <c r="L39" s="24">
        <f>SUM(L40:L41)</f>
        <v>0</v>
      </c>
      <c r="M39" s="24">
        <f>SUM(M40:M41)</f>
        <v>3959.6</v>
      </c>
    </row>
    <row r="40" spans="1:13" s="113" customFormat="1" ht="108" customHeight="1" x14ac:dyDescent="0.35">
      <c r="A40" s="11"/>
      <c r="B40" s="498" t="s">
        <v>49</v>
      </c>
      <c r="C40" s="23" t="s">
        <v>1</v>
      </c>
      <c r="D40" s="10" t="s">
        <v>37</v>
      </c>
      <c r="E40" s="10" t="s">
        <v>52</v>
      </c>
      <c r="F40" s="661" t="s">
        <v>41</v>
      </c>
      <c r="G40" s="662" t="s">
        <v>45</v>
      </c>
      <c r="H40" s="662" t="s">
        <v>39</v>
      </c>
      <c r="I40" s="663" t="s">
        <v>546</v>
      </c>
      <c r="J40" s="10" t="s">
        <v>50</v>
      </c>
      <c r="K40" s="24">
        <f>3895.2+23.3</f>
        <v>3918.5</v>
      </c>
      <c r="L40" s="24">
        <f>M40-K40</f>
        <v>0</v>
      </c>
      <c r="M40" s="24">
        <f>3895.2+23.3</f>
        <v>3918.5</v>
      </c>
    </row>
    <row r="41" spans="1:13" s="113" customFormat="1" ht="54" customHeight="1" x14ac:dyDescent="0.35">
      <c r="A41" s="11"/>
      <c r="B41" s="498" t="s">
        <v>55</v>
      </c>
      <c r="C41" s="23" t="s">
        <v>1</v>
      </c>
      <c r="D41" s="10" t="s">
        <v>37</v>
      </c>
      <c r="E41" s="10" t="s">
        <v>52</v>
      </c>
      <c r="F41" s="661" t="s">
        <v>41</v>
      </c>
      <c r="G41" s="662" t="s">
        <v>45</v>
      </c>
      <c r="H41" s="662" t="s">
        <v>39</v>
      </c>
      <c r="I41" s="663" t="s">
        <v>546</v>
      </c>
      <c r="J41" s="10" t="s">
        <v>56</v>
      </c>
      <c r="K41" s="24">
        <f>64.4-23.3</f>
        <v>41.100000000000009</v>
      </c>
      <c r="L41" s="24">
        <f>M41-K41</f>
        <v>0</v>
      </c>
      <c r="M41" s="24">
        <f>64.4-23.3</f>
        <v>41.100000000000009</v>
      </c>
    </row>
    <row r="42" spans="1:13" s="7" customFormat="1" ht="18" customHeight="1" x14ac:dyDescent="0.35">
      <c r="A42" s="11"/>
      <c r="B42" s="498" t="s">
        <v>62</v>
      </c>
      <c r="C42" s="23" t="s">
        <v>1</v>
      </c>
      <c r="D42" s="10" t="s">
        <v>37</v>
      </c>
      <c r="E42" s="10" t="s">
        <v>52</v>
      </c>
      <c r="F42" s="661" t="s">
        <v>41</v>
      </c>
      <c r="G42" s="662" t="s">
        <v>45</v>
      </c>
      <c r="H42" s="662" t="s">
        <v>63</v>
      </c>
      <c r="I42" s="663" t="s">
        <v>44</v>
      </c>
      <c r="J42" s="10"/>
      <c r="K42" s="24">
        <f t="shared" ref="K42:M43" si="2">K43</f>
        <v>4.5</v>
      </c>
      <c r="L42" s="24">
        <f t="shared" si="2"/>
        <v>0</v>
      </c>
      <c r="M42" s="24">
        <f t="shared" si="2"/>
        <v>4.5</v>
      </c>
    </row>
    <row r="43" spans="1:13" s="111" customFormat="1" ht="36" customHeight="1" x14ac:dyDescent="0.35">
      <c r="A43" s="11"/>
      <c r="B43" s="498" t="s">
        <v>47</v>
      </c>
      <c r="C43" s="23" t="s">
        <v>1</v>
      </c>
      <c r="D43" s="10" t="s">
        <v>37</v>
      </c>
      <c r="E43" s="10" t="s">
        <v>52</v>
      </c>
      <c r="F43" s="661" t="s">
        <v>41</v>
      </c>
      <c r="G43" s="662" t="s">
        <v>45</v>
      </c>
      <c r="H43" s="662" t="s">
        <v>63</v>
      </c>
      <c r="I43" s="663" t="s">
        <v>48</v>
      </c>
      <c r="J43" s="10"/>
      <c r="K43" s="24">
        <f t="shared" si="2"/>
        <v>4.5</v>
      </c>
      <c r="L43" s="24">
        <f t="shared" si="2"/>
        <v>0</v>
      </c>
      <c r="M43" s="24">
        <f t="shared" si="2"/>
        <v>4.5</v>
      </c>
    </row>
    <row r="44" spans="1:13" s="7" customFormat="1" ht="54" customHeight="1" x14ac:dyDescent="0.35">
      <c r="A44" s="11"/>
      <c r="B44" s="498" t="s">
        <v>55</v>
      </c>
      <c r="C44" s="23" t="s">
        <v>1</v>
      </c>
      <c r="D44" s="10" t="s">
        <v>37</v>
      </c>
      <c r="E44" s="10" t="s">
        <v>52</v>
      </c>
      <c r="F44" s="661" t="s">
        <v>41</v>
      </c>
      <c r="G44" s="662" t="s">
        <v>45</v>
      </c>
      <c r="H44" s="662" t="s">
        <v>63</v>
      </c>
      <c r="I44" s="663" t="s">
        <v>48</v>
      </c>
      <c r="J44" s="10" t="s">
        <v>56</v>
      </c>
      <c r="K44" s="24">
        <v>4.5</v>
      </c>
      <c r="L44" s="24">
        <f>M44-K44</f>
        <v>0</v>
      </c>
      <c r="M44" s="24">
        <v>4.5</v>
      </c>
    </row>
    <row r="45" spans="1:13" s="7" customFormat="1" ht="18" customHeight="1" x14ac:dyDescent="0.35">
      <c r="A45" s="11"/>
      <c r="B45" s="498" t="s">
        <v>387</v>
      </c>
      <c r="C45" s="23" t="s">
        <v>1</v>
      </c>
      <c r="D45" s="10" t="s">
        <v>37</v>
      </c>
      <c r="E45" s="10" t="s">
        <v>65</v>
      </c>
      <c r="F45" s="661"/>
      <c r="G45" s="662"/>
      <c r="H45" s="662"/>
      <c r="I45" s="663"/>
      <c r="J45" s="10"/>
      <c r="K45" s="24">
        <f t="shared" ref="K45:M48" si="3">K46</f>
        <v>19.8</v>
      </c>
      <c r="L45" s="24">
        <f t="shared" si="3"/>
        <v>0</v>
      </c>
      <c r="M45" s="24">
        <f t="shared" si="3"/>
        <v>19.8</v>
      </c>
    </row>
    <row r="46" spans="1:13" s="7" customFormat="1" ht="54" customHeight="1" x14ac:dyDescent="0.35">
      <c r="A46" s="11"/>
      <c r="B46" s="498" t="s">
        <v>53</v>
      </c>
      <c r="C46" s="23" t="s">
        <v>1</v>
      </c>
      <c r="D46" s="10" t="s">
        <v>37</v>
      </c>
      <c r="E46" s="10" t="s">
        <v>65</v>
      </c>
      <c r="F46" s="661" t="s">
        <v>41</v>
      </c>
      <c r="G46" s="662" t="s">
        <v>42</v>
      </c>
      <c r="H46" s="662" t="s">
        <v>43</v>
      </c>
      <c r="I46" s="663" t="s">
        <v>44</v>
      </c>
      <c r="J46" s="10"/>
      <c r="K46" s="24">
        <f t="shared" si="3"/>
        <v>19.8</v>
      </c>
      <c r="L46" s="24">
        <f t="shared" si="3"/>
        <v>0</v>
      </c>
      <c r="M46" s="24">
        <f t="shared" si="3"/>
        <v>19.8</v>
      </c>
    </row>
    <row r="47" spans="1:13" s="7" customFormat="1" ht="36" customHeight="1" x14ac:dyDescent="0.35">
      <c r="A47" s="11"/>
      <c r="B47" s="498" t="s">
        <v>344</v>
      </c>
      <c r="C47" s="23" t="s">
        <v>1</v>
      </c>
      <c r="D47" s="10" t="s">
        <v>37</v>
      </c>
      <c r="E47" s="10" t="s">
        <v>65</v>
      </c>
      <c r="F47" s="661" t="s">
        <v>41</v>
      </c>
      <c r="G47" s="662" t="s">
        <v>45</v>
      </c>
      <c r="H47" s="662" t="s">
        <v>43</v>
      </c>
      <c r="I47" s="663" t="s">
        <v>44</v>
      </c>
      <c r="J47" s="10"/>
      <c r="K47" s="24">
        <f t="shared" si="3"/>
        <v>19.8</v>
      </c>
      <c r="L47" s="24">
        <f t="shared" si="3"/>
        <v>0</v>
      </c>
      <c r="M47" s="24">
        <f t="shared" si="3"/>
        <v>19.8</v>
      </c>
    </row>
    <row r="48" spans="1:13" s="7" customFormat="1" ht="36" customHeight="1" x14ac:dyDescent="0.35">
      <c r="A48" s="11"/>
      <c r="B48" s="498" t="s">
        <v>54</v>
      </c>
      <c r="C48" s="23" t="s">
        <v>1</v>
      </c>
      <c r="D48" s="10" t="s">
        <v>37</v>
      </c>
      <c r="E48" s="10" t="s">
        <v>65</v>
      </c>
      <c r="F48" s="661" t="s">
        <v>41</v>
      </c>
      <c r="G48" s="662" t="s">
        <v>45</v>
      </c>
      <c r="H48" s="662" t="s">
        <v>39</v>
      </c>
      <c r="I48" s="663" t="s">
        <v>44</v>
      </c>
      <c r="J48" s="10"/>
      <c r="K48" s="24">
        <f t="shared" si="3"/>
        <v>19.8</v>
      </c>
      <c r="L48" s="24">
        <f t="shared" si="3"/>
        <v>0</v>
      </c>
      <c r="M48" s="24">
        <f t="shared" si="3"/>
        <v>19.8</v>
      </c>
    </row>
    <row r="49" spans="1:15" s="7" customFormat="1" ht="72" customHeight="1" x14ac:dyDescent="0.35">
      <c r="A49" s="11"/>
      <c r="B49" s="498" t="s">
        <v>389</v>
      </c>
      <c r="C49" s="23" t="s">
        <v>1</v>
      </c>
      <c r="D49" s="10" t="s">
        <v>37</v>
      </c>
      <c r="E49" s="10" t="s">
        <v>65</v>
      </c>
      <c r="F49" s="661" t="s">
        <v>41</v>
      </c>
      <c r="G49" s="662" t="s">
        <v>45</v>
      </c>
      <c r="H49" s="662" t="s">
        <v>39</v>
      </c>
      <c r="I49" s="663" t="s">
        <v>388</v>
      </c>
      <c r="J49" s="10"/>
      <c r="K49" s="24">
        <f>K50</f>
        <v>19.8</v>
      </c>
      <c r="L49" s="24">
        <f>L50</f>
        <v>0</v>
      </c>
      <c r="M49" s="24">
        <f>M50</f>
        <v>19.8</v>
      </c>
    </row>
    <row r="50" spans="1:15" s="7" customFormat="1" ht="54" customHeight="1" x14ac:dyDescent="0.35">
      <c r="A50" s="11"/>
      <c r="B50" s="498" t="s">
        <v>55</v>
      </c>
      <c r="C50" s="23" t="s">
        <v>1</v>
      </c>
      <c r="D50" s="10" t="s">
        <v>37</v>
      </c>
      <c r="E50" s="10" t="s">
        <v>65</v>
      </c>
      <c r="F50" s="661" t="s">
        <v>41</v>
      </c>
      <c r="G50" s="662" t="s">
        <v>45</v>
      </c>
      <c r="H50" s="662" t="s">
        <v>39</v>
      </c>
      <c r="I50" s="663" t="s">
        <v>388</v>
      </c>
      <c r="J50" s="10" t="s">
        <v>56</v>
      </c>
      <c r="K50" s="24">
        <v>19.8</v>
      </c>
      <c r="L50" s="24">
        <f>M50-K50</f>
        <v>0</v>
      </c>
      <c r="M50" s="24">
        <v>19.8</v>
      </c>
    </row>
    <row r="51" spans="1:15" s="111" customFormat="1" ht="18" customHeight="1" x14ac:dyDescent="0.35">
      <c r="A51" s="11"/>
      <c r="B51" s="498" t="s">
        <v>66</v>
      </c>
      <c r="C51" s="23" t="s">
        <v>1</v>
      </c>
      <c r="D51" s="10" t="s">
        <v>37</v>
      </c>
      <c r="E51" s="10" t="s">
        <v>67</v>
      </c>
      <c r="F51" s="661"/>
      <c r="G51" s="662"/>
      <c r="H51" s="662"/>
      <c r="I51" s="663"/>
      <c r="J51" s="10"/>
      <c r="K51" s="24">
        <f t="shared" ref="K51:M52" si="4">K52</f>
        <v>11734.905939999995</v>
      </c>
      <c r="L51" s="24">
        <f t="shared" si="4"/>
        <v>-1599</v>
      </c>
      <c r="M51" s="24">
        <f t="shared" si="4"/>
        <v>10135.905939999995</v>
      </c>
    </row>
    <row r="52" spans="1:15" s="111" customFormat="1" ht="36" customHeight="1" x14ac:dyDescent="0.35">
      <c r="A52" s="11"/>
      <c r="B52" s="498" t="s">
        <v>450</v>
      </c>
      <c r="C52" s="23" t="s">
        <v>1</v>
      </c>
      <c r="D52" s="10" t="s">
        <v>37</v>
      </c>
      <c r="E52" s="10" t="s">
        <v>67</v>
      </c>
      <c r="F52" s="661" t="s">
        <v>68</v>
      </c>
      <c r="G52" s="662" t="s">
        <v>42</v>
      </c>
      <c r="H52" s="662" t="s">
        <v>43</v>
      </c>
      <c r="I52" s="663" t="s">
        <v>44</v>
      </c>
      <c r="J52" s="10"/>
      <c r="K52" s="24">
        <f t="shared" si="4"/>
        <v>11734.905939999995</v>
      </c>
      <c r="L52" s="24">
        <f t="shared" si="4"/>
        <v>-1599</v>
      </c>
      <c r="M52" s="24">
        <f t="shared" si="4"/>
        <v>10135.905939999995</v>
      </c>
    </row>
    <row r="53" spans="1:15" s="111" customFormat="1" ht="18" customHeight="1" x14ac:dyDescent="0.35">
      <c r="A53" s="11"/>
      <c r="B53" s="531" t="s">
        <v>451</v>
      </c>
      <c r="C53" s="23" t="s">
        <v>1</v>
      </c>
      <c r="D53" s="10" t="s">
        <v>37</v>
      </c>
      <c r="E53" s="10" t="s">
        <v>67</v>
      </c>
      <c r="F53" s="661" t="s">
        <v>68</v>
      </c>
      <c r="G53" s="662" t="s">
        <v>45</v>
      </c>
      <c r="H53" s="662" t="s">
        <v>43</v>
      </c>
      <c r="I53" s="663" t="s">
        <v>44</v>
      </c>
      <c r="J53" s="10"/>
      <c r="K53" s="24">
        <f t="shared" ref="K53:M54" si="5">K54</f>
        <v>11734.905939999995</v>
      </c>
      <c r="L53" s="24">
        <f t="shared" si="5"/>
        <v>-1599</v>
      </c>
      <c r="M53" s="24">
        <f t="shared" si="5"/>
        <v>10135.905939999995</v>
      </c>
    </row>
    <row r="54" spans="1:15" s="111" customFormat="1" ht="36" customHeight="1" x14ac:dyDescent="0.35">
      <c r="A54" s="11"/>
      <c r="B54" s="498" t="s">
        <v>449</v>
      </c>
      <c r="C54" s="23" t="s">
        <v>1</v>
      </c>
      <c r="D54" s="10" t="s">
        <v>37</v>
      </c>
      <c r="E54" s="10" t="s">
        <v>67</v>
      </c>
      <c r="F54" s="661" t="s">
        <v>68</v>
      </c>
      <c r="G54" s="662" t="s">
        <v>45</v>
      </c>
      <c r="H54" s="662" t="s">
        <v>43</v>
      </c>
      <c r="I54" s="663" t="s">
        <v>69</v>
      </c>
      <c r="J54" s="10"/>
      <c r="K54" s="24">
        <f t="shared" si="5"/>
        <v>11734.905939999995</v>
      </c>
      <c r="L54" s="24">
        <f t="shared" si="5"/>
        <v>-1599</v>
      </c>
      <c r="M54" s="24">
        <f t="shared" si="5"/>
        <v>10135.905939999995</v>
      </c>
    </row>
    <row r="55" spans="1:15" s="111" customFormat="1" ht="18" customHeight="1" x14ac:dyDescent="0.35">
      <c r="A55" s="11"/>
      <c r="B55" s="498" t="s">
        <v>57</v>
      </c>
      <c r="C55" s="23" t="s">
        <v>1</v>
      </c>
      <c r="D55" s="10" t="s">
        <v>37</v>
      </c>
      <c r="E55" s="10" t="s">
        <v>67</v>
      </c>
      <c r="F55" s="661" t="s">
        <v>68</v>
      </c>
      <c r="G55" s="662" t="s">
        <v>45</v>
      </c>
      <c r="H55" s="662" t="s">
        <v>43</v>
      </c>
      <c r="I55" s="663" t="s">
        <v>69</v>
      </c>
      <c r="J55" s="10" t="s">
        <v>58</v>
      </c>
      <c r="K55" s="24">
        <f>55921.2-357.1-600-338-280.5-596.1-619.3-661.8-39190.7+1009.1-1070.2+20816+282.1-1769.3-18635.2+0.005-63-2699+605.6-6120-280.5-88-98.8-1204.272+6712.8+0.03-649.1-435-775-1192.8-30+682.3+3751.04294-291.6</f>
        <v>11734.905939999995</v>
      </c>
      <c r="L55" s="24">
        <f>M55-K55</f>
        <v>-1599</v>
      </c>
      <c r="M55" s="24">
        <f>55921.2-357.1-600-338-280.5-596.1-619.3-661.8-39190.7+1009.1-1070.2+20816+282.1-1769.3-18635.2+0.005-63-2699+605.6-6120-280.5-88-98.8-1204.272+6712.8+0.03-649.1-435-775-1192.8-30+682.3+3751.04294-291.6-4599+3000</f>
        <v>10135.905939999995</v>
      </c>
    </row>
    <row r="56" spans="1:15" s="111" customFormat="1" ht="18" customHeight="1" x14ac:dyDescent="0.35">
      <c r="A56" s="11"/>
      <c r="B56" s="498" t="s">
        <v>70</v>
      </c>
      <c r="C56" s="23" t="s">
        <v>1</v>
      </c>
      <c r="D56" s="10" t="s">
        <v>37</v>
      </c>
      <c r="E56" s="10" t="s">
        <v>71</v>
      </c>
      <c r="F56" s="661"/>
      <c r="G56" s="662"/>
      <c r="H56" s="662"/>
      <c r="I56" s="663"/>
      <c r="J56" s="10"/>
      <c r="K56" s="24">
        <f>K57+K67+K62+K88</f>
        <v>87588.31</v>
      </c>
      <c r="L56" s="24">
        <f>L57+L67+L62+L88</f>
        <v>2759.1515499999996</v>
      </c>
      <c r="M56" s="24">
        <f>M57+M67+M62+M88+0.03</f>
        <v>90347.491549999977</v>
      </c>
      <c r="O56" s="113">
        <v>0.03</v>
      </c>
    </row>
    <row r="57" spans="1:15" s="111" customFormat="1" ht="72" customHeight="1" x14ac:dyDescent="0.35">
      <c r="A57" s="11"/>
      <c r="B57" s="566" t="s">
        <v>337</v>
      </c>
      <c r="C57" s="23" t="s">
        <v>1</v>
      </c>
      <c r="D57" s="10" t="s">
        <v>37</v>
      </c>
      <c r="E57" s="10" t="s">
        <v>71</v>
      </c>
      <c r="F57" s="661" t="s">
        <v>104</v>
      </c>
      <c r="G57" s="662" t="s">
        <v>42</v>
      </c>
      <c r="H57" s="662" t="s">
        <v>43</v>
      </c>
      <c r="I57" s="663" t="s">
        <v>44</v>
      </c>
      <c r="J57" s="10"/>
      <c r="K57" s="24">
        <f t="shared" ref="K57:M60" si="6">K58</f>
        <v>92.2</v>
      </c>
      <c r="L57" s="24">
        <f t="shared" si="6"/>
        <v>-44.2</v>
      </c>
      <c r="M57" s="24">
        <f t="shared" si="6"/>
        <v>48</v>
      </c>
    </row>
    <row r="58" spans="1:15" s="111" customFormat="1" ht="36" customHeight="1" x14ac:dyDescent="0.35">
      <c r="A58" s="11"/>
      <c r="B58" s="566" t="s">
        <v>483</v>
      </c>
      <c r="C58" s="23" t="s">
        <v>1</v>
      </c>
      <c r="D58" s="10" t="s">
        <v>37</v>
      </c>
      <c r="E58" s="10" t="s">
        <v>71</v>
      </c>
      <c r="F58" s="661" t="s">
        <v>104</v>
      </c>
      <c r="G58" s="662" t="s">
        <v>484</v>
      </c>
      <c r="H58" s="662" t="s">
        <v>43</v>
      </c>
      <c r="I58" s="663" t="s">
        <v>44</v>
      </c>
      <c r="J58" s="10"/>
      <c r="K58" s="24">
        <f t="shared" si="6"/>
        <v>92.2</v>
      </c>
      <c r="L58" s="24">
        <f t="shared" si="6"/>
        <v>-44.2</v>
      </c>
      <c r="M58" s="24">
        <f t="shared" si="6"/>
        <v>48</v>
      </c>
    </row>
    <row r="59" spans="1:15" s="111" customFormat="1" ht="36" customHeight="1" x14ac:dyDescent="0.35">
      <c r="A59" s="11"/>
      <c r="B59" s="566" t="s">
        <v>630</v>
      </c>
      <c r="C59" s="23" t="s">
        <v>1</v>
      </c>
      <c r="D59" s="10" t="s">
        <v>37</v>
      </c>
      <c r="E59" s="10" t="s">
        <v>71</v>
      </c>
      <c r="F59" s="661" t="s">
        <v>104</v>
      </c>
      <c r="G59" s="662" t="s">
        <v>484</v>
      </c>
      <c r="H59" s="662" t="s">
        <v>37</v>
      </c>
      <c r="I59" s="663" t="s">
        <v>44</v>
      </c>
      <c r="J59" s="10"/>
      <c r="K59" s="24">
        <f t="shared" si="6"/>
        <v>92.2</v>
      </c>
      <c r="L59" s="24">
        <f t="shared" si="6"/>
        <v>-44.2</v>
      </c>
      <c r="M59" s="24">
        <f t="shared" si="6"/>
        <v>48</v>
      </c>
    </row>
    <row r="60" spans="1:15" s="111" customFormat="1" ht="72" customHeight="1" x14ac:dyDescent="0.35">
      <c r="A60" s="11"/>
      <c r="B60" s="566" t="s">
        <v>631</v>
      </c>
      <c r="C60" s="23" t="s">
        <v>1</v>
      </c>
      <c r="D60" s="10" t="s">
        <v>37</v>
      </c>
      <c r="E60" s="10" t="s">
        <v>71</v>
      </c>
      <c r="F60" s="661" t="s">
        <v>104</v>
      </c>
      <c r="G60" s="662" t="s">
        <v>484</v>
      </c>
      <c r="H60" s="662" t="s">
        <v>37</v>
      </c>
      <c r="I60" s="663" t="s">
        <v>632</v>
      </c>
      <c r="J60" s="10"/>
      <c r="K60" s="24">
        <f t="shared" si="6"/>
        <v>92.2</v>
      </c>
      <c r="L60" s="24">
        <f t="shared" si="6"/>
        <v>-44.2</v>
      </c>
      <c r="M60" s="24">
        <f t="shared" si="6"/>
        <v>48</v>
      </c>
    </row>
    <row r="61" spans="1:15" s="111" customFormat="1" ht="54" customHeight="1" x14ac:dyDescent="0.35">
      <c r="A61" s="11"/>
      <c r="B61" s="566" t="s">
        <v>55</v>
      </c>
      <c r="C61" s="23" t="s">
        <v>1</v>
      </c>
      <c r="D61" s="10" t="s">
        <v>37</v>
      </c>
      <c r="E61" s="10" t="s">
        <v>71</v>
      </c>
      <c r="F61" s="661" t="s">
        <v>104</v>
      </c>
      <c r="G61" s="662" t="s">
        <v>484</v>
      </c>
      <c r="H61" s="662" t="s">
        <v>37</v>
      </c>
      <c r="I61" s="663" t="s">
        <v>632</v>
      </c>
      <c r="J61" s="10" t="s">
        <v>56</v>
      </c>
      <c r="K61" s="24">
        <v>92.2</v>
      </c>
      <c r="L61" s="24">
        <f>M61-K61</f>
        <v>-44.2</v>
      </c>
      <c r="M61" s="24">
        <f>92.2-44.2</f>
        <v>48</v>
      </c>
    </row>
    <row r="62" spans="1:15" s="111" customFormat="1" ht="72" customHeight="1" x14ac:dyDescent="0.35">
      <c r="A62" s="11"/>
      <c r="B62" s="498" t="s">
        <v>72</v>
      </c>
      <c r="C62" s="23" t="s">
        <v>1</v>
      </c>
      <c r="D62" s="10" t="s">
        <v>37</v>
      </c>
      <c r="E62" s="10" t="s">
        <v>71</v>
      </c>
      <c r="F62" s="661" t="s">
        <v>73</v>
      </c>
      <c r="G62" s="662" t="s">
        <v>42</v>
      </c>
      <c r="H62" s="662" t="s">
        <v>43</v>
      </c>
      <c r="I62" s="663" t="s">
        <v>44</v>
      </c>
      <c r="J62" s="10"/>
      <c r="K62" s="24">
        <f t="shared" ref="K62:M64" si="7">K63</f>
        <v>1782.9</v>
      </c>
      <c r="L62" s="24">
        <f t="shared" si="7"/>
        <v>0</v>
      </c>
      <c r="M62" s="24">
        <f t="shared" si="7"/>
        <v>1782.9</v>
      </c>
    </row>
    <row r="63" spans="1:15" s="111" customFormat="1" ht="36" customHeight="1" x14ac:dyDescent="0.35">
      <c r="A63" s="11"/>
      <c r="B63" s="498" t="s">
        <v>344</v>
      </c>
      <c r="C63" s="23" t="s">
        <v>1</v>
      </c>
      <c r="D63" s="10" t="s">
        <v>37</v>
      </c>
      <c r="E63" s="10" t="s">
        <v>71</v>
      </c>
      <c r="F63" s="661" t="s">
        <v>73</v>
      </c>
      <c r="G63" s="662" t="s">
        <v>45</v>
      </c>
      <c r="H63" s="662" t="s">
        <v>43</v>
      </c>
      <c r="I63" s="663" t="s">
        <v>44</v>
      </c>
      <c r="J63" s="10"/>
      <c r="K63" s="24">
        <f t="shared" si="7"/>
        <v>1782.9</v>
      </c>
      <c r="L63" s="24">
        <f t="shared" si="7"/>
        <v>0</v>
      </c>
      <c r="M63" s="24">
        <f t="shared" si="7"/>
        <v>1782.9</v>
      </c>
    </row>
    <row r="64" spans="1:15" s="111" customFormat="1" ht="54" customHeight="1" x14ac:dyDescent="0.35">
      <c r="A64" s="11"/>
      <c r="B64" s="531" t="s">
        <v>271</v>
      </c>
      <c r="C64" s="23" t="s">
        <v>1</v>
      </c>
      <c r="D64" s="10" t="s">
        <v>37</v>
      </c>
      <c r="E64" s="10" t="s">
        <v>71</v>
      </c>
      <c r="F64" s="661" t="s">
        <v>73</v>
      </c>
      <c r="G64" s="662" t="s">
        <v>45</v>
      </c>
      <c r="H64" s="662" t="s">
        <v>37</v>
      </c>
      <c r="I64" s="663" t="s">
        <v>44</v>
      </c>
      <c r="J64" s="10"/>
      <c r="K64" s="24">
        <f t="shared" si="7"/>
        <v>1782.9</v>
      </c>
      <c r="L64" s="24">
        <f t="shared" si="7"/>
        <v>0</v>
      </c>
      <c r="M64" s="24">
        <f t="shared" si="7"/>
        <v>1782.9</v>
      </c>
    </row>
    <row r="65" spans="1:13" s="111" customFormat="1" ht="54" customHeight="1" x14ac:dyDescent="0.35">
      <c r="A65" s="11"/>
      <c r="B65" s="531" t="s">
        <v>74</v>
      </c>
      <c r="C65" s="23" t="s">
        <v>1</v>
      </c>
      <c r="D65" s="10" t="s">
        <v>37</v>
      </c>
      <c r="E65" s="10" t="s">
        <v>71</v>
      </c>
      <c r="F65" s="661" t="s">
        <v>73</v>
      </c>
      <c r="G65" s="662" t="s">
        <v>45</v>
      </c>
      <c r="H65" s="662" t="s">
        <v>37</v>
      </c>
      <c r="I65" s="663" t="s">
        <v>75</v>
      </c>
      <c r="J65" s="10"/>
      <c r="K65" s="24">
        <f>K66</f>
        <v>1782.9</v>
      </c>
      <c r="L65" s="24">
        <f>L66</f>
        <v>0</v>
      </c>
      <c r="M65" s="24">
        <f>M66</f>
        <v>1782.9</v>
      </c>
    </row>
    <row r="66" spans="1:13" s="111" customFormat="1" ht="54" customHeight="1" x14ac:dyDescent="0.35">
      <c r="A66" s="11"/>
      <c r="B66" s="505" t="s">
        <v>76</v>
      </c>
      <c r="C66" s="23" t="s">
        <v>1</v>
      </c>
      <c r="D66" s="10" t="s">
        <v>37</v>
      </c>
      <c r="E66" s="10" t="s">
        <v>71</v>
      </c>
      <c r="F66" s="661" t="s">
        <v>73</v>
      </c>
      <c r="G66" s="662" t="s">
        <v>45</v>
      </c>
      <c r="H66" s="662" t="s">
        <v>37</v>
      </c>
      <c r="I66" s="663" t="s">
        <v>75</v>
      </c>
      <c r="J66" s="10" t="s">
        <v>77</v>
      </c>
      <c r="K66" s="24">
        <f>406.2+596.7+200+580</f>
        <v>1782.9</v>
      </c>
      <c r="L66" s="24">
        <f>M66-K66</f>
        <v>0</v>
      </c>
      <c r="M66" s="24">
        <f>406.2+596.7+200+580</f>
        <v>1782.9</v>
      </c>
    </row>
    <row r="67" spans="1:13" s="111" customFormat="1" ht="54" customHeight="1" x14ac:dyDescent="0.35">
      <c r="A67" s="11"/>
      <c r="B67" s="498" t="s">
        <v>40</v>
      </c>
      <c r="C67" s="23" t="s">
        <v>1</v>
      </c>
      <c r="D67" s="10" t="s">
        <v>37</v>
      </c>
      <c r="E67" s="10" t="s">
        <v>71</v>
      </c>
      <c r="F67" s="661" t="s">
        <v>41</v>
      </c>
      <c r="G67" s="662" t="s">
        <v>42</v>
      </c>
      <c r="H67" s="662" t="s">
        <v>43</v>
      </c>
      <c r="I67" s="663" t="s">
        <v>44</v>
      </c>
      <c r="J67" s="10"/>
      <c r="K67" s="24">
        <f>K68</f>
        <v>56191.41</v>
      </c>
      <c r="L67" s="24">
        <f>L68</f>
        <v>1928.5515500000004</v>
      </c>
      <c r="M67" s="24">
        <f>M68</f>
        <v>58119.961549999985</v>
      </c>
    </row>
    <row r="68" spans="1:13" s="111" customFormat="1" ht="36" customHeight="1" x14ac:dyDescent="0.35">
      <c r="A68" s="11"/>
      <c r="B68" s="498" t="s">
        <v>344</v>
      </c>
      <c r="C68" s="23" t="s">
        <v>1</v>
      </c>
      <c r="D68" s="10" t="s">
        <v>37</v>
      </c>
      <c r="E68" s="10" t="s">
        <v>71</v>
      </c>
      <c r="F68" s="661" t="s">
        <v>41</v>
      </c>
      <c r="G68" s="662" t="s">
        <v>45</v>
      </c>
      <c r="H68" s="662" t="s">
        <v>43</v>
      </c>
      <c r="I68" s="663" t="s">
        <v>44</v>
      </c>
      <c r="J68" s="10"/>
      <c r="K68" s="24">
        <f>K73+K69+K81+K78</f>
        <v>56191.41</v>
      </c>
      <c r="L68" s="24">
        <f>L73+L69+L81+L78</f>
        <v>1928.5515500000004</v>
      </c>
      <c r="M68" s="24">
        <f>M73+M69+M81+M78</f>
        <v>58119.961549999985</v>
      </c>
    </row>
    <row r="69" spans="1:13" s="111" customFormat="1" ht="18" customHeight="1" x14ac:dyDescent="0.35">
      <c r="A69" s="11"/>
      <c r="B69" s="505" t="s">
        <v>62</v>
      </c>
      <c r="C69" s="23" t="s">
        <v>1</v>
      </c>
      <c r="D69" s="10" t="s">
        <v>37</v>
      </c>
      <c r="E69" s="10" t="s">
        <v>71</v>
      </c>
      <c r="F69" s="661" t="s">
        <v>41</v>
      </c>
      <c r="G69" s="662" t="s">
        <v>45</v>
      </c>
      <c r="H69" s="662" t="s">
        <v>63</v>
      </c>
      <c r="I69" s="663" t="s">
        <v>44</v>
      </c>
      <c r="J69" s="10"/>
      <c r="K69" s="24">
        <f>K70</f>
        <v>6445.7</v>
      </c>
      <c r="L69" s="24">
        <f>L70</f>
        <v>1008</v>
      </c>
      <c r="M69" s="24">
        <f>M70</f>
        <v>7453.7</v>
      </c>
    </row>
    <row r="70" spans="1:13" s="111" customFormat="1" ht="67.5" customHeight="1" x14ac:dyDescent="0.35">
      <c r="A70" s="11"/>
      <c r="B70" s="505" t="s">
        <v>383</v>
      </c>
      <c r="C70" s="23" t="s">
        <v>1</v>
      </c>
      <c r="D70" s="10" t="s">
        <v>37</v>
      </c>
      <c r="E70" s="10" t="s">
        <v>71</v>
      </c>
      <c r="F70" s="661" t="s">
        <v>41</v>
      </c>
      <c r="G70" s="662" t="s">
        <v>45</v>
      </c>
      <c r="H70" s="662" t="s">
        <v>63</v>
      </c>
      <c r="I70" s="663" t="s">
        <v>382</v>
      </c>
      <c r="J70" s="10"/>
      <c r="K70" s="24">
        <f>K71+K72</f>
        <v>6445.7</v>
      </c>
      <c r="L70" s="24">
        <f>L71+L72</f>
        <v>1008</v>
      </c>
      <c r="M70" s="24">
        <f>M71+M72</f>
        <v>7453.7</v>
      </c>
    </row>
    <row r="71" spans="1:13" s="111" customFormat="1" ht="54" customHeight="1" x14ac:dyDescent="0.35">
      <c r="A71" s="11"/>
      <c r="B71" s="498" t="s">
        <v>55</v>
      </c>
      <c r="C71" s="23" t="s">
        <v>1</v>
      </c>
      <c r="D71" s="10" t="s">
        <v>37</v>
      </c>
      <c r="E71" s="10" t="s">
        <v>71</v>
      </c>
      <c r="F71" s="661" t="s">
        <v>41</v>
      </c>
      <c r="G71" s="662" t="s">
        <v>45</v>
      </c>
      <c r="H71" s="662" t="s">
        <v>63</v>
      </c>
      <c r="I71" s="663" t="s">
        <v>382</v>
      </c>
      <c r="J71" s="10" t="s">
        <v>56</v>
      </c>
      <c r="K71" s="24">
        <f>1911.5+1226.2-840+2500+39.3+30.2+435+47.9+850+19.3</f>
        <v>6219.4</v>
      </c>
      <c r="L71" s="24">
        <f>M71-K71</f>
        <v>1010</v>
      </c>
      <c r="M71" s="24">
        <f>1911.5+1226.2-840+2500+39.3+30.2+435+47.9+850+19.3+1010</f>
        <v>7229.4</v>
      </c>
    </row>
    <row r="72" spans="1:13" s="111" customFormat="1" ht="18" customHeight="1" x14ac:dyDescent="0.35">
      <c r="A72" s="11"/>
      <c r="B72" s="498" t="s">
        <v>57</v>
      </c>
      <c r="C72" s="23" t="s">
        <v>1</v>
      </c>
      <c r="D72" s="10" t="s">
        <v>37</v>
      </c>
      <c r="E72" s="10" t="s">
        <v>71</v>
      </c>
      <c r="F72" s="661" t="s">
        <v>41</v>
      </c>
      <c r="G72" s="662" t="s">
        <v>45</v>
      </c>
      <c r="H72" s="662" t="s">
        <v>63</v>
      </c>
      <c r="I72" s="663" t="s">
        <v>382</v>
      </c>
      <c r="J72" s="10" t="s">
        <v>58</v>
      </c>
      <c r="K72" s="24">
        <v>226.3</v>
      </c>
      <c r="L72" s="24">
        <f>M72-K72</f>
        <v>-2</v>
      </c>
      <c r="M72" s="24">
        <f>226.3-2</f>
        <v>224.3</v>
      </c>
    </row>
    <row r="73" spans="1:13" s="111" customFormat="1" ht="18" customHeight="1" x14ac:dyDescent="0.35">
      <c r="A73" s="11"/>
      <c r="B73" s="498" t="s">
        <v>64</v>
      </c>
      <c r="C73" s="23" t="s">
        <v>1</v>
      </c>
      <c r="D73" s="10" t="s">
        <v>37</v>
      </c>
      <c r="E73" s="10" t="s">
        <v>71</v>
      </c>
      <c r="F73" s="661" t="s">
        <v>41</v>
      </c>
      <c r="G73" s="662" t="s">
        <v>45</v>
      </c>
      <c r="H73" s="662" t="s">
        <v>52</v>
      </c>
      <c r="I73" s="663" t="s">
        <v>44</v>
      </c>
      <c r="J73" s="10"/>
      <c r="K73" s="24">
        <f>K74+K76</f>
        <v>6438.7</v>
      </c>
      <c r="L73" s="24">
        <f>L74+L76</f>
        <v>-359.94844999999987</v>
      </c>
      <c r="M73" s="24">
        <f>M74+M76</f>
        <v>6078.75155</v>
      </c>
    </row>
    <row r="74" spans="1:13" s="111" customFormat="1" ht="69" customHeight="1" x14ac:dyDescent="0.35">
      <c r="A74" s="11"/>
      <c r="B74" s="537" t="s">
        <v>357</v>
      </c>
      <c r="C74" s="23" t="s">
        <v>1</v>
      </c>
      <c r="D74" s="10" t="s">
        <v>37</v>
      </c>
      <c r="E74" s="10" t="s">
        <v>71</v>
      </c>
      <c r="F74" s="661" t="s">
        <v>41</v>
      </c>
      <c r="G74" s="662" t="s">
        <v>45</v>
      </c>
      <c r="H74" s="662" t="s">
        <v>52</v>
      </c>
      <c r="I74" s="663" t="s">
        <v>105</v>
      </c>
      <c r="J74" s="10"/>
      <c r="K74" s="24">
        <f>K75</f>
        <v>3349.7</v>
      </c>
      <c r="L74" s="24">
        <f>L75</f>
        <v>300</v>
      </c>
      <c r="M74" s="24">
        <f>M75</f>
        <v>3649.7</v>
      </c>
    </row>
    <row r="75" spans="1:13" s="111" customFormat="1" ht="54" customHeight="1" x14ac:dyDescent="0.35">
      <c r="A75" s="11"/>
      <c r="B75" s="498" t="s">
        <v>55</v>
      </c>
      <c r="C75" s="23" t="s">
        <v>1</v>
      </c>
      <c r="D75" s="10" t="s">
        <v>37</v>
      </c>
      <c r="E75" s="10" t="s">
        <v>71</v>
      </c>
      <c r="F75" s="661" t="s">
        <v>41</v>
      </c>
      <c r="G75" s="662" t="s">
        <v>45</v>
      </c>
      <c r="H75" s="662" t="s">
        <v>52</v>
      </c>
      <c r="I75" s="663" t="s">
        <v>105</v>
      </c>
      <c r="J75" s="10" t="s">
        <v>56</v>
      </c>
      <c r="K75" s="24">
        <f>1138.8+1117.6+840+143.3+110</f>
        <v>3349.7</v>
      </c>
      <c r="L75" s="24">
        <f>M75-K75</f>
        <v>300</v>
      </c>
      <c r="M75" s="24">
        <f>1138.8+1117.6+840+143.3+110+300</f>
        <v>3649.7</v>
      </c>
    </row>
    <row r="76" spans="1:13" s="111" customFormat="1" ht="54" customHeight="1" x14ac:dyDescent="0.35">
      <c r="A76" s="11"/>
      <c r="B76" s="498" t="s">
        <v>359</v>
      </c>
      <c r="C76" s="23" t="s">
        <v>1</v>
      </c>
      <c r="D76" s="10" t="s">
        <v>37</v>
      </c>
      <c r="E76" s="10" t="s">
        <v>71</v>
      </c>
      <c r="F76" s="661" t="s">
        <v>41</v>
      </c>
      <c r="G76" s="662" t="s">
        <v>45</v>
      </c>
      <c r="H76" s="662" t="s">
        <v>52</v>
      </c>
      <c r="I76" s="663" t="s">
        <v>358</v>
      </c>
      <c r="J76" s="10"/>
      <c r="K76" s="24">
        <f>K77</f>
        <v>3089</v>
      </c>
      <c r="L76" s="24">
        <f>L77</f>
        <v>-659.94844999999987</v>
      </c>
      <c r="M76" s="24">
        <f>M77</f>
        <v>2429.0515500000001</v>
      </c>
    </row>
    <row r="77" spans="1:13" s="111" customFormat="1" ht="54" customHeight="1" x14ac:dyDescent="0.35">
      <c r="A77" s="11"/>
      <c r="B77" s="498" t="s">
        <v>55</v>
      </c>
      <c r="C77" s="23" t="s">
        <v>1</v>
      </c>
      <c r="D77" s="10" t="s">
        <v>37</v>
      </c>
      <c r="E77" s="10" t="s">
        <v>71</v>
      </c>
      <c r="F77" s="661" t="s">
        <v>41</v>
      </c>
      <c r="G77" s="662" t="s">
        <v>45</v>
      </c>
      <c r="H77" s="662" t="s">
        <v>52</v>
      </c>
      <c r="I77" s="663" t="s">
        <v>358</v>
      </c>
      <c r="J77" s="10" t="s">
        <v>56</v>
      </c>
      <c r="K77" s="24">
        <f>2089+1000</f>
        <v>3089</v>
      </c>
      <c r="L77" s="24">
        <f>M77-K77</f>
        <v>-659.94844999999987</v>
      </c>
      <c r="M77" s="24">
        <f>2089+1000-419.74845-240.2</f>
        <v>2429.0515500000001</v>
      </c>
    </row>
    <row r="78" spans="1:13" s="111" customFormat="1" ht="36" customHeight="1" x14ac:dyDescent="0.35">
      <c r="A78" s="11"/>
      <c r="B78" s="566" t="s">
        <v>378</v>
      </c>
      <c r="C78" s="23" t="s">
        <v>1</v>
      </c>
      <c r="D78" s="10" t="s">
        <v>37</v>
      </c>
      <c r="E78" s="10" t="s">
        <v>71</v>
      </c>
      <c r="F78" s="661" t="s">
        <v>41</v>
      </c>
      <c r="G78" s="662" t="s">
        <v>45</v>
      </c>
      <c r="H78" s="662" t="s">
        <v>674</v>
      </c>
      <c r="I78" s="663" t="s">
        <v>44</v>
      </c>
      <c r="J78" s="10"/>
      <c r="K78" s="24">
        <f t="shared" ref="K78:M78" si="8">K79</f>
        <v>1579.1</v>
      </c>
      <c r="L78" s="24">
        <f t="shared" si="8"/>
        <v>255.59999999999991</v>
      </c>
      <c r="M78" s="24">
        <f t="shared" si="8"/>
        <v>1834.6999999999998</v>
      </c>
    </row>
    <row r="79" spans="1:13" s="111" customFormat="1" ht="36" customHeight="1" x14ac:dyDescent="0.35">
      <c r="A79" s="11"/>
      <c r="B79" s="566" t="s">
        <v>342</v>
      </c>
      <c r="C79" s="23" t="s">
        <v>1</v>
      </c>
      <c r="D79" s="10" t="s">
        <v>37</v>
      </c>
      <c r="E79" s="10" t="s">
        <v>71</v>
      </c>
      <c r="F79" s="661" t="s">
        <v>41</v>
      </c>
      <c r="G79" s="662" t="s">
        <v>45</v>
      </c>
      <c r="H79" s="662" t="s">
        <v>674</v>
      </c>
      <c r="I79" s="663" t="s">
        <v>341</v>
      </c>
      <c r="J79" s="10"/>
      <c r="K79" s="24">
        <f>K80</f>
        <v>1579.1</v>
      </c>
      <c r="L79" s="24">
        <f>L80</f>
        <v>255.59999999999991</v>
      </c>
      <c r="M79" s="24">
        <f>M80</f>
        <v>1834.6999999999998</v>
      </c>
    </row>
    <row r="80" spans="1:13" s="111" customFormat="1" ht="18" x14ac:dyDescent="0.35">
      <c r="A80" s="11"/>
      <c r="B80" s="498" t="s">
        <v>57</v>
      </c>
      <c r="C80" s="23" t="s">
        <v>1</v>
      </c>
      <c r="D80" s="10" t="s">
        <v>37</v>
      </c>
      <c r="E80" s="10" t="s">
        <v>71</v>
      </c>
      <c r="F80" s="661" t="s">
        <v>41</v>
      </c>
      <c r="G80" s="662" t="s">
        <v>45</v>
      </c>
      <c r="H80" s="662" t="s">
        <v>674</v>
      </c>
      <c r="I80" s="663" t="s">
        <v>341</v>
      </c>
      <c r="J80" s="10" t="s">
        <v>58</v>
      </c>
      <c r="K80" s="24">
        <f>1089+421.3+68.8</f>
        <v>1579.1</v>
      </c>
      <c r="L80" s="24">
        <f t="shared" ref="L80" si="9">M80-K80</f>
        <v>255.59999999999991</v>
      </c>
      <c r="M80" s="24">
        <f>1089+421.3+68.8+245.6+10</f>
        <v>1834.6999999999998</v>
      </c>
    </row>
    <row r="81" spans="1:13" s="111" customFormat="1" ht="100.5" customHeight="1" x14ac:dyDescent="0.35">
      <c r="A81" s="11"/>
      <c r="B81" s="498" t="s">
        <v>604</v>
      </c>
      <c r="C81" s="23" t="s">
        <v>1</v>
      </c>
      <c r="D81" s="10" t="s">
        <v>37</v>
      </c>
      <c r="E81" s="10" t="s">
        <v>71</v>
      </c>
      <c r="F81" s="661" t="s">
        <v>41</v>
      </c>
      <c r="G81" s="662" t="s">
        <v>45</v>
      </c>
      <c r="H81" s="662" t="s">
        <v>592</v>
      </c>
      <c r="I81" s="663" t="s">
        <v>44</v>
      </c>
      <c r="J81" s="10"/>
      <c r="K81" s="24">
        <f>K82+K86</f>
        <v>41727.910000000003</v>
      </c>
      <c r="L81" s="24">
        <f>L82+L86</f>
        <v>1024.9000000000003</v>
      </c>
      <c r="M81" s="24">
        <f>M82+M86</f>
        <v>42752.80999999999</v>
      </c>
    </row>
    <row r="82" spans="1:13" s="111" customFormat="1" ht="36" customHeight="1" x14ac:dyDescent="0.35">
      <c r="A82" s="11"/>
      <c r="B82" s="531" t="s">
        <v>466</v>
      </c>
      <c r="C82" s="23" t="s">
        <v>1</v>
      </c>
      <c r="D82" s="10" t="s">
        <v>37</v>
      </c>
      <c r="E82" s="10" t="s">
        <v>71</v>
      </c>
      <c r="F82" s="661" t="s">
        <v>41</v>
      </c>
      <c r="G82" s="662" t="s">
        <v>45</v>
      </c>
      <c r="H82" s="662" t="s">
        <v>592</v>
      </c>
      <c r="I82" s="663" t="s">
        <v>91</v>
      </c>
      <c r="J82" s="10"/>
      <c r="K82" s="24">
        <f>SUM(K83:K85)</f>
        <v>40097.61</v>
      </c>
      <c r="L82" s="24">
        <f>SUM(L83:L85)</f>
        <v>1248.0000000000005</v>
      </c>
      <c r="M82" s="24">
        <f>SUM(M83:M85)</f>
        <v>41345.609999999993</v>
      </c>
    </row>
    <row r="83" spans="1:13" s="111" customFormat="1" ht="108" customHeight="1" x14ac:dyDescent="0.35">
      <c r="A83" s="11"/>
      <c r="B83" s="498" t="s">
        <v>49</v>
      </c>
      <c r="C83" s="23" t="s">
        <v>1</v>
      </c>
      <c r="D83" s="10" t="s">
        <v>37</v>
      </c>
      <c r="E83" s="10" t="s">
        <v>71</v>
      </c>
      <c r="F83" s="661" t="s">
        <v>41</v>
      </c>
      <c r="G83" s="662" t="s">
        <v>45</v>
      </c>
      <c r="H83" s="662" t="s">
        <v>592</v>
      </c>
      <c r="I83" s="663" t="s">
        <v>91</v>
      </c>
      <c r="J83" s="10" t="s">
        <v>50</v>
      </c>
      <c r="K83" s="24">
        <f>23306.3-1204.3+5512.1-797.8+827.3+1024.1+326.2+19</f>
        <v>29012.899999999998</v>
      </c>
      <c r="L83" s="24">
        <f>M83-K83</f>
        <v>27.400000000001455</v>
      </c>
      <c r="M83" s="24">
        <f>23306.3-1204.3+5512.1-797.8+827.3+1024.1+326.2+19-700+27.4+700</f>
        <v>29040.3</v>
      </c>
    </row>
    <row r="84" spans="1:13" s="111" customFormat="1" ht="54" customHeight="1" x14ac:dyDescent="0.35">
      <c r="A84" s="11"/>
      <c r="B84" s="498" t="s">
        <v>55</v>
      </c>
      <c r="C84" s="23" t="s">
        <v>1</v>
      </c>
      <c r="D84" s="10" t="s">
        <v>37</v>
      </c>
      <c r="E84" s="10" t="s">
        <v>71</v>
      </c>
      <c r="F84" s="661" t="s">
        <v>41</v>
      </c>
      <c r="G84" s="662" t="s">
        <v>45</v>
      </c>
      <c r="H84" s="662" t="s">
        <v>592</v>
      </c>
      <c r="I84" s="663" t="s">
        <v>91</v>
      </c>
      <c r="J84" s="10" t="s">
        <v>56</v>
      </c>
      <c r="K84" s="24">
        <f>6279.1+596.1+559.5+225+754+95.5-71.69+675+78.2+30.4+30+797.8+551.2+296.3+126</f>
        <v>11022.41</v>
      </c>
      <c r="L84" s="24">
        <f>M84-K84</f>
        <v>1210.6999999999989</v>
      </c>
      <c r="M84" s="24">
        <f>6279.1+596.1+559.5+225+754+95.5-71.69+675+78.2+30.4+30+797.8+551.2+296.3+126+700+171.9+338.8</f>
        <v>12233.109999999999</v>
      </c>
    </row>
    <row r="85" spans="1:13" s="111" customFormat="1" ht="18" customHeight="1" x14ac:dyDescent="0.35">
      <c r="A85" s="11"/>
      <c r="B85" s="498" t="s">
        <v>57</v>
      </c>
      <c r="C85" s="23" t="s">
        <v>1</v>
      </c>
      <c r="D85" s="10" t="s">
        <v>37</v>
      </c>
      <c r="E85" s="10" t="s">
        <v>71</v>
      </c>
      <c r="F85" s="661" t="s">
        <v>41</v>
      </c>
      <c r="G85" s="662" t="s">
        <v>45</v>
      </c>
      <c r="H85" s="662" t="s">
        <v>592</v>
      </c>
      <c r="I85" s="663" t="s">
        <v>91</v>
      </c>
      <c r="J85" s="10" t="s">
        <v>58</v>
      </c>
      <c r="K85" s="24">
        <v>62.3</v>
      </c>
      <c r="L85" s="24">
        <f>M85-K85</f>
        <v>9.9000000000000057</v>
      </c>
      <c r="M85" s="24">
        <f>62.3+9.9</f>
        <v>72.2</v>
      </c>
    </row>
    <row r="86" spans="1:13" s="111" customFormat="1" ht="18" customHeight="1" x14ac:dyDescent="0.35">
      <c r="A86" s="11"/>
      <c r="B86" s="498" t="s">
        <v>467</v>
      </c>
      <c r="C86" s="23" t="s">
        <v>1</v>
      </c>
      <c r="D86" s="10" t="s">
        <v>37</v>
      </c>
      <c r="E86" s="10" t="s">
        <v>71</v>
      </c>
      <c r="F86" s="661" t="s">
        <v>41</v>
      </c>
      <c r="G86" s="662" t="s">
        <v>45</v>
      </c>
      <c r="H86" s="662" t="s">
        <v>592</v>
      </c>
      <c r="I86" s="663" t="s">
        <v>384</v>
      </c>
      <c r="J86" s="10"/>
      <c r="K86" s="24">
        <f>K87</f>
        <v>1630.3</v>
      </c>
      <c r="L86" s="24">
        <f>L87</f>
        <v>-223.10000000000014</v>
      </c>
      <c r="M86" s="24">
        <f>M87</f>
        <v>1407.1999999999998</v>
      </c>
    </row>
    <row r="87" spans="1:13" s="111" customFormat="1" ht="54" customHeight="1" x14ac:dyDescent="0.35">
      <c r="A87" s="11"/>
      <c r="B87" s="498" t="s">
        <v>55</v>
      </c>
      <c r="C87" s="23" t="s">
        <v>1</v>
      </c>
      <c r="D87" s="10" t="s">
        <v>37</v>
      </c>
      <c r="E87" s="10" t="s">
        <v>71</v>
      </c>
      <c r="F87" s="661" t="s">
        <v>41</v>
      </c>
      <c r="G87" s="662" t="s">
        <v>45</v>
      </c>
      <c r="H87" s="662" t="s">
        <v>592</v>
      </c>
      <c r="I87" s="663" t="s">
        <v>384</v>
      </c>
      <c r="J87" s="10" t="s">
        <v>56</v>
      </c>
      <c r="K87" s="24">
        <f>730.3+900</f>
        <v>1630.3</v>
      </c>
      <c r="L87" s="24">
        <f>M87-K87</f>
        <v>-223.10000000000014</v>
      </c>
      <c r="M87" s="24">
        <f>730.3+900-209.2-13.9</f>
        <v>1407.1999999999998</v>
      </c>
    </row>
    <row r="88" spans="1:13" s="111" customFormat="1" ht="36" customHeight="1" x14ac:dyDescent="0.35">
      <c r="A88" s="11"/>
      <c r="B88" s="566" t="s">
        <v>450</v>
      </c>
      <c r="C88" s="23" t="s">
        <v>1</v>
      </c>
      <c r="D88" s="10" t="s">
        <v>37</v>
      </c>
      <c r="E88" s="10" t="s">
        <v>71</v>
      </c>
      <c r="F88" s="661" t="s">
        <v>68</v>
      </c>
      <c r="G88" s="662" t="s">
        <v>42</v>
      </c>
      <c r="H88" s="662" t="s">
        <v>43</v>
      </c>
      <c r="I88" s="663" t="s">
        <v>44</v>
      </c>
      <c r="J88" s="10"/>
      <c r="K88" s="24">
        <f t="shared" ref="K88:M92" si="10">K89</f>
        <v>29521.799999999996</v>
      </c>
      <c r="L88" s="24">
        <f t="shared" si="10"/>
        <v>874.79999999999927</v>
      </c>
      <c r="M88" s="24">
        <f t="shared" si="10"/>
        <v>30396.6</v>
      </c>
    </row>
    <row r="89" spans="1:13" s="111" customFormat="1" ht="18" customHeight="1" x14ac:dyDescent="0.35">
      <c r="A89" s="11"/>
      <c r="B89" s="566" t="s">
        <v>451</v>
      </c>
      <c r="C89" s="23" t="s">
        <v>1</v>
      </c>
      <c r="D89" s="10" t="s">
        <v>37</v>
      </c>
      <c r="E89" s="10" t="s">
        <v>71</v>
      </c>
      <c r="F89" s="661" t="s">
        <v>68</v>
      </c>
      <c r="G89" s="662" t="s">
        <v>45</v>
      </c>
      <c r="H89" s="662" t="s">
        <v>43</v>
      </c>
      <c r="I89" s="663" t="s">
        <v>44</v>
      </c>
      <c r="J89" s="10"/>
      <c r="K89" s="24">
        <f>K92+K90</f>
        <v>29521.799999999996</v>
      </c>
      <c r="L89" s="24">
        <f>L92+L90</f>
        <v>874.79999999999927</v>
      </c>
      <c r="M89" s="24">
        <f>M92+M90</f>
        <v>30396.6</v>
      </c>
    </row>
    <row r="90" spans="1:13" s="111" customFormat="1" ht="36" x14ac:dyDescent="0.35">
      <c r="A90" s="11"/>
      <c r="B90" s="498" t="s">
        <v>722</v>
      </c>
      <c r="C90" s="23" t="s">
        <v>1</v>
      </c>
      <c r="D90" s="10" t="s">
        <v>37</v>
      </c>
      <c r="E90" s="10" t="s">
        <v>71</v>
      </c>
      <c r="F90" s="661" t="s">
        <v>68</v>
      </c>
      <c r="G90" s="662" t="s">
        <v>45</v>
      </c>
      <c r="H90" s="662" t="s">
        <v>43</v>
      </c>
      <c r="I90" s="663" t="s">
        <v>721</v>
      </c>
      <c r="J90" s="10"/>
      <c r="K90" s="24">
        <f>K91</f>
        <v>14918.399999999998</v>
      </c>
      <c r="L90" s="24">
        <f>L91</f>
        <v>0</v>
      </c>
      <c r="M90" s="24">
        <f>M91</f>
        <v>14918.399999999998</v>
      </c>
    </row>
    <row r="91" spans="1:13" s="111" customFormat="1" ht="54" customHeight="1" x14ac:dyDescent="0.35">
      <c r="A91" s="11"/>
      <c r="B91" s="498" t="s">
        <v>55</v>
      </c>
      <c r="C91" s="23" t="s">
        <v>1</v>
      </c>
      <c r="D91" s="10" t="s">
        <v>37</v>
      </c>
      <c r="E91" s="10" t="s">
        <v>71</v>
      </c>
      <c r="F91" s="661" t="s">
        <v>68</v>
      </c>
      <c r="G91" s="662" t="s">
        <v>45</v>
      </c>
      <c r="H91" s="662" t="s">
        <v>43</v>
      </c>
      <c r="I91" s="663" t="s">
        <v>721</v>
      </c>
      <c r="J91" s="10" t="s">
        <v>56</v>
      </c>
      <c r="K91" s="24">
        <f>5756.4+4273.2+2811.6+2077.2</f>
        <v>14918.399999999998</v>
      </c>
      <c r="L91" s="24">
        <f>M91-K91</f>
        <v>0</v>
      </c>
      <c r="M91" s="24">
        <f>5756.4+4273.2+2811.6+2077.2</f>
        <v>14918.399999999998</v>
      </c>
    </row>
    <row r="92" spans="1:13" s="111" customFormat="1" ht="180" customHeight="1" x14ac:dyDescent="0.35">
      <c r="A92" s="11"/>
      <c r="B92" s="498" t="s">
        <v>761</v>
      </c>
      <c r="C92" s="23" t="s">
        <v>1</v>
      </c>
      <c r="D92" s="10" t="s">
        <v>37</v>
      </c>
      <c r="E92" s="10" t="s">
        <v>71</v>
      </c>
      <c r="F92" s="661" t="s">
        <v>68</v>
      </c>
      <c r="G92" s="662" t="s">
        <v>45</v>
      </c>
      <c r="H92" s="662" t="s">
        <v>43</v>
      </c>
      <c r="I92" s="663" t="s">
        <v>679</v>
      </c>
      <c r="J92" s="10"/>
      <c r="K92" s="24">
        <f t="shared" si="10"/>
        <v>14603.4</v>
      </c>
      <c r="L92" s="24">
        <f t="shared" si="10"/>
        <v>874.79999999999927</v>
      </c>
      <c r="M92" s="24">
        <f t="shared" si="10"/>
        <v>15478.199999999999</v>
      </c>
    </row>
    <row r="93" spans="1:13" s="111" customFormat="1" ht="54" customHeight="1" x14ac:dyDescent="0.35">
      <c r="A93" s="11"/>
      <c r="B93" s="498" t="s">
        <v>55</v>
      </c>
      <c r="C93" s="23" t="s">
        <v>1</v>
      </c>
      <c r="D93" s="10" t="s">
        <v>37</v>
      </c>
      <c r="E93" s="10" t="s">
        <v>71</v>
      </c>
      <c r="F93" s="661" t="s">
        <v>68</v>
      </c>
      <c r="G93" s="662" t="s">
        <v>45</v>
      </c>
      <c r="H93" s="662" t="s">
        <v>43</v>
      </c>
      <c r="I93" s="663" t="s">
        <v>679</v>
      </c>
      <c r="J93" s="10" t="s">
        <v>56</v>
      </c>
      <c r="K93" s="24">
        <f>12753+1850.4</f>
        <v>14603.4</v>
      </c>
      <c r="L93" s="24">
        <f>M93-K93</f>
        <v>874.79999999999927</v>
      </c>
      <c r="M93" s="24">
        <f>12753+1850.4+874.8</f>
        <v>15478.199999999999</v>
      </c>
    </row>
    <row r="94" spans="1:13" s="111" customFormat="1" ht="36" customHeight="1" x14ac:dyDescent="0.35">
      <c r="A94" s="11"/>
      <c r="B94" s="498" t="s">
        <v>78</v>
      </c>
      <c r="C94" s="23" t="s">
        <v>1</v>
      </c>
      <c r="D94" s="10" t="s">
        <v>63</v>
      </c>
      <c r="E94" s="10"/>
      <c r="F94" s="661"/>
      <c r="G94" s="662"/>
      <c r="H94" s="662"/>
      <c r="I94" s="663"/>
      <c r="J94" s="10"/>
      <c r="K94" s="24">
        <f>K95+K107</f>
        <v>22568.947999999997</v>
      </c>
      <c r="L94" s="24">
        <f>L95+L107</f>
        <v>-18.599999999999781</v>
      </c>
      <c r="M94" s="24">
        <f>M95+M107</f>
        <v>22550.347999999998</v>
      </c>
    </row>
    <row r="95" spans="1:13" s="111" customFormat="1" ht="72" customHeight="1" x14ac:dyDescent="0.35">
      <c r="A95" s="11"/>
      <c r="B95" s="498" t="s">
        <v>464</v>
      </c>
      <c r="C95" s="23" t="s">
        <v>1</v>
      </c>
      <c r="D95" s="10" t="s">
        <v>63</v>
      </c>
      <c r="E95" s="10" t="s">
        <v>104</v>
      </c>
      <c r="F95" s="661"/>
      <c r="G95" s="662"/>
      <c r="H95" s="662"/>
      <c r="I95" s="663"/>
      <c r="J95" s="10"/>
      <c r="K95" s="24">
        <f t="shared" ref="K95:M97" si="11">K96</f>
        <v>9493.3999999999978</v>
      </c>
      <c r="L95" s="24">
        <f t="shared" si="11"/>
        <v>3.3000000000000043</v>
      </c>
      <c r="M95" s="24">
        <f t="shared" si="11"/>
        <v>9496.6999999999989</v>
      </c>
    </row>
    <row r="96" spans="1:13" s="111" customFormat="1" ht="54" customHeight="1" x14ac:dyDescent="0.35">
      <c r="A96" s="11"/>
      <c r="B96" s="498" t="s">
        <v>80</v>
      </c>
      <c r="C96" s="23" t="s">
        <v>1</v>
      </c>
      <c r="D96" s="10" t="s">
        <v>63</v>
      </c>
      <c r="E96" s="10" t="s">
        <v>104</v>
      </c>
      <c r="F96" s="661" t="s">
        <v>81</v>
      </c>
      <c r="G96" s="662" t="s">
        <v>42</v>
      </c>
      <c r="H96" s="662" t="s">
        <v>43</v>
      </c>
      <c r="I96" s="663" t="s">
        <v>44</v>
      </c>
      <c r="J96" s="10"/>
      <c r="K96" s="24">
        <f t="shared" si="11"/>
        <v>9493.3999999999978</v>
      </c>
      <c r="L96" s="24">
        <f t="shared" si="11"/>
        <v>3.3000000000000043</v>
      </c>
      <c r="M96" s="24">
        <f t="shared" si="11"/>
        <v>9496.6999999999989</v>
      </c>
    </row>
    <row r="97" spans="1:13" s="111" customFormat="1" ht="54" customHeight="1" x14ac:dyDescent="0.35">
      <c r="A97" s="11"/>
      <c r="B97" s="538" t="s">
        <v>82</v>
      </c>
      <c r="C97" s="23" t="s">
        <v>1</v>
      </c>
      <c r="D97" s="10" t="s">
        <v>63</v>
      </c>
      <c r="E97" s="10" t="s">
        <v>104</v>
      </c>
      <c r="F97" s="661" t="s">
        <v>81</v>
      </c>
      <c r="G97" s="662" t="s">
        <v>45</v>
      </c>
      <c r="H97" s="662" t="s">
        <v>43</v>
      </c>
      <c r="I97" s="663" t="s">
        <v>44</v>
      </c>
      <c r="J97" s="10"/>
      <c r="K97" s="24">
        <f t="shared" si="11"/>
        <v>9493.3999999999978</v>
      </c>
      <c r="L97" s="24">
        <f t="shared" si="11"/>
        <v>3.3000000000000043</v>
      </c>
      <c r="M97" s="24">
        <f t="shared" si="11"/>
        <v>9496.6999999999989</v>
      </c>
    </row>
    <row r="98" spans="1:13" s="111" customFormat="1" ht="72" customHeight="1" x14ac:dyDescent="0.35">
      <c r="A98" s="11"/>
      <c r="B98" s="498" t="s">
        <v>83</v>
      </c>
      <c r="C98" s="23" t="s">
        <v>1</v>
      </c>
      <c r="D98" s="10" t="s">
        <v>63</v>
      </c>
      <c r="E98" s="10" t="s">
        <v>104</v>
      </c>
      <c r="F98" s="661" t="s">
        <v>81</v>
      </c>
      <c r="G98" s="662" t="s">
        <v>45</v>
      </c>
      <c r="H98" s="662" t="s">
        <v>37</v>
      </c>
      <c r="I98" s="663" t="s">
        <v>44</v>
      </c>
      <c r="J98" s="10"/>
      <c r="K98" s="24">
        <f>K99+K101+K103+K106</f>
        <v>9493.3999999999978</v>
      </c>
      <c r="L98" s="24">
        <f>L99+L101+L103+L106</f>
        <v>3.3000000000000043</v>
      </c>
      <c r="M98" s="24">
        <f>M99+M101+M103+M106</f>
        <v>9496.6999999999989</v>
      </c>
    </row>
    <row r="99" spans="1:13" s="111" customFormat="1" ht="36" customHeight="1" x14ac:dyDescent="0.35">
      <c r="A99" s="11"/>
      <c r="B99" s="538" t="s">
        <v>453</v>
      </c>
      <c r="C99" s="23" t="s">
        <v>1</v>
      </c>
      <c r="D99" s="10" t="s">
        <v>63</v>
      </c>
      <c r="E99" s="10" t="s">
        <v>104</v>
      </c>
      <c r="F99" s="661" t="s">
        <v>81</v>
      </c>
      <c r="G99" s="662" t="s">
        <v>45</v>
      </c>
      <c r="H99" s="662" t="s">
        <v>37</v>
      </c>
      <c r="I99" s="663" t="s">
        <v>84</v>
      </c>
      <c r="J99" s="10"/>
      <c r="K99" s="24">
        <f>K100</f>
        <v>298.39999999999998</v>
      </c>
      <c r="L99" s="24">
        <f>L100</f>
        <v>0</v>
      </c>
      <c r="M99" s="24">
        <f>M100</f>
        <v>298.39999999999998</v>
      </c>
    </row>
    <row r="100" spans="1:13" s="111" customFormat="1" ht="54" customHeight="1" x14ac:dyDescent="0.35">
      <c r="A100" s="11"/>
      <c r="B100" s="498" t="s">
        <v>55</v>
      </c>
      <c r="C100" s="23" t="s">
        <v>1</v>
      </c>
      <c r="D100" s="10" t="s">
        <v>63</v>
      </c>
      <c r="E100" s="10" t="s">
        <v>104</v>
      </c>
      <c r="F100" s="661" t="s">
        <v>81</v>
      </c>
      <c r="G100" s="662" t="s">
        <v>45</v>
      </c>
      <c r="H100" s="662" t="s">
        <v>37</v>
      </c>
      <c r="I100" s="663" t="s">
        <v>84</v>
      </c>
      <c r="J100" s="10" t="s">
        <v>56</v>
      </c>
      <c r="K100" s="24">
        <v>298.39999999999998</v>
      </c>
      <c r="L100" s="24">
        <f>M100-K100</f>
        <v>0</v>
      </c>
      <c r="M100" s="24">
        <v>298.39999999999998</v>
      </c>
    </row>
    <row r="101" spans="1:13" s="111" customFormat="1" ht="54" customHeight="1" x14ac:dyDescent="0.35">
      <c r="A101" s="11"/>
      <c r="B101" s="498" t="s">
        <v>85</v>
      </c>
      <c r="C101" s="23" t="s">
        <v>1</v>
      </c>
      <c r="D101" s="10" t="s">
        <v>63</v>
      </c>
      <c r="E101" s="10" t="s">
        <v>104</v>
      </c>
      <c r="F101" s="661" t="s">
        <v>81</v>
      </c>
      <c r="G101" s="662" t="s">
        <v>45</v>
      </c>
      <c r="H101" s="662" t="s">
        <v>37</v>
      </c>
      <c r="I101" s="663" t="s">
        <v>86</v>
      </c>
      <c r="J101" s="10"/>
      <c r="K101" s="24">
        <f>K102</f>
        <v>63.9</v>
      </c>
      <c r="L101" s="24">
        <f>L102</f>
        <v>3.3000000000000043</v>
      </c>
      <c r="M101" s="24">
        <f>M102</f>
        <v>67.2</v>
      </c>
    </row>
    <row r="102" spans="1:13" s="111" customFormat="1" ht="54" customHeight="1" x14ac:dyDescent="0.35">
      <c r="A102" s="11"/>
      <c r="B102" s="498" t="s">
        <v>55</v>
      </c>
      <c r="C102" s="23" t="s">
        <v>1</v>
      </c>
      <c r="D102" s="10" t="s">
        <v>63</v>
      </c>
      <c r="E102" s="10" t="s">
        <v>104</v>
      </c>
      <c r="F102" s="661" t="s">
        <v>81</v>
      </c>
      <c r="G102" s="662" t="s">
        <v>45</v>
      </c>
      <c r="H102" s="662" t="s">
        <v>37</v>
      </c>
      <c r="I102" s="663" t="s">
        <v>86</v>
      </c>
      <c r="J102" s="10" t="s">
        <v>56</v>
      </c>
      <c r="K102" s="24">
        <v>63.9</v>
      </c>
      <c r="L102" s="24">
        <f>M102-K102</f>
        <v>3.3000000000000043</v>
      </c>
      <c r="M102" s="24">
        <f>63.9+3.3</f>
        <v>67.2</v>
      </c>
    </row>
    <row r="103" spans="1:13" s="111" customFormat="1" ht="144" customHeight="1" x14ac:dyDescent="0.35">
      <c r="A103" s="11"/>
      <c r="B103" s="498" t="s">
        <v>678</v>
      </c>
      <c r="C103" s="23" t="s">
        <v>1</v>
      </c>
      <c r="D103" s="10" t="s">
        <v>63</v>
      </c>
      <c r="E103" s="10" t="s">
        <v>104</v>
      </c>
      <c r="F103" s="661" t="s">
        <v>81</v>
      </c>
      <c r="G103" s="662" t="s">
        <v>45</v>
      </c>
      <c r="H103" s="662" t="s">
        <v>37</v>
      </c>
      <c r="I103" s="663" t="s">
        <v>334</v>
      </c>
      <c r="J103" s="10"/>
      <c r="K103" s="24">
        <f>K104</f>
        <v>9118.7999999999993</v>
      </c>
      <c r="L103" s="24">
        <f>L104</f>
        <v>0</v>
      </c>
      <c r="M103" s="24">
        <f>M104</f>
        <v>9118.7999999999993</v>
      </c>
    </row>
    <row r="104" spans="1:13" s="111" customFormat="1" ht="18" customHeight="1" x14ac:dyDescent="0.35">
      <c r="A104" s="11"/>
      <c r="B104" s="498" t="s">
        <v>123</v>
      </c>
      <c r="C104" s="23" t="s">
        <v>1</v>
      </c>
      <c r="D104" s="10" t="s">
        <v>63</v>
      </c>
      <c r="E104" s="10" t="s">
        <v>104</v>
      </c>
      <c r="F104" s="661" t="s">
        <v>81</v>
      </c>
      <c r="G104" s="662" t="s">
        <v>45</v>
      </c>
      <c r="H104" s="662" t="s">
        <v>37</v>
      </c>
      <c r="I104" s="663" t="s">
        <v>334</v>
      </c>
      <c r="J104" s="10" t="s">
        <v>124</v>
      </c>
      <c r="K104" s="24">
        <v>9118.7999999999993</v>
      </c>
      <c r="L104" s="24">
        <f>M104-K104</f>
        <v>0</v>
      </c>
      <c r="M104" s="24">
        <v>9118.7999999999993</v>
      </c>
    </row>
    <row r="105" spans="1:13" s="111" customFormat="1" ht="90" customHeight="1" x14ac:dyDescent="0.35">
      <c r="A105" s="11"/>
      <c r="B105" s="494" t="s">
        <v>677</v>
      </c>
      <c r="C105" s="23" t="s">
        <v>1</v>
      </c>
      <c r="D105" s="10" t="s">
        <v>63</v>
      </c>
      <c r="E105" s="10" t="s">
        <v>104</v>
      </c>
      <c r="F105" s="661" t="s">
        <v>81</v>
      </c>
      <c r="G105" s="662" t="s">
        <v>45</v>
      </c>
      <c r="H105" s="662" t="s">
        <v>37</v>
      </c>
      <c r="I105" s="663" t="s">
        <v>335</v>
      </c>
      <c r="J105" s="10"/>
      <c r="K105" s="24">
        <f>K106</f>
        <v>12.3</v>
      </c>
      <c r="L105" s="24">
        <f>L106</f>
        <v>0</v>
      </c>
      <c r="M105" s="24">
        <f>M106</f>
        <v>12.3</v>
      </c>
    </row>
    <row r="106" spans="1:13" s="111" customFormat="1" ht="18" customHeight="1" x14ac:dyDescent="0.35">
      <c r="A106" s="11"/>
      <c r="B106" s="498" t="s">
        <v>123</v>
      </c>
      <c r="C106" s="23" t="s">
        <v>1</v>
      </c>
      <c r="D106" s="10" t="s">
        <v>63</v>
      </c>
      <c r="E106" s="10" t="s">
        <v>104</v>
      </c>
      <c r="F106" s="661" t="s">
        <v>81</v>
      </c>
      <c r="G106" s="662" t="s">
        <v>45</v>
      </c>
      <c r="H106" s="662" t="s">
        <v>37</v>
      </c>
      <c r="I106" s="663" t="s">
        <v>335</v>
      </c>
      <c r="J106" s="10" t="s">
        <v>124</v>
      </c>
      <c r="K106" s="24">
        <v>12.3</v>
      </c>
      <c r="L106" s="24">
        <f>M106-K106</f>
        <v>0</v>
      </c>
      <c r="M106" s="24">
        <v>12.3</v>
      </c>
    </row>
    <row r="107" spans="1:13" s="111" customFormat="1" ht="54" customHeight="1" x14ac:dyDescent="0.35">
      <c r="A107" s="11"/>
      <c r="B107" s="537" t="s">
        <v>87</v>
      </c>
      <c r="C107" s="23" t="s">
        <v>1</v>
      </c>
      <c r="D107" s="10" t="s">
        <v>63</v>
      </c>
      <c r="E107" s="10" t="s">
        <v>88</v>
      </c>
      <c r="F107" s="661"/>
      <c r="G107" s="662"/>
      <c r="H107" s="662"/>
      <c r="I107" s="663"/>
      <c r="J107" s="10"/>
      <c r="K107" s="24">
        <f>K108</f>
        <v>13075.547999999997</v>
      </c>
      <c r="L107" s="24">
        <f>L108</f>
        <v>-21.899999999999785</v>
      </c>
      <c r="M107" s="24">
        <f>M108</f>
        <v>13053.647999999999</v>
      </c>
    </row>
    <row r="108" spans="1:13" s="111" customFormat="1" ht="54" customHeight="1" x14ac:dyDescent="0.35">
      <c r="A108" s="11"/>
      <c r="B108" s="498" t="s">
        <v>80</v>
      </c>
      <c r="C108" s="23" t="s">
        <v>1</v>
      </c>
      <c r="D108" s="10" t="s">
        <v>63</v>
      </c>
      <c r="E108" s="10" t="s">
        <v>88</v>
      </c>
      <c r="F108" s="661" t="s">
        <v>81</v>
      </c>
      <c r="G108" s="662" t="s">
        <v>42</v>
      </c>
      <c r="H108" s="662" t="s">
        <v>43</v>
      </c>
      <c r="I108" s="663" t="s">
        <v>44</v>
      </c>
      <c r="J108" s="10"/>
      <c r="K108" s="24">
        <f>K109+K118+K127</f>
        <v>13075.547999999997</v>
      </c>
      <c r="L108" s="24">
        <f>L109+L118+L127</f>
        <v>-21.899999999999785</v>
      </c>
      <c r="M108" s="24">
        <f>M109+M118+M127</f>
        <v>13053.647999999999</v>
      </c>
    </row>
    <row r="109" spans="1:13" s="111" customFormat="1" ht="36" customHeight="1" x14ac:dyDescent="0.35">
      <c r="A109" s="11"/>
      <c r="B109" s="537" t="s">
        <v>125</v>
      </c>
      <c r="C109" s="23" t="s">
        <v>1</v>
      </c>
      <c r="D109" s="10" t="s">
        <v>63</v>
      </c>
      <c r="E109" s="10" t="s">
        <v>88</v>
      </c>
      <c r="F109" s="661" t="s">
        <v>81</v>
      </c>
      <c r="G109" s="662" t="s">
        <v>89</v>
      </c>
      <c r="H109" s="662" t="s">
        <v>43</v>
      </c>
      <c r="I109" s="663" t="s">
        <v>44</v>
      </c>
      <c r="J109" s="10"/>
      <c r="K109" s="24">
        <f>K115+K110</f>
        <v>1022.1999999999999</v>
      </c>
      <c r="L109" s="24">
        <f>L115+L110</f>
        <v>-21.899999999999977</v>
      </c>
      <c r="M109" s="24">
        <f>M115+M110</f>
        <v>1000.3</v>
      </c>
    </row>
    <row r="110" spans="1:13" s="111" customFormat="1" ht="36" customHeight="1" x14ac:dyDescent="0.35">
      <c r="A110" s="11"/>
      <c r="B110" s="537" t="s">
        <v>276</v>
      </c>
      <c r="C110" s="23" t="s">
        <v>1</v>
      </c>
      <c r="D110" s="10" t="s">
        <v>63</v>
      </c>
      <c r="E110" s="10" t="s">
        <v>88</v>
      </c>
      <c r="F110" s="661" t="s">
        <v>81</v>
      </c>
      <c r="G110" s="662" t="s">
        <v>89</v>
      </c>
      <c r="H110" s="662" t="s">
        <v>37</v>
      </c>
      <c r="I110" s="663" t="s">
        <v>44</v>
      </c>
      <c r="J110" s="10"/>
      <c r="K110" s="24">
        <f>K113+K111</f>
        <v>243.6</v>
      </c>
      <c r="L110" s="24">
        <f>L113+L111</f>
        <v>0</v>
      </c>
      <c r="M110" s="24">
        <f>M113+M111</f>
        <v>243.6</v>
      </c>
    </row>
    <row r="111" spans="1:13" s="111" customFormat="1" ht="36" customHeight="1" x14ac:dyDescent="0.35">
      <c r="A111" s="11"/>
      <c r="B111" s="531" t="s">
        <v>127</v>
      </c>
      <c r="C111" s="23" t="s">
        <v>1</v>
      </c>
      <c r="D111" s="10" t="s">
        <v>63</v>
      </c>
      <c r="E111" s="10" t="s">
        <v>88</v>
      </c>
      <c r="F111" s="661" t="s">
        <v>81</v>
      </c>
      <c r="G111" s="662" t="s">
        <v>89</v>
      </c>
      <c r="H111" s="662" t="s">
        <v>37</v>
      </c>
      <c r="I111" s="663" t="s">
        <v>90</v>
      </c>
      <c r="J111" s="10"/>
      <c r="K111" s="24">
        <f>K112</f>
        <v>121.8</v>
      </c>
      <c r="L111" s="24">
        <f>L112</f>
        <v>0</v>
      </c>
      <c r="M111" s="24">
        <f>M112</f>
        <v>121.8</v>
      </c>
    </row>
    <row r="112" spans="1:13" s="111" customFormat="1" ht="54" customHeight="1" x14ac:dyDescent="0.35">
      <c r="A112" s="11"/>
      <c r="B112" s="498" t="s">
        <v>55</v>
      </c>
      <c r="C112" s="23" t="s">
        <v>1</v>
      </c>
      <c r="D112" s="10" t="s">
        <v>63</v>
      </c>
      <c r="E112" s="10" t="s">
        <v>88</v>
      </c>
      <c r="F112" s="661" t="s">
        <v>81</v>
      </c>
      <c r="G112" s="662" t="s">
        <v>89</v>
      </c>
      <c r="H112" s="662" t="s">
        <v>37</v>
      </c>
      <c r="I112" s="663" t="s">
        <v>90</v>
      </c>
      <c r="J112" s="10" t="s">
        <v>56</v>
      </c>
      <c r="K112" s="24">
        <f>21.8+100</f>
        <v>121.8</v>
      </c>
      <c r="L112" s="24">
        <f>M112-K112</f>
        <v>0</v>
      </c>
      <c r="M112" s="24">
        <f>21.8+100</f>
        <v>121.8</v>
      </c>
    </row>
    <row r="113" spans="1:13" s="111" customFormat="1" ht="90" customHeight="1" x14ac:dyDescent="0.35">
      <c r="A113" s="11"/>
      <c r="B113" s="509" t="s">
        <v>677</v>
      </c>
      <c r="C113" s="23" t="s">
        <v>1</v>
      </c>
      <c r="D113" s="10" t="s">
        <v>63</v>
      </c>
      <c r="E113" s="10" t="s">
        <v>88</v>
      </c>
      <c r="F113" s="661" t="s">
        <v>81</v>
      </c>
      <c r="G113" s="662" t="s">
        <v>89</v>
      </c>
      <c r="H113" s="662" t="s">
        <v>37</v>
      </c>
      <c r="I113" s="663" t="s">
        <v>335</v>
      </c>
      <c r="J113" s="10"/>
      <c r="K113" s="24">
        <f>K114</f>
        <v>121.8</v>
      </c>
      <c r="L113" s="24">
        <f>L114</f>
        <v>0</v>
      </c>
      <c r="M113" s="24">
        <f>M114</f>
        <v>121.8</v>
      </c>
    </row>
    <row r="114" spans="1:13" s="111" customFormat="1" ht="18" customHeight="1" x14ac:dyDescent="0.35">
      <c r="A114" s="11"/>
      <c r="B114" s="537" t="s">
        <v>123</v>
      </c>
      <c r="C114" s="23" t="s">
        <v>1</v>
      </c>
      <c r="D114" s="10" t="s">
        <v>63</v>
      </c>
      <c r="E114" s="10" t="s">
        <v>88</v>
      </c>
      <c r="F114" s="661" t="s">
        <v>81</v>
      </c>
      <c r="G114" s="662" t="s">
        <v>89</v>
      </c>
      <c r="H114" s="662" t="s">
        <v>37</v>
      </c>
      <c r="I114" s="663" t="s">
        <v>335</v>
      </c>
      <c r="J114" s="10" t="s">
        <v>124</v>
      </c>
      <c r="K114" s="24">
        <v>121.8</v>
      </c>
      <c r="L114" s="24">
        <f>M114-K114</f>
        <v>0</v>
      </c>
      <c r="M114" s="24">
        <v>121.8</v>
      </c>
    </row>
    <row r="115" spans="1:13" s="111" customFormat="1" ht="54" customHeight="1" x14ac:dyDescent="0.35">
      <c r="A115" s="11"/>
      <c r="B115" s="531" t="s">
        <v>126</v>
      </c>
      <c r="C115" s="23" t="s">
        <v>1</v>
      </c>
      <c r="D115" s="10" t="s">
        <v>63</v>
      </c>
      <c r="E115" s="10" t="s">
        <v>88</v>
      </c>
      <c r="F115" s="661" t="s">
        <v>81</v>
      </c>
      <c r="G115" s="662" t="s">
        <v>89</v>
      </c>
      <c r="H115" s="662" t="s">
        <v>39</v>
      </c>
      <c r="I115" s="663" t="s">
        <v>44</v>
      </c>
      <c r="J115" s="10"/>
      <c r="K115" s="24">
        <f t="shared" ref="K115:M116" si="12">K116</f>
        <v>778.59999999999991</v>
      </c>
      <c r="L115" s="24">
        <f t="shared" si="12"/>
        <v>-21.899999999999977</v>
      </c>
      <c r="M115" s="24">
        <f t="shared" si="12"/>
        <v>756.69999999999993</v>
      </c>
    </row>
    <row r="116" spans="1:13" s="111" customFormat="1" ht="36" customHeight="1" x14ac:dyDescent="0.35">
      <c r="A116" s="11"/>
      <c r="B116" s="531" t="s">
        <v>127</v>
      </c>
      <c r="C116" s="23" t="s">
        <v>1</v>
      </c>
      <c r="D116" s="10" t="s">
        <v>63</v>
      </c>
      <c r="E116" s="10" t="s">
        <v>88</v>
      </c>
      <c r="F116" s="661" t="s">
        <v>81</v>
      </c>
      <c r="G116" s="662" t="s">
        <v>89</v>
      </c>
      <c r="H116" s="662" t="s">
        <v>39</v>
      </c>
      <c r="I116" s="663" t="s">
        <v>90</v>
      </c>
      <c r="J116" s="10"/>
      <c r="K116" s="24">
        <f t="shared" si="12"/>
        <v>778.59999999999991</v>
      </c>
      <c r="L116" s="24">
        <f t="shared" si="12"/>
        <v>-21.899999999999977</v>
      </c>
      <c r="M116" s="24">
        <f t="shared" si="12"/>
        <v>756.69999999999993</v>
      </c>
    </row>
    <row r="117" spans="1:13" s="111" customFormat="1" ht="54" customHeight="1" x14ac:dyDescent="0.35">
      <c r="A117" s="11"/>
      <c r="B117" s="498" t="s">
        <v>55</v>
      </c>
      <c r="C117" s="23" t="s">
        <v>1</v>
      </c>
      <c r="D117" s="10" t="s">
        <v>63</v>
      </c>
      <c r="E117" s="10" t="s">
        <v>88</v>
      </c>
      <c r="F117" s="661" t="s">
        <v>81</v>
      </c>
      <c r="G117" s="662" t="s">
        <v>89</v>
      </c>
      <c r="H117" s="662" t="s">
        <v>39</v>
      </c>
      <c r="I117" s="663" t="s">
        <v>90</v>
      </c>
      <c r="J117" s="10" t="s">
        <v>56</v>
      </c>
      <c r="K117" s="24">
        <f>443.6+1015-38.8-191.2-229.3-220.7</f>
        <v>778.59999999999991</v>
      </c>
      <c r="L117" s="24">
        <f>M117-K117</f>
        <v>-21.899999999999977</v>
      </c>
      <c r="M117" s="24">
        <f>443.6+1015-38.8-191.2-229.3-220.7-21.9</f>
        <v>756.69999999999993</v>
      </c>
    </row>
    <row r="118" spans="1:13" s="111" customFormat="1" ht="72" customHeight="1" x14ac:dyDescent="0.35">
      <c r="A118" s="11"/>
      <c r="B118" s="537" t="s">
        <v>372</v>
      </c>
      <c r="C118" s="23" t="s">
        <v>1</v>
      </c>
      <c r="D118" s="10" t="s">
        <v>63</v>
      </c>
      <c r="E118" s="10" t="s">
        <v>88</v>
      </c>
      <c r="F118" s="661" t="s">
        <v>81</v>
      </c>
      <c r="G118" s="662" t="s">
        <v>30</v>
      </c>
      <c r="H118" s="662" t="s">
        <v>43</v>
      </c>
      <c r="I118" s="663" t="s">
        <v>44</v>
      </c>
      <c r="J118" s="10"/>
      <c r="K118" s="24">
        <f>K119+K124</f>
        <v>12031.547999999997</v>
      </c>
      <c r="L118" s="24">
        <f>L119+L124</f>
        <v>1.9051427102567686E-13</v>
      </c>
      <c r="M118" s="24">
        <f>M119+M124</f>
        <v>12031.548000000001</v>
      </c>
    </row>
    <row r="119" spans="1:13" s="111" customFormat="1" ht="72" customHeight="1" x14ac:dyDescent="0.35">
      <c r="A119" s="11"/>
      <c r="B119" s="531" t="s">
        <v>328</v>
      </c>
      <c r="C119" s="23" t="s">
        <v>1</v>
      </c>
      <c r="D119" s="10" t="s">
        <v>63</v>
      </c>
      <c r="E119" s="10" t="s">
        <v>88</v>
      </c>
      <c r="F119" s="661" t="s">
        <v>81</v>
      </c>
      <c r="G119" s="662" t="s">
        <v>30</v>
      </c>
      <c r="H119" s="662" t="s">
        <v>37</v>
      </c>
      <c r="I119" s="663" t="s">
        <v>44</v>
      </c>
      <c r="J119" s="10"/>
      <c r="K119" s="24">
        <f>K120</f>
        <v>11554.647999999997</v>
      </c>
      <c r="L119" s="24">
        <f>L120</f>
        <v>1.9051427102567686E-13</v>
      </c>
      <c r="M119" s="24">
        <f>M120</f>
        <v>11554.648000000001</v>
      </c>
    </row>
    <row r="120" spans="1:13" s="111" customFormat="1" ht="36" customHeight="1" x14ac:dyDescent="0.35">
      <c r="A120" s="11"/>
      <c r="B120" s="531" t="s">
        <v>466</v>
      </c>
      <c r="C120" s="23" t="s">
        <v>1</v>
      </c>
      <c r="D120" s="10" t="s">
        <v>63</v>
      </c>
      <c r="E120" s="10" t="s">
        <v>88</v>
      </c>
      <c r="F120" s="661" t="s">
        <v>81</v>
      </c>
      <c r="G120" s="662" t="s">
        <v>30</v>
      </c>
      <c r="H120" s="662" t="s">
        <v>37</v>
      </c>
      <c r="I120" s="663" t="s">
        <v>91</v>
      </c>
      <c r="J120" s="10"/>
      <c r="K120" s="24">
        <f>K121+K122+K123</f>
        <v>11554.647999999997</v>
      </c>
      <c r="L120" s="24">
        <f>L121+L122+L123</f>
        <v>1.9051427102567686E-13</v>
      </c>
      <c r="M120" s="24">
        <f>M121+M122+M123</f>
        <v>11554.648000000001</v>
      </c>
    </row>
    <row r="121" spans="1:13" s="111" customFormat="1" ht="108" customHeight="1" x14ac:dyDescent="0.35">
      <c r="A121" s="11"/>
      <c r="B121" s="498" t="s">
        <v>49</v>
      </c>
      <c r="C121" s="23" t="s">
        <v>1</v>
      </c>
      <c r="D121" s="10" t="s">
        <v>63</v>
      </c>
      <c r="E121" s="10" t="s">
        <v>88</v>
      </c>
      <c r="F121" s="661" t="s">
        <v>81</v>
      </c>
      <c r="G121" s="662" t="s">
        <v>30</v>
      </c>
      <c r="H121" s="662" t="s">
        <v>37</v>
      </c>
      <c r="I121" s="663" t="s">
        <v>91</v>
      </c>
      <c r="J121" s="10" t="s">
        <v>50</v>
      </c>
      <c r="K121" s="24">
        <v>8701.2999999999993</v>
      </c>
      <c r="L121" s="24">
        <f>M121-K121</f>
        <v>0</v>
      </c>
      <c r="M121" s="24">
        <v>8701.2999999999993</v>
      </c>
    </row>
    <row r="122" spans="1:13" s="111" customFormat="1" ht="54" x14ac:dyDescent="0.35">
      <c r="A122" s="11"/>
      <c r="B122" s="498" t="s">
        <v>55</v>
      </c>
      <c r="C122" s="23" t="s">
        <v>1</v>
      </c>
      <c r="D122" s="10" t="s">
        <v>63</v>
      </c>
      <c r="E122" s="10" t="s">
        <v>88</v>
      </c>
      <c r="F122" s="661" t="s">
        <v>81</v>
      </c>
      <c r="G122" s="662" t="s">
        <v>30</v>
      </c>
      <c r="H122" s="662" t="s">
        <v>37</v>
      </c>
      <c r="I122" s="663" t="s">
        <v>91</v>
      </c>
      <c r="J122" s="10" t="s">
        <v>56</v>
      </c>
      <c r="K122" s="24">
        <f>1852.3+1.448+429.2+197.6+198.4+171.1</f>
        <v>2850.0479999999998</v>
      </c>
      <c r="L122" s="24">
        <f>M122-K122</f>
        <v>-0.22602999999980966</v>
      </c>
      <c r="M122" s="24">
        <f>1852.3+1.448+429.2+197.6+198.4+171.1-0.22603</f>
        <v>2849.82197</v>
      </c>
    </row>
    <row r="123" spans="1:13" s="111" customFormat="1" ht="18" customHeight="1" x14ac:dyDescent="0.35">
      <c r="A123" s="11"/>
      <c r="B123" s="498" t="s">
        <v>57</v>
      </c>
      <c r="C123" s="23" t="s">
        <v>1</v>
      </c>
      <c r="D123" s="10" t="s">
        <v>63</v>
      </c>
      <c r="E123" s="10" t="s">
        <v>88</v>
      </c>
      <c r="F123" s="661" t="s">
        <v>81</v>
      </c>
      <c r="G123" s="662" t="s">
        <v>30</v>
      </c>
      <c r="H123" s="662" t="s">
        <v>37</v>
      </c>
      <c r="I123" s="663" t="s">
        <v>91</v>
      </c>
      <c r="J123" s="10" t="s">
        <v>58</v>
      </c>
      <c r="K123" s="24">
        <v>3.3</v>
      </c>
      <c r="L123" s="24">
        <f>M123-K123</f>
        <v>0.22603000000000018</v>
      </c>
      <c r="M123" s="24">
        <f>3.3+0.22603</f>
        <v>3.52603</v>
      </c>
    </row>
    <row r="124" spans="1:13" s="111" customFormat="1" ht="36" customHeight="1" x14ac:dyDescent="0.35">
      <c r="A124" s="11"/>
      <c r="B124" s="494" t="s">
        <v>576</v>
      </c>
      <c r="C124" s="23" t="s">
        <v>1</v>
      </c>
      <c r="D124" s="10" t="s">
        <v>63</v>
      </c>
      <c r="E124" s="10" t="s">
        <v>88</v>
      </c>
      <c r="F124" s="661" t="s">
        <v>81</v>
      </c>
      <c r="G124" s="662" t="s">
        <v>30</v>
      </c>
      <c r="H124" s="662" t="s">
        <v>39</v>
      </c>
      <c r="I124" s="663" t="s">
        <v>44</v>
      </c>
      <c r="J124" s="10"/>
      <c r="K124" s="24">
        <f t="shared" ref="K124:M125" si="13">K125</f>
        <v>476.9</v>
      </c>
      <c r="L124" s="24">
        <f t="shared" si="13"/>
        <v>0</v>
      </c>
      <c r="M124" s="24">
        <f t="shared" si="13"/>
        <v>476.9</v>
      </c>
    </row>
    <row r="125" spans="1:13" s="111" customFormat="1" ht="54" customHeight="1" x14ac:dyDescent="0.35">
      <c r="A125" s="11"/>
      <c r="B125" s="494" t="s">
        <v>85</v>
      </c>
      <c r="C125" s="23" t="s">
        <v>1</v>
      </c>
      <c r="D125" s="10" t="s">
        <v>63</v>
      </c>
      <c r="E125" s="10" t="s">
        <v>88</v>
      </c>
      <c r="F125" s="661" t="s">
        <v>81</v>
      </c>
      <c r="G125" s="662" t="s">
        <v>30</v>
      </c>
      <c r="H125" s="662" t="s">
        <v>39</v>
      </c>
      <c r="I125" s="663" t="s">
        <v>86</v>
      </c>
      <c r="J125" s="10"/>
      <c r="K125" s="24">
        <f t="shared" si="13"/>
        <v>476.9</v>
      </c>
      <c r="L125" s="24">
        <f t="shared" si="13"/>
        <v>0</v>
      </c>
      <c r="M125" s="24">
        <f t="shared" si="13"/>
        <v>476.9</v>
      </c>
    </row>
    <row r="126" spans="1:13" s="111" customFormat="1" ht="54" customHeight="1" x14ac:dyDescent="0.35">
      <c r="A126" s="11"/>
      <c r="B126" s="498" t="s">
        <v>55</v>
      </c>
      <c r="C126" s="23" t="s">
        <v>1</v>
      </c>
      <c r="D126" s="10" t="s">
        <v>63</v>
      </c>
      <c r="E126" s="10" t="s">
        <v>88</v>
      </c>
      <c r="F126" s="661" t="s">
        <v>81</v>
      </c>
      <c r="G126" s="662" t="s">
        <v>30</v>
      </c>
      <c r="H126" s="662" t="s">
        <v>39</v>
      </c>
      <c r="I126" s="663" t="s">
        <v>86</v>
      </c>
      <c r="J126" s="10" t="s">
        <v>56</v>
      </c>
      <c r="K126" s="24">
        <f>308.4+168.5</f>
        <v>476.9</v>
      </c>
      <c r="L126" s="24">
        <f>M126-K126</f>
        <v>0</v>
      </c>
      <c r="M126" s="24">
        <f>308.4+168.5</f>
        <v>476.9</v>
      </c>
    </row>
    <row r="127" spans="1:13" s="111" customFormat="1" ht="54" customHeight="1" x14ac:dyDescent="0.35">
      <c r="A127" s="11"/>
      <c r="B127" s="512" t="s">
        <v>494</v>
      </c>
      <c r="C127" s="23" t="s">
        <v>1</v>
      </c>
      <c r="D127" s="10" t="s">
        <v>63</v>
      </c>
      <c r="E127" s="10" t="s">
        <v>88</v>
      </c>
      <c r="F127" s="661" t="s">
        <v>81</v>
      </c>
      <c r="G127" s="662" t="s">
        <v>31</v>
      </c>
      <c r="H127" s="662" t="s">
        <v>43</v>
      </c>
      <c r="I127" s="663" t="s">
        <v>44</v>
      </c>
      <c r="J127" s="10"/>
      <c r="K127" s="24">
        <f>K128</f>
        <v>21.8</v>
      </c>
      <c r="L127" s="24">
        <f>L128</f>
        <v>0</v>
      </c>
      <c r="M127" s="24">
        <f>M128</f>
        <v>21.8</v>
      </c>
    </row>
    <row r="128" spans="1:13" s="111" customFormat="1" ht="72" customHeight="1" x14ac:dyDescent="0.35">
      <c r="A128" s="11"/>
      <c r="B128" s="513" t="s">
        <v>495</v>
      </c>
      <c r="C128" s="23" t="s">
        <v>1</v>
      </c>
      <c r="D128" s="10" t="s">
        <v>63</v>
      </c>
      <c r="E128" s="10" t="s">
        <v>88</v>
      </c>
      <c r="F128" s="661" t="s">
        <v>81</v>
      </c>
      <c r="G128" s="662" t="s">
        <v>31</v>
      </c>
      <c r="H128" s="662" t="s">
        <v>37</v>
      </c>
      <c r="I128" s="663" t="s">
        <v>44</v>
      </c>
      <c r="J128" s="10"/>
      <c r="K128" s="24">
        <f t="shared" ref="K128:M129" si="14">K129</f>
        <v>21.8</v>
      </c>
      <c r="L128" s="24">
        <f t="shared" si="14"/>
        <v>0</v>
      </c>
      <c r="M128" s="24">
        <f t="shared" si="14"/>
        <v>21.8</v>
      </c>
    </row>
    <row r="129" spans="1:13" s="111" customFormat="1" ht="54" customHeight="1" x14ac:dyDescent="0.35">
      <c r="A129" s="11"/>
      <c r="B129" s="514" t="s">
        <v>85</v>
      </c>
      <c r="C129" s="23" t="s">
        <v>1</v>
      </c>
      <c r="D129" s="10" t="s">
        <v>63</v>
      </c>
      <c r="E129" s="10" t="s">
        <v>88</v>
      </c>
      <c r="F129" s="661" t="s">
        <v>81</v>
      </c>
      <c r="G129" s="662" t="s">
        <v>31</v>
      </c>
      <c r="H129" s="662" t="s">
        <v>37</v>
      </c>
      <c r="I129" s="663" t="s">
        <v>86</v>
      </c>
      <c r="J129" s="10"/>
      <c r="K129" s="24">
        <f t="shared" si="14"/>
        <v>21.8</v>
      </c>
      <c r="L129" s="24">
        <f t="shared" si="14"/>
        <v>0</v>
      </c>
      <c r="M129" s="24">
        <f t="shared" si="14"/>
        <v>21.8</v>
      </c>
    </row>
    <row r="130" spans="1:13" s="111" customFormat="1" ht="54" customHeight="1" x14ac:dyDescent="0.35">
      <c r="A130" s="11"/>
      <c r="B130" s="515" t="s">
        <v>55</v>
      </c>
      <c r="C130" s="23" t="s">
        <v>1</v>
      </c>
      <c r="D130" s="10" t="s">
        <v>63</v>
      </c>
      <c r="E130" s="10" t="s">
        <v>88</v>
      </c>
      <c r="F130" s="661" t="s">
        <v>81</v>
      </c>
      <c r="G130" s="662" t="s">
        <v>31</v>
      </c>
      <c r="H130" s="662" t="s">
        <v>37</v>
      </c>
      <c r="I130" s="663" t="s">
        <v>86</v>
      </c>
      <c r="J130" s="10" t="s">
        <v>56</v>
      </c>
      <c r="K130" s="24">
        <v>21.8</v>
      </c>
      <c r="L130" s="24">
        <f>M130-K130</f>
        <v>0</v>
      </c>
      <c r="M130" s="24">
        <v>21.8</v>
      </c>
    </row>
    <row r="131" spans="1:13" s="111" customFormat="1" ht="18" customHeight="1" x14ac:dyDescent="0.35">
      <c r="A131" s="11"/>
      <c r="B131" s="498" t="s">
        <v>92</v>
      </c>
      <c r="C131" s="23" t="s">
        <v>1</v>
      </c>
      <c r="D131" s="10" t="s">
        <v>52</v>
      </c>
      <c r="E131" s="10"/>
      <c r="F131" s="661"/>
      <c r="G131" s="662"/>
      <c r="H131" s="662"/>
      <c r="I131" s="663"/>
      <c r="J131" s="10"/>
      <c r="K131" s="24">
        <f>K132+K141+K147</f>
        <v>95748.315600000002</v>
      </c>
      <c r="L131" s="24">
        <f>L132+L141+L147</f>
        <v>-854.8</v>
      </c>
      <c r="M131" s="24">
        <f>M132+M141+M147</f>
        <v>94893.515599999999</v>
      </c>
    </row>
    <row r="132" spans="1:13" s="7" customFormat="1" ht="18" customHeight="1" x14ac:dyDescent="0.35">
      <c r="A132" s="11"/>
      <c r="B132" s="498" t="s">
        <v>93</v>
      </c>
      <c r="C132" s="23" t="s">
        <v>1</v>
      </c>
      <c r="D132" s="10" t="s">
        <v>52</v>
      </c>
      <c r="E132" s="10" t="s">
        <v>65</v>
      </c>
      <c r="F132" s="661"/>
      <c r="G132" s="662"/>
      <c r="H132" s="662"/>
      <c r="I132" s="663"/>
      <c r="J132" s="10"/>
      <c r="K132" s="24">
        <f t="shared" ref="K132:M133" si="15">K133</f>
        <v>14369.400000000001</v>
      </c>
      <c r="L132" s="24">
        <f t="shared" si="15"/>
        <v>0</v>
      </c>
      <c r="M132" s="24">
        <f t="shared" si="15"/>
        <v>14369.400000000001</v>
      </c>
    </row>
    <row r="133" spans="1:13" s="111" customFormat="1" ht="54" customHeight="1" x14ac:dyDescent="0.35">
      <c r="A133" s="11"/>
      <c r="B133" s="498" t="s">
        <v>94</v>
      </c>
      <c r="C133" s="23" t="s">
        <v>1</v>
      </c>
      <c r="D133" s="10" t="s">
        <v>52</v>
      </c>
      <c r="E133" s="10" t="s">
        <v>65</v>
      </c>
      <c r="F133" s="661" t="s">
        <v>67</v>
      </c>
      <c r="G133" s="662" t="s">
        <v>42</v>
      </c>
      <c r="H133" s="662" t="s">
        <v>43</v>
      </c>
      <c r="I133" s="663" t="s">
        <v>44</v>
      </c>
      <c r="J133" s="10"/>
      <c r="K133" s="24">
        <f t="shared" si="15"/>
        <v>14369.400000000001</v>
      </c>
      <c r="L133" s="24">
        <f t="shared" si="15"/>
        <v>0</v>
      </c>
      <c r="M133" s="24">
        <f t="shared" si="15"/>
        <v>14369.400000000001</v>
      </c>
    </row>
    <row r="134" spans="1:13" s="7" customFormat="1" ht="36" customHeight="1" x14ac:dyDescent="0.35">
      <c r="A134" s="11"/>
      <c r="B134" s="498" t="s">
        <v>344</v>
      </c>
      <c r="C134" s="23" t="s">
        <v>1</v>
      </c>
      <c r="D134" s="10" t="s">
        <v>52</v>
      </c>
      <c r="E134" s="10" t="s">
        <v>65</v>
      </c>
      <c r="F134" s="661" t="s">
        <v>67</v>
      </c>
      <c r="G134" s="662" t="s">
        <v>45</v>
      </c>
      <c r="H134" s="662" t="s">
        <v>43</v>
      </c>
      <c r="I134" s="663" t="s">
        <v>44</v>
      </c>
      <c r="J134" s="10"/>
      <c r="K134" s="24">
        <f>K135+K138</f>
        <v>14369.400000000001</v>
      </c>
      <c r="L134" s="24">
        <f>L135+L138</f>
        <v>0</v>
      </c>
      <c r="M134" s="24">
        <f>M135+M138</f>
        <v>14369.400000000001</v>
      </c>
    </row>
    <row r="135" spans="1:13" s="7" customFormat="1" ht="54" customHeight="1" x14ac:dyDescent="0.35">
      <c r="A135" s="11"/>
      <c r="B135" s="498" t="s">
        <v>95</v>
      </c>
      <c r="C135" s="23" t="s">
        <v>1</v>
      </c>
      <c r="D135" s="10" t="s">
        <v>52</v>
      </c>
      <c r="E135" s="10" t="s">
        <v>65</v>
      </c>
      <c r="F135" s="661" t="s">
        <v>67</v>
      </c>
      <c r="G135" s="662" t="s">
        <v>45</v>
      </c>
      <c r="H135" s="662" t="s">
        <v>37</v>
      </c>
      <c r="I135" s="663" t="s">
        <v>44</v>
      </c>
      <c r="J135" s="10"/>
      <c r="K135" s="24">
        <f t="shared" ref="K135:M136" si="16">K136</f>
        <v>11070.6</v>
      </c>
      <c r="L135" s="24">
        <f t="shared" si="16"/>
        <v>0</v>
      </c>
      <c r="M135" s="24">
        <f t="shared" si="16"/>
        <v>11070.6</v>
      </c>
    </row>
    <row r="136" spans="1:13" s="7" customFormat="1" ht="72" customHeight="1" x14ac:dyDescent="0.35">
      <c r="A136" s="11"/>
      <c r="B136" s="536" t="s">
        <v>412</v>
      </c>
      <c r="C136" s="23" t="s">
        <v>1</v>
      </c>
      <c r="D136" s="10" t="s">
        <v>52</v>
      </c>
      <c r="E136" s="10" t="s">
        <v>65</v>
      </c>
      <c r="F136" s="661" t="s">
        <v>67</v>
      </c>
      <c r="G136" s="662" t="s">
        <v>45</v>
      </c>
      <c r="H136" s="662" t="s">
        <v>37</v>
      </c>
      <c r="I136" s="663" t="s">
        <v>61</v>
      </c>
      <c r="J136" s="10"/>
      <c r="K136" s="24">
        <f t="shared" si="16"/>
        <v>11070.6</v>
      </c>
      <c r="L136" s="24">
        <f t="shared" si="16"/>
        <v>0</v>
      </c>
      <c r="M136" s="24">
        <f t="shared" si="16"/>
        <v>11070.6</v>
      </c>
    </row>
    <row r="137" spans="1:13" s="111" customFormat="1" ht="18" customHeight="1" x14ac:dyDescent="0.35">
      <c r="A137" s="11"/>
      <c r="B137" s="498" t="s">
        <v>57</v>
      </c>
      <c r="C137" s="23" t="s">
        <v>1</v>
      </c>
      <c r="D137" s="10" t="s">
        <v>52</v>
      </c>
      <c r="E137" s="10" t="s">
        <v>65</v>
      </c>
      <c r="F137" s="661" t="s">
        <v>67</v>
      </c>
      <c r="G137" s="662" t="s">
        <v>45</v>
      </c>
      <c r="H137" s="662" t="s">
        <v>37</v>
      </c>
      <c r="I137" s="663" t="s">
        <v>61</v>
      </c>
      <c r="J137" s="10" t="s">
        <v>58</v>
      </c>
      <c r="K137" s="24">
        <v>11070.6</v>
      </c>
      <c r="L137" s="24">
        <f>M137-K137</f>
        <v>0</v>
      </c>
      <c r="M137" s="24">
        <v>11070.6</v>
      </c>
    </row>
    <row r="138" spans="1:13" s="7" customFormat="1" ht="54" customHeight="1" x14ac:dyDescent="0.35">
      <c r="A138" s="11"/>
      <c r="B138" s="498" t="s">
        <v>96</v>
      </c>
      <c r="C138" s="23" t="s">
        <v>1</v>
      </c>
      <c r="D138" s="10" t="s">
        <v>52</v>
      </c>
      <c r="E138" s="10" t="s">
        <v>65</v>
      </c>
      <c r="F138" s="661" t="s">
        <v>67</v>
      </c>
      <c r="G138" s="662" t="s">
        <v>45</v>
      </c>
      <c r="H138" s="662" t="s">
        <v>39</v>
      </c>
      <c r="I138" s="663" t="s">
        <v>44</v>
      </c>
      <c r="J138" s="10"/>
      <c r="K138" s="24">
        <f t="shared" ref="K138:M139" si="17">K139</f>
        <v>3298.8</v>
      </c>
      <c r="L138" s="24">
        <f t="shared" si="17"/>
        <v>0</v>
      </c>
      <c r="M138" s="24">
        <f t="shared" si="17"/>
        <v>3298.8</v>
      </c>
    </row>
    <row r="139" spans="1:13" s="7" customFormat="1" ht="180" customHeight="1" x14ac:dyDescent="0.35">
      <c r="A139" s="11"/>
      <c r="B139" s="498" t="s">
        <v>533</v>
      </c>
      <c r="C139" s="23" t="s">
        <v>1</v>
      </c>
      <c r="D139" s="10" t="s">
        <v>52</v>
      </c>
      <c r="E139" s="10" t="s">
        <v>65</v>
      </c>
      <c r="F139" s="661" t="s">
        <v>67</v>
      </c>
      <c r="G139" s="662" t="s">
        <v>45</v>
      </c>
      <c r="H139" s="662" t="s">
        <v>39</v>
      </c>
      <c r="I139" s="663" t="s">
        <v>97</v>
      </c>
      <c r="J139" s="10"/>
      <c r="K139" s="24">
        <f t="shared" si="17"/>
        <v>3298.8</v>
      </c>
      <c r="L139" s="24">
        <f t="shared" si="17"/>
        <v>0</v>
      </c>
      <c r="M139" s="24">
        <f t="shared" si="17"/>
        <v>3298.8</v>
      </c>
    </row>
    <row r="140" spans="1:13" s="111" customFormat="1" ht="54" customHeight="1" x14ac:dyDescent="0.35">
      <c r="A140" s="11"/>
      <c r="B140" s="498" t="s">
        <v>55</v>
      </c>
      <c r="C140" s="23" t="s">
        <v>1</v>
      </c>
      <c r="D140" s="10" t="s">
        <v>52</v>
      </c>
      <c r="E140" s="10" t="s">
        <v>65</v>
      </c>
      <c r="F140" s="661" t="s">
        <v>67</v>
      </c>
      <c r="G140" s="662" t="s">
        <v>45</v>
      </c>
      <c r="H140" s="662" t="s">
        <v>39</v>
      </c>
      <c r="I140" s="663" t="s">
        <v>97</v>
      </c>
      <c r="J140" s="10" t="s">
        <v>56</v>
      </c>
      <c r="K140" s="24">
        <v>3298.8</v>
      </c>
      <c r="L140" s="24">
        <f>M140-K140</f>
        <v>0</v>
      </c>
      <c r="M140" s="24">
        <v>3298.8</v>
      </c>
    </row>
    <row r="141" spans="1:13" s="7" customFormat="1" ht="18" customHeight="1" x14ac:dyDescent="0.35">
      <c r="A141" s="11"/>
      <c r="B141" s="537" t="s">
        <v>98</v>
      </c>
      <c r="C141" s="23" t="s">
        <v>1</v>
      </c>
      <c r="D141" s="10" t="s">
        <v>52</v>
      </c>
      <c r="E141" s="10" t="s">
        <v>79</v>
      </c>
      <c r="F141" s="661"/>
      <c r="G141" s="662"/>
      <c r="H141" s="662"/>
      <c r="I141" s="663"/>
      <c r="J141" s="10"/>
      <c r="K141" s="24">
        <f t="shared" ref="K141:M145" si="18">K142</f>
        <v>12364.4156</v>
      </c>
      <c r="L141" s="24">
        <f t="shared" si="18"/>
        <v>0</v>
      </c>
      <c r="M141" s="24">
        <f t="shared" si="18"/>
        <v>12364.4156</v>
      </c>
    </row>
    <row r="142" spans="1:13" s="111" customFormat="1" ht="54" customHeight="1" x14ac:dyDescent="0.35">
      <c r="A142" s="11"/>
      <c r="B142" s="498" t="s">
        <v>99</v>
      </c>
      <c r="C142" s="23" t="s">
        <v>1</v>
      </c>
      <c r="D142" s="10" t="s">
        <v>52</v>
      </c>
      <c r="E142" s="10" t="s">
        <v>79</v>
      </c>
      <c r="F142" s="661" t="s">
        <v>100</v>
      </c>
      <c r="G142" s="662" t="s">
        <v>42</v>
      </c>
      <c r="H142" s="662" t="s">
        <v>43</v>
      </c>
      <c r="I142" s="663" t="s">
        <v>44</v>
      </c>
      <c r="J142" s="10"/>
      <c r="K142" s="24">
        <f t="shared" si="18"/>
        <v>12364.4156</v>
      </c>
      <c r="L142" s="24">
        <f t="shared" si="18"/>
        <v>0</v>
      </c>
      <c r="M142" s="24">
        <f t="shared" si="18"/>
        <v>12364.4156</v>
      </c>
    </row>
    <row r="143" spans="1:13" s="7" customFormat="1" ht="36" customHeight="1" x14ac:dyDescent="0.35">
      <c r="A143" s="11"/>
      <c r="B143" s="498" t="s">
        <v>344</v>
      </c>
      <c r="C143" s="23" t="s">
        <v>1</v>
      </c>
      <c r="D143" s="10" t="s">
        <v>52</v>
      </c>
      <c r="E143" s="10" t="s">
        <v>79</v>
      </c>
      <c r="F143" s="661" t="s">
        <v>100</v>
      </c>
      <c r="G143" s="662" t="s">
        <v>45</v>
      </c>
      <c r="H143" s="662" t="s">
        <v>43</v>
      </c>
      <c r="I143" s="663" t="s">
        <v>44</v>
      </c>
      <c r="J143" s="10"/>
      <c r="K143" s="24">
        <f t="shared" si="18"/>
        <v>12364.4156</v>
      </c>
      <c r="L143" s="24">
        <f t="shared" si="18"/>
        <v>0</v>
      </c>
      <c r="M143" s="24">
        <f t="shared" si="18"/>
        <v>12364.4156</v>
      </c>
    </row>
    <row r="144" spans="1:13" s="7" customFormat="1" ht="90" customHeight="1" x14ac:dyDescent="0.35">
      <c r="A144" s="11"/>
      <c r="B144" s="498" t="s">
        <v>101</v>
      </c>
      <c r="C144" s="23" t="s">
        <v>1</v>
      </c>
      <c r="D144" s="10" t="s">
        <v>52</v>
      </c>
      <c r="E144" s="10" t="s">
        <v>79</v>
      </c>
      <c r="F144" s="661" t="s">
        <v>100</v>
      </c>
      <c r="G144" s="662" t="s">
        <v>45</v>
      </c>
      <c r="H144" s="662" t="s">
        <v>37</v>
      </c>
      <c r="I144" s="663" t="s">
        <v>44</v>
      </c>
      <c r="J144" s="10"/>
      <c r="K144" s="24">
        <f>K145</f>
        <v>12364.4156</v>
      </c>
      <c r="L144" s="24">
        <f>L145</f>
        <v>0</v>
      </c>
      <c r="M144" s="24">
        <f>M145</f>
        <v>12364.4156</v>
      </c>
    </row>
    <row r="145" spans="1:13" s="7" customFormat="1" ht="72" customHeight="1" x14ac:dyDescent="0.35">
      <c r="A145" s="11"/>
      <c r="B145" s="538" t="s">
        <v>102</v>
      </c>
      <c r="C145" s="23" t="s">
        <v>1</v>
      </c>
      <c r="D145" s="10" t="s">
        <v>52</v>
      </c>
      <c r="E145" s="10" t="s">
        <v>79</v>
      </c>
      <c r="F145" s="661" t="s">
        <v>100</v>
      </c>
      <c r="G145" s="662" t="s">
        <v>45</v>
      </c>
      <c r="H145" s="662" t="s">
        <v>37</v>
      </c>
      <c r="I145" s="663" t="s">
        <v>103</v>
      </c>
      <c r="J145" s="10"/>
      <c r="K145" s="24">
        <f t="shared" si="18"/>
        <v>12364.4156</v>
      </c>
      <c r="L145" s="24">
        <f t="shared" si="18"/>
        <v>0</v>
      </c>
      <c r="M145" s="24">
        <f t="shared" si="18"/>
        <v>12364.4156</v>
      </c>
    </row>
    <row r="146" spans="1:13" s="111" customFormat="1" ht="54" customHeight="1" x14ac:dyDescent="0.35">
      <c r="A146" s="11"/>
      <c r="B146" s="498" t="s">
        <v>55</v>
      </c>
      <c r="C146" s="23" t="s">
        <v>1</v>
      </c>
      <c r="D146" s="10" t="s">
        <v>52</v>
      </c>
      <c r="E146" s="10" t="s">
        <v>79</v>
      </c>
      <c r="F146" s="661" t="s">
        <v>100</v>
      </c>
      <c r="G146" s="662" t="s">
        <v>45</v>
      </c>
      <c r="H146" s="662" t="s">
        <v>37</v>
      </c>
      <c r="I146" s="663" t="s">
        <v>103</v>
      </c>
      <c r="J146" s="10" t="s">
        <v>56</v>
      </c>
      <c r="K146" s="24">
        <f>6295.9+6068.5156</f>
        <v>12364.4156</v>
      </c>
      <c r="L146" s="24">
        <f>M146-K146</f>
        <v>0</v>
      </c>
      <c r="M146" s="24">
        <f>6295.9+6068.5156</f>
        <v>12364.4156</v>
      </c>
    </row>
    <row r="147" spans="1:13" s="7" customFormat="1" ht="36" customHeight="1" x14ac:dyDescent="0.35">
      <c r="A147" s="11"/>
      <c r="B147" s="537" t="s">
        <v>106</v>
      </c>
      <c r="C147" s="23" t="s">
        <v>1</v>
      </c>
      <c r="D147" s="10" t="s">
        <v>52</v>
      </c>
      <c r="E147" s="10" t="s">
        <v>100</v>
      </c>
      <c r="F147" s="661"/>
      <c r="G147" s="662"/>
      <c r="H147" s="662"/>
      <c r="I147" s="663"/>
      <c r="J147" s="10"/>
      <c r="K147" s="24">
        <f>K148+K157+K166</f>
        <v>69014.5</v>
      </c>
      <c r="L147" s="24">
        <f>L148+L157+L166</f>
        <v>-854.8</v>
      </c>
      <c r="M147" s="24">
        <f>M148+M157+M166</f>
        <v>68159.7</v>
      </c>
    </row>
    <row r="148" spans="1:13" s="111" customFormat="1" ht="72" customHeight="1" x14ac:dyDescent="0.35">
      <c r="A148" s="11"/>
      <c r="B148" s="498" t="s">
        <v>107</v>
      </c>
      <c r="C148" s="23" t="s">
        <v>1</v>
      </c>
      <c r="D148" s="10" t="s">
        <v>52</v>
      </c>
      <c r="E148" s="10" t="s">
        <v>100</v>
      </c>
      <c r="F148" s="661" t="s">
        <v>71</v>
      </c>
      <c r="G148" s="662" t="s">
        <v>42</v>
      </c>
      <c r="H148" s="662" t="s">
        <v>43</v>
      </c>
      <c r="I148" s="663" t="s">
        <v>44</v>
      </c>
      <c r="J148" s="10"/>
      <c r="K148" s="24">
        <f>K149+K153</f>
        <v>1066.0999999999999</v>
      </c>
      <c r="L148" s="24">
        <f>L149+L153</f>
        <v>-833.1</v>
      </c>
      <c r="M148" s="24">
        <f>M149+M153</f>
        <v>233</v>
      </c>
    </row>
    <row r="149" spans="1:13" s="111" customFormat="1" ht="54" customHeight="1" x14ac:dyDescent="0.35">
      <c r="A149" s="11"/>
      <c r="B149" s="537" t="s">
        <v>108</v>
      </c>
      <c r="C149" s="23" t="s">
        <v>1</v>
      </c>
      <c r="D149" s="10" t="s">
        <v>52</v>
      </c>
      <c r="E149" s="10" t="s">
        <v>100</v>
      </c>
      <c r="F149" s="661" t="s">
        <v>71</v>
      </c>
      <c r="G149" s="662" t="s">
        <v>45</v>
      </c>
      <c r="H149" s="662" t="s">
        <v>43</v>
      </c>
      <c r="I149" s="663" t="s">
        <v>44</v>
      </c>
      <c r="J149" s="10"/>
      <c r="K149" s="24">
        <f t="shared" ref="K149:M150" si="19">K150</f>
        <v>340</v>
      </c>
      <c r="L149" s="24">
        <f t="shared" si="19"/>
        <v>-225</v>
      </c>
      <c r="M149" s="24">
        <f t="shared" si="19"/>
        <v>115</v>
      </c>
    </row>
    <row r="150" spans="1:13" s="7" customFormat="1" ht="36" customHeight="1" x14ac:dyDescent="0.35">
      <c r="A150" s="11"/>
      <c r="B150" s="498" t="s">
        <v>109</v>
      </c>
      <c r="C150" s="23" t="s">
        <v>1</v>
      </c>
      <c r="D150" s="10" t="s">
        <v>52</v>
      </c>
      <c r="E150" s="10" t="s">
        <v>100</v>
      </c>
      <c r="F150" s="661" t="s">
        <v>71</v>
      </c>
      <c r="G150" s="662" t="s">
        <v>45</v>
      </c>
      <c r="H150" s="662" t="s">
        <v>37</v>
      </c>
      <c r="I150" s="663" t="s">
        <v>44</v>
      </c>
      <c r="J150" s="10"/>
      <c r="K150" s="24">
        <f t="shared" si="19"/>
        <v>340</v>
      </c>
      <c r="L150" s="24">
        <f t="shared" si="19"/>
        <v>-225</v>
      </c>
      <c r="M150" s="24">
        <f t="shared" si="19"/>
        <v>115</v>
      </c>
    </row>
    <row r="151" spans="1:13" s="111" customFormat="1" ht="36" customHeight="1" x14ac:dyDescent="0.35">
      <c r="A151" s="11"/>
      <c r="B151" s="537" t="s">
        <v>110</v>
      </c>
      <c r="C151" s="23" t="s">
        <v>1</v>
      </c>
      <c r="D151" s="10" t="s">
        <v>52</v>
      </c>
      <c r="E151" s="10" t="s">
        <v>100</v>
      </c>
      <c r="F151" s="661" t="s">
        <v>71</v>
      </c>
      <c r="G151" s="662" t="s">
        <v>45</v>
      </c>
      <c r="H151" s="662" t="s">
        <v>37</v>
      </c>
      <c r="I151" s="663" t="s">
        <v>111</v>
      </c>
      <c r="J151" s="10"/>
      <c r="K151" s="24">
        <f>K152</f>
        <v>340</v>
      </c>
      <c r="L151" s="24">
        <f>L152</f>
        <v>-225</v>
      </c>
      <c r="M151" s="24">
        <f>M152</f>
        <v>115</v>
      </c>
    </row>
    <row r="152" spans="1:13" s="7" customFormat="1" ht="54" customHeight="1" x14ac:dyDescent="0.35">
      <c r="A152" s="11"/>
      <c r="B152" s="498" t="s">
        <v>55</v>
      </c>
      <c r="C152" s="23" t="s">
        <v>1</v>
      </c>
      <c r="D152" s="10" t="s">
        <v>52</v>
      </c>
      <c r="E152" s="10" t="s">
        <v>100</v>
      </c>
      <c r="F152" s="661" t="s">
        <v>71</v>
      </c>
      <c r="G152" s="662" t="s">
        <v>45</v>
      </c>
      <c r="H152" s="662" t="s">
        <v>37</v>
      </c>
      <c r="I152" s="663" t="s">
        <v>111</v>
      </c>
      <c r="J152" s="10" t="s">
        <v>56</v>
      </c>
      <c r="K152" s="24">
        <v>340</v>
      </c>
      <c r="L152" s="24">
        <f>M152-K152</f>
        <v>-225</v>
      </c>
      <c r="M152" s="24">
        <f>340-120-105</f>
        <v>115</v>
      </c>
    </row>
    <row r="153" spans="1:13" s="111" customFormat="1" ht="36" customHeight="1" x14ac:dyDescent="0.35">
      <c r="A153" s="11"/>
      <c r="B153" s="537" t="s">
        <v>112</v>
      </c>
      <c r="C153" s="23" t="s">
        <v>1</v>
      </c>
      <c r="D153" s="10" t="s">
        <v>52</v>
      </c>
      <c r="E153" s="10" t="s">
        <v>100</v>
      </c>
      <c r="F153" s="661" t="s">
        <v>71</v>
      </c>
      <c r="G153" s="662" t="s">
        <v>89</v>
      </c>
      <c r="H153" s="662" t="s">
        <v>43</v>
      </c>
      <c r="I153" s="663" t="s">
        <v>44</v>
      </c>
      <c r="J153" s="10"/>
      <c r="K153" s="24">
        <f t="shared" ref="K153:M155" si="20">K154</f>
        <v>726.1</v>
      </c>
      <c r="L153" s="24">
        <f t="shared" si="20"/>
        <v>-608.1</v>
      </c>
      <c r="M153" s="24">
        <f t="shared" si="20"/>
        <v>118</v>
      </c>
    </row>
    <row r="154" spans="1:13" s="7" customFormat="1" ht="54" customHeight="1" x14ac:dyDescent="0.35">
      <c r="A154" s="11"/>
      <c r="B154" s="537" t="s">
        <v>113</v>
      </c>
      <c r="C154" s="23" t="s">
        <v>1</v>
      </c>
      <c r="D154" s="10" t="s">
        <v>52</v>
      </c>
      <c r="E154" s="10" t="s">
        <v>100</v>
      </c>
      <c r="F154" s="661" t="s">
        <v>71</v>
      </c>
      <c r="G154" s="662" t="s">
        <v>89</v>
      </c>
      <c r="H154" s="662" t="s">
        <v>37</v>
      </c>
      <c r="I154" s="663" t="s">
        <v>44</v>
      </c>
      <c r="J154" s="10"/>
      <c r="K154" s="24">
        <f t="shared" si="20"/>
        <v>726.1</v>
      </c>
      <c r="L154" s="24">
        <f t="shared" si="20"/>
        <v>-608.1</v>
      </c>
      <c r="M154" s="24">
        <f t="shared" si="20"/>
        <v>118</v>
      </c>
    </row>
    <row r="155" spans="1:13" s="111" customFormat="1" ht="87" customHeight="1" x14ac:dyDescent="0.35">
      <c r="A155" s="11"/>
      <c r="B155" s="537" t="s">
        <v>114</v>
      </c>
      <c r="C155" s="23" t="s">
        <v>1</v>
      </c>
      <c r="D155" s="10" t="s">
        <v>52</v>
      </c>
      <c r="E155" s="10" t="s">
        <v>100</v>
      </c>
      <c r="F155" s="661" t="s">
        <v>71</v>
      </c>
      <c r="G155" s="662" t="s">
        <v>89</v>
      </c>
      <c r="H155" s="662" t="s">
        <v>37</v>
      </c>
      <c r="I155" s="663" t="s">
        <v>115</v>
      </c>
      <c r="J155" s="10"/>
      <c r="K155" s="24">
        <f t="shared" si="20"/>
        <v>726.1</v>
      </c>
      <c r="L155" s="24">
        <f t="shared" si="20"/>
        <v>-608.1</v>
      </c>
      <c r="M155" s="24">
        <f t="shared" si="20"/>
        <v>118</v>
      </c>
    </row>
    <row r="156" spans="1:13" s="7" customFormat="1" ht="54" customHeight="1" x14ac:dyDescent="0.35">
      <c r="A156" s="11"/>
      <c r="B156" s="498" t="s">
        <v>55</v>
      </c>
      <c r="C156" s="23" t="s">
        <v>1</v>
      </c>
      <c r="D156" s="10" t="s">
        <v>52</v>
      </c>
      <c r="E156" s="10" t="s">
        <v>100</v>
      </c>
      <c r="F156" s="661" t="s">
        <v>71</v>
      </c>
      <c r="G156" s="662" t="s">
        <v>89</v>
      </c>
      <c r="H156" s="662" t="s">
        <v>37</v>
      </c>
      <c r="I156" s="663" t="s">
        <v>115</v>
      </c>
      <c r="J156" s="10" t="s">
        <v>56</v>
      </c>
      <c r="K156" s="24">
        <v>726.1</v>
      </c>
      <c r="L156" s="24">
        <f>M156-K156</f>
        <v>-608.1</v>
      </c>
      <c r="M156" s="24">
        <f>726.1-608.1</f>
        <v>118</v>
      </c>
    </row>
    <row r="157" spans="1:13" s="111" customFormat="1" ht="72" customHeight="1" x14ac:dyDescent="0.35">
      <c r="A157" s="11"/>
      <c r="B157" s="498" t="s">
        <v>116</v>
      </c>
      <c r="C157" s="23" t="s">
        <v>1</v>
      </c>
      <c r="D157" s="10" t="s">
        <v>52</v>
      </c>
      <c r="E157" s="10" t="s">
        <v>100</v>
      </c>
      <c r="F157" s="661" t="s">
        <v>88</v>
      </c>
      <c r="G157" s="662" t="s">
        <v>42</v>
      </c>
      <c r="H157" s="662" t="s">
        <v>43</v>
      </c>
      <c r="I157" s="663" t="s">
        <v>44</v>
      </c>
      <c r="J157" s="10"/>
      <c r="K157" s="24">
        <f t="shared" ref="K157:M160" si="21">K158</f>
        <v>54785.5</v>
      </c>
      <c r="L157" s="24">
        <f t="shared" si="21"/>
        <v>450</v>
      </c>
      <c r="M157" s="24">
        <f t="shared" si="21"/>
        <v>55235.5</v>
      </c>
    </row>
    <row r="158" spans="1:13" s="111" customFormat="1" ht="36" customHeight="1" x14ac:dyDescent="0.35">
      <c r="A158" s="11"/>
      <c r="B158" s="498" t="s">
        <v>344</v>
      </c>
      <c r="C158" s="23" t="s">
        <v>1</v>
      </c>
      <c r="D158" s="10" t="s">
        <v>52</v>
      </c>
      <c r="E158" s="10" t="s">
        <v>100</v>
      </c>
      <c r="F158" s="661" t="s">
        <v>88</v>
      </c>
      <c r="G158" s="662" t="s">
        <v>45</v>
      </c>
      <c r="H158" s="662" t="s">
        <v>43</v>
      </c>
      <c r="I158" s="663" t="s">
        <v>44</v>
      </c>
      <c r="J158" s="10"/>
      <c r="K158" s="24">
        <f t="shared" si="21"/>
        <v>54785.5</v>
      </c>
      <c r="L158" s="24">
        <f t="shared" si="21"/>
        <v>450</v>
      </c>
      <c r="M158" s="24">
        <f t="shared" si="21"/>
        <v>55235.5</v>
      </c>
    </row>
    <row r="159" spans="1:13" s="7" customFormat="1" ht="72" customHeight="1" x14ac:dyDescent="0.35">
      <c r="A159" s="11"/>
      <c r="B159" s="537" t="s">
        <v>312</v>
      </c>
      <c r="C159" s="23" t="s">
        <v>1</v>
      </c>
      <c r="D159" s="10" t="s">
        <v>52</v>
      </c>
      <c r="E159" s="10" t="s">
        <v>100</v>
      </c>
      <c r="F159" s="661" t="s">
        <v>88</v>
      </c>
      <c r="G159" s="662" t="s">
        <v>45</v>
      </c>
      <c r="H159" s="662" t="s">
        <v>37</v>
      </c>
      <c r="I159" s="663" t="s">
        <v>44</v>
      </c>
      <c r="J159" s="10"/>
      <c r="K159" s="24">
        <f>K160+K162+K164</f>
        <v>54785.5</v>
      </c>
      <c r="L159" s="24">
        <f>L160+L162+L164</f>
        <v>450</v>
      </c>
      <c r="M159" s="24">
        <f>M160+M162+M164</f>
        <v>55235.5</v>
      </c>
    </row>
    <row r="160" spans="1:13" s="111" customFormat="1" ht="54" customHeight="1" x14ac:dyDescent="0.35">
      <c r="A160" s="11"/>
      <c r="B160" s="537" t="s">
        <v>117</v>
      </c>
      <c r="C160" s="23" t="s">
        <v>1</v>
      </c>
      <c r="D160" s="10" t="s">
        <v>52</v>
      </c>
      <c r="E160" s="10" t="s">
        <v>100</v>
      </c>
      <c r="F160" s="661" t="s">
        <v>88</v>
      </c>
      <c r="G160" s="662" t="s">
        <v>45</v>
      </c>
      <c r="H160" s="662" t="s">
        <v>37</v>
      </c>
      <c r="I160" s="663" t="s">
        <v>118</v>
      </c>
      <c r="J160" s="10"/>
      <c r="K160" s="24">
        <f t="shared" si="21"/>
        <v>2274.4</v>
      </c>
      <c r="L160" s="24">
        <f t="shared" si="21"/>
        <v>450</v>
      </c>
      <c r="M160" s="24">
        <f t="shared" si="21"/>
        <v>2724.4</v>
      </c>
    </row>
    <row r="161" spans="1:13" s="7" customFormat="1" ht="54" customHeight="1" x14ac:dyDescent="0.35">
      <c r="A161" s="11"/>
      <c r="B161" s="498" t="s">
        <v>55</v>
      </c>
      <c r="C161" s="23" t="s">
        <v>1</v>
      </c>
      <c r="D161" s="10" t="s">
        <v>52</v>
      </c>
      <c r="E161" s="10" t="s">
        <v>100</v>
      </c>
      <c r="F161" s="661" t="s">
        <v>88</v>
      </c>
      <c r="G161" s="662" t="s">
        <v>45</v>
      </c>
      <c r="H161" s="662" t="s">
        <v>37</v>
      </c>
      <c r="I161" s="663" t="s">
        <v>118</v>
      </c>
      <c r="J161" s="10" t="s">
        <v>56</v>
      </c>
      <c r="K161" s="24">
        <f>50+338.2+313+1573.2</f>
        <v>2274.4</v>
      </c>
      <c r="L161" s="24">
        <f>M161-K161</f>
        <v>450</v>
      </c>
      <c r="M161" s="24">
        <f>50+338.2+313+1573.2+450</f>
        <v>2724.4</v>
      </c>
    </row>
    <row r="162" spans="1:13" s="7" customFormat="1" ht="99" customHeight="1" x14ac:dyDescent="0.35">
      <c r="A162" s="11"/>
      <c r="B162" s="498" t="s">
        <v>534</v>
      </c>
      <c r="C162" s="23" t="s">
        <v>1</v>
      </c>
      <c r="D162" s="10" t="s">
        <v>52</v>
      </c>
      <c r="E162" s="10" t="s">
        <v>100</v>
      </c>
      <c r="F162" s="661" t="s">
        <v>88</v>
      </c>
      <c r="G162" s="662" t="s">
        <v>45</v>
      </c>
      <c r="H162" s="662" t="s">
        <v>37</v>
      </c>
      <c r="I162" s="663" t="s">
        <v>532</v>
      </c>
      <c r="J162" s="10"/>
      <c r="K162" s="24">
        <f>K163</f>
        <v>15802.7</v>
      </c>
      <c r="L162" s="24">
        <f>L163</f>
        <v>0</v>
      </c>
      <c r="M162" s="24">
        <f>M163</f>
        <v>15802.7</v>
      </c>
    </row>
    <row r="163" spans="1:13" s="7" customFormat="1" ht="54" customHeight="1" x14ac:dyDescent="0.35">
      <c r="A163" s="11"/>
      <c r="B163" s="498" t="s">
        <v>55</v>
      </c>
      <c r="C163" s="23" t="s">
        <v>1</v>
      </c>
      <c r="D163" s="10" t="s">
        <v>52</v>
      </c>
      <c r="E163" s="10" t="s">
        <v>100</v>
      </c>
      <c r="F163" s="661" t="s">
        <v>88</v>
      </c>
      <c r="G163" s="662" t="s">
        <v>45</v>
      </c>
      <c r="H163" s="662" t="s">
        <v>37</v>
      </c>
      <c r="I163" s="663" t="s">
        <v>532</v>
      </c>
      <c r="J163" s="10" t="s">
        <v>56</v>
      </c>
      <c r="K163" s="24">
        <v>15802.7</v>
      </c>
      <c r="L163" s="24">
        <f>M163-K163</f>
        <v>0</v>
      </c>
      <c r="M163" s="24">
        <v>15802.7</v>
      </c>
    </row>
    <row r="164" spans="1:13" s="7" customFormat="1" ht="72" customHeight="1" x14ac:dyDescent="0.35">
      <c r="A164" s="11"/>
      <c r="B164" s="498" t="s">
        <v>591</v>
      </c>
      <c r="C164" s="23" t="s">
        <v>1</v>
      </c>
      <c r="D164" s="10" t="s">
        <v>52</v>
      </c>
      <c r="E164" s="10" t="s">
        <v>100</v>
      </c>
      <c r="F164" s="661" t="s">
        <v>88</v>
      </c>
      <c r="G164" s="662" t="s">
        <v>45</v>
      </c>
      <c r="H164" s="662" t="s">
        <v>37</v>
      </c>
      <c r="I164" s="663" t="s">
        <v>588</v>
      </c>
      <c r="J164" s="10"/>
      <c r="K164" s="24">
        <f>K165</f>
        <v>36708.400000000001</v>
      </c>
      <c r="L164" s="24">
        <f>L165</f>
        <v>0</v>
      </c>
      <c r="M164" s="24">
        <f>M165</f>
        <v>36708.400000000001</v>
      </c>
    </row>
    <row r="165" spans="1:13" s="7" customFormat="1" ht="54" customHeight="1" x14ac:dyDescent="0.35">
      <c r="A165" s="11"/>
      <c r="B165" s="498" t="s">
        <v>55</v>
      </c>
      <c r="C165" s="23" t="s">
        <v>1</v>
      </c>
      <c r="D165" s="10" t="s">
        <v>52</v>
      </c>
      <c r="E165" s="10" t="s">
        <v>100</v>
      </c>
      <c r="F165" s="661" t="s">
        <v>88</v>
      </c>
      <c r="G165" s="662" t="s">
        <v>45</v>
      </c>
      <c r="H165" s="662" t="s">
        <v>37</v>
      </c>
      <c r="I165" s="663" t="s">
        <v>588</v>
      </c>
      <c r="J165" s="10" t="s">
        <v>56</v>
      </c>
      <c r="K165" s="24">
        <v>36708.400000000001</v>
      </c>
      <c r="L165" s="24">
        <f>M165-K165</f>
        <v>0</v>
      </c>
      <c r="M165" s="24">
        <v>36708.400000000001</v>
      </c>
    </row>
    <row r="166" spans="1:13" s="7" customFormat="1" ht="54" customHeight="1" x14ac:dyDescent="0.35">
      <c r="A166" s="11"/>
      <c r="B166" s="498" t="s">
        <v>40</v>
      </c>
      <c r="C166" s="23" t="s">
        <v>1</v>
      </c>
      <c r="D166" s="10" t="s">
        <v>52</v>
      </c>
      <c r="E166" s="10" t="s">
        <v>100</v>
      </c>
      <c r="F166" s="661" t="s">
        <v>41</v>
      </c>
      <c r="G166" s="662" t="s">
        <v>42</v>
      </c>
      <c r="H166" s="662" t="s">
        <v>43</v>
      </c>
      <c r="I166" s="663" t="s">
        <v>44</v>
      </c>
      <c r="J166" s="10"/>
      <c r="K166" s="24">
        <f t="shared" ref="K166:M166" si="22">K167</f>
        <v>13162.900000000001</v>
      </c>
      <c r="L166" s="24">
        <f t="shared" si="22"/>
        <v>-471.7</v>
      </c>
      <c r="M166" s="24">
        <f t="shared" si="22"/>
        <v>12691.2</v>
      </c>
    </row>
    <row r="167" spans="1:13" s="7" customFormat="1" ht="36" customHeight="1" x14ac:dyDescent="0.35">
      <c r="A167" s="11"/>
      <c r="B167" s="498" t="s">
        <v>344</v>
      </c>
      <c r="C167" s="23" t="s">
        <v>1</v>
      </c>
      <c r="D167" s="10" t="s">
        <v>52</v>
      </c>
      <c r="E167" s="10" t="s">
        <v>100</v>
      </c>
      <c r="F167" s="661" t="s">
        <v>41</v>
      </c>
      <c r="G167" s="662" t="s">
        <v>45</v>
      </c>
      <c r="H167" s="662" t="s">
        <v>43</v>
      </c>
      <c r="I167" s="663" t="s">
        <v>44</v>
      </c>
      <c r="J167" s="10"/>
      <c r="K167" s="24">
        <f>K168+K175</f>
        <v>13162.900000000001</v>
      </c>
      <c r="L167" s="24">
        <f>L168+L175</f>
        <v>-471.7</v>
      </c>
      <c r="M167" s="24">
        <f>M168+M175</f>
        <v>12691.2</v>
      </c>
    </row>
    <row r="168" spans="1:13" s="7" customFormat="1" ht="54" customHeight="1" x14ac:dyDescent="0.35">
      <c r="A168" s="11"/>
      <c r="B168" s="498" t="s">
        <v>336</v>
      </c>
      <c r="C168" s="23" t="s">
        <v>1</v>
      </c>
      <c r="D168" s="10" t="s">
        <v>52</v>
      </c>
      <c r="E168" s="10" t="s">
        <v>100</v>
      </c>
      <c r="F168" s="661" t="s">
        <v>41</v>
      </c>
      <c r="G168" s="662" t="s">
        <v>45</v>
      </c>
      <c r="H168" s="662" t="s">
        <v>88</v>
      </c>
      <c r="I168" s="663" t="s">
        <v>44</v>
      </c>
      <c r="J168" s="10"/>
      <c r="K168" s="24">
        <f>K171+K169+K173</f>
        <v>12114.7</v>
      </c>
      <c r="L168" s="24">
        <f>L171+L169+L173</f>
        <v>-471.7</v>
      </c>
      <c r="M168" s="24">
        <f>M171+M169+M173</f>
        <v>11643</v>
      </c>
    </row>
    <row r="169" spans="1:13" s="7" customFormat="1" ht="54" customHeight="1" x14ac:dyDescent="0.35">
      <c r="A169" s="11"/>
      <c r="B169" s="498" t="s">
        <v>567</v>
      </c>
      <c r="C169" s="23" t="s">
        <v>1</v>
      </c>
      <c r="D169" s="10" t="s">
        <v>52</v>
      </c>
      <c r="E169" s="10" t="s">
        <v>100</v>
      </c>
      <c r="F169" s="661" t="s">
        <v>41</v>
      </c>
      <c r="G169" s="662" t="s">
        <v>45</v>
      </c>
      <c r="H169" s="662" t="s">
        <v>88</v>
      </c>
      <c r="I169" s="663" t="s">
        <v>568</v>
      </c>
      <c r="J169" s="10"/>
      <c r="K169" s="24">
        <f>K170</f>
        <v>471.7</v>
      </c>
      <c r="L169" s="24">
        <f>L170</f>
        <v>-471.7</v>
      </c>
      <c r="M169" s="24">
        <f>M170</f>
        <v>0</v>
      </c>
    </row>
    <row r="170" spans="1:13" s="7" customFormat="1" ht="54" customHeight="1" x14ac:dyDescent="0.35">
      <c r="A170" s="11"/>
      <c r="B170" s="498" t="s">
        <v>55</v>
      </c>
      <c r="C170" s="23" t="s">
        <v>1</v>
      </c>
      <c r="D170" s="10" t="s">
        <v>52</v>
      </c>
      <c r="E170" s="10" t="s">
        <v>100</v>
      </c>
      <c r="F170" s="661" t="s">
        <v>41</v>
      </c>
      <c r="G170" s="662" t="s">
        <v>45</v>
      </c>
      <c r="H170" s="662" t="s">
        <v>88</v>
      </c>
      <c r="I170" s="663" t="s">
        <v>568</v>
      </c>
      <c r="J170" s="10" t="s">
        <v>56</v>
      </c>
      <c r="K170" s="24">
        <v>471.7</v>
      </c>
      <c r="L170" s="24">
        <f>M170-K170</f>
        <v>-471.7</v>
      </c>
      <c r="M170" s="24">
        <f>471.7-471.7</f>
        <v>0</v>
      </c>
    </row>
    <row r="171" spans="1:13" s="7" customFormat="1" ht="54" customHeight="1" x14ac:dyDescent="0.35">
      <c r="A171" s="11"/>
      <c r="B171" s="498" t="s">
        <v>545</v>
      </c>
      <c r="C171" s="23" t="s">
        <v>1</v>
      </c>
      <c r="D171" s="10" t="s">
        <v>52</v>
      </c>
      <c r="E171" s="10" t="s">
        <v>100</v>
      </c>
      <c r="F171" s="661" t="s">
        <v>41</v>
      </c>
      <c r="G171" s="662" t="s">
        <v>45</v>
      </c>
      <c r="H171" s="662" t="s">
        <v>88</v>
      </c>
      <c r="I171" s="663" t="s">
        <v>544</v>
      </c>
      <c r="J171" s="10"/>
      <c r="K171" s="24">
        <f>K172</f>
        <v>1743</v>
      </c>
      <c r="L171" s="24">
        <f>L172</f>
        <v>0</v>
      </c>
      <c r="M171" s="24">
        <f>M172</f>
        <v>1743</v>
      </c>
    </row>
    <row r="172" spans="1:13" s="7" customFormat="1" ht="54" customHeight="1" x14ac:dyDescent="0.35">
      <c r="A172" s="11"/>
      <c r="B172" s="498" t="s">
        <v>55</v>
      </c>
      <c r="C172" s="23" t="s">
        <v>1</v>
      </c>
      <c r="D172" s="10" t="s">
        <v>52</v>
      </c>
      <c r="E172" s="10" t="s">
        <v>100</v>
      </c>
      <c r="F172" s="661" t="s">
        <v>41</v>
      </c>
      <c r="G172" s="662" t="s">
        <v>45</v>
      </c>
      <c r="H172" s="662" t="s">
        <v>88</v>
      </c>
      <c r="I172" s="663" t="s">
        <v>544</v>
      </c>
      <c r="J172" s="10" t="s">
        <v>56</v>
      </c>
      <c r="K172" s="24">
        <f>1690.7+52.3</f>
        <v>1743</v>
      </c>
      <c r="L172" s="24">
        <f>M172-K172</f>
        <v>0</v>
      </c>
      <c r="M172" s="24">
        <f>1690.7+52.3</f>
        <v>1743</v>
      </c>
    </row>
    <row r="173" spans="1:13" s="7" customFormat="1" ht="54" customHeight="1" x14ac:dyDescent="0.35">
      <c r="A173" s="11"/>
      <c r="B173" s="498" t="s">
        <v>726</v>
      </c>
      <c r="C173" s="23" t="s">
        <v>1</v>
      </c>
      <c r="D173" s="10" t="s">
        <v>52</v>
      </c>
      <c r="E173" s="10" t="s">
        <v>100</v>
      </c>
      <c r="F173" s="661" t="s">
        <v>41</v>
      </c>
      <c r="G173" s="662" t="s">
        <v>45</v>
      </c>
      <c r="H173" s="662" t="s">
        <v>88</v>
      </c>
      <c r="I173" s="663" t="s">
        <v>725</v>
      </c>
      <c r="J173" s="10"/>
      <c r="K173" s="24">
        <f>K174</f>
        <v>9900</v>
      </c>
      <c r="L173" s="24">
        <f>L174</f>
        <v>0</v>
      </c>
      <c r="M173" s="24">
        <f>M174</f>
        <v>9900</v>
      </c>
    </row>
    <row r="174" spans="1:13" s="7" customFormat="1" ht="54" customHeight="1" x14ac:dyDescent="0.35">
      <c r="A174" s="11"/>
      <c r="B174" s="498" t="s">
        <v>55</v>
      </c>
      <c r="C174" s="23" t="s">
        <v>1</v>
      </c>
      <c r="D174" s="10" t="s">
        <v>52</v>
      </c>
      <c r="E174" s="10" t="s">
        <v>100</v>
      </c>
      <c r="F174" s="661" t="s">
        <v>41</v>
      </c>
      <c r="G174" s="662" t="s">
        <v>45</v>
      </c>
      <c r="H174" s="662" t="s">
        <v>88</v>
      </c>
      <c r="I174" s="663" t="s">
        <v>725</v>
      </c>
      <c r="J174" s="10" t="s">
        <v>56</v>
      </c>
      <c r="K174" s="24">
        <f>9603+297</f>
        <v>9900</v>
      </c>
      <c r="L174" s="24">
        <f>M174-K174</f>
        <v>0</v>
      </c>
      <c r="M174" s="24">
        <f>9603+297</f>
        <v>9900</v>
      </c>
    </row>
    <row r="175" spans="1:13" s="7" customFormat="1" ht="36" customHeight="1" x14ac:dyDescent="0.35">
      <c r="A175" s="11"/>
      <c r="B175" s="566" t="s">
        <v>378</v>
      </c>
      <c r="C175" s="23" t="s">
        <v>1</v>
      </c>
      <c r="D175" s="10" t="s">
        <v>52</v>
      </c>
      <c r="E175" s="10" t="s">
        <v>100</v>
      </c>
      <c r="F175" s="661" t="s">
        <v>41</v>
      </c>
      <c r="G175" s="662" t="s">
        <v>45</v>
      </c>
      <c r="H175" s="662" t="s">
        <v>674</v>
      </c>
      <c r="I175" s="663" t="s">
        <v>44</v>
      </c>
      <c r="J175" s="10"/>
      <c r="K175" s="24">
        <f t="shared" ref="K175:M176" si="23">K176</f>
        <v>1048.2</v>
      </c>
      <c r="L175" s="24">
        <f t="shared" si="23"/>
        <v>0</v>
      </c>
      <c r="M175" s="24">
        <f t="shared" si="23"/>
        <v>1048.2</v>
      </c>
    </row>
    <row r="176" spans="1:13" s="7" customFormat="1" ht="36" customHeight="1" x14ac:dyDescent="0.35">
      <c r="A176" s="11"/>
      <c r="B176" s="566" t="s">
        <v>376</v>
      </c>
      <c r="C176" s="23" t="s">
        <v>1</v>
      </c>
      <c r="D176" s="10" t="s">
        <v>52</v>
      </c>
      <c r="E176" s="10" t="s">
        <v>100</v>
      </c>
      <c r="F176" s="661" t="s">
        <v>41</v>
      </c>
      <c r="G176" s="662" t="s">
        <v>45</v>
      </c>
      <c r="H176" s="662" t="s">
        <v>674</v>
      </c>
      <c r="I176" s="663" t="s">
        <v>375</v>
      </c>
      <c r="J176" s="10"/>
      <c r="K176" s="24">
        <f t="shared" si="23"/>
        <v>1048.2</v>
      </c>
      <c r="L176" s="24">
        <f t="shared" si="23"/>
        <v>0</v>
      </c>
      <c r="M176" s="24">
        <f t="shared" si="23"/>
        <v>1048.2</v>
      </c>
    </row>
    <row r="177" spans="1:13" s="7" customFormat="1" ht="54" customHeight="1" x14ac:dyDescent="0.35">
      <c r="A177" s="11"/>
      <c r="B177" s="566" t="s">
        <v>55</v>
      </c>
      <c r="C177" s="23" t="s">
        <v>1</v>
      </c>
      <c r="D177" s="10" t="s">
        <v>52</v>
      </c>
      <c r="E177" s="10" t="s">
        <v>100</v>
      </c>
      <c r="F177" s="661" t="s">
        <v>41</v>
      </c>
      <c r="G177" s="662" t="s">
        <v>45</v>
      </c>
      <c r="H177" s="662" t="s">
        <v>674</v>
      </c>
      <c r="I177" s="663" t="s">
        <v>375</v>
      </c>
      <c r="J177" s="10" t="s">
        <v>56</v>
      </c>
      <c r="K177" s="24">
        <f>1117-68.8</f>
        <v>1048.2</v>
      </c>
      <c r="L177" s="24">
        <f>M177-K177</f>
        <v>0</v>
      </c>
      <c r="M177" s="24">
        <f>1117-68.8</f>
        <v>1048.2</v>
      </c>
    </row>
    <row r="178" spans="1:13" s="7" customFormat="1" ht="18" customHeight="1" x14ac:dyDescent="0.35">
      <c r="A178" s="11"/>
      <c r="B178" s="498" t="s">
        <v>177</v>
      </c>
      <c r="C178" s="23" t="s">
        <v>1</v>
      </c>
      <c r="D178" s="10" t="s">
        <v>65</v>
      </c>
      <c r="E178" s="10"/>
      <c r="F178" s="661"/>
      <c r="G178" s="662"/>
      <c r="H178" s="662"/>
      <c r="I178" s="663"/>
      <c r="J178" s="10"/>
      <c r="K178" s="241">
        <f>K179+K189</f>
        <v>67776.3</v>
      </c>
      <c r="L178" s="241">
        <f>L179+L189</f>
        <v>-6.8000000000001819</v>
      </c>
      <c r="M178" s="241">
        <f>M179+M189</f>
        <v>67769.5</v>
      </c>
    </row>
    <row r="179" spans="1:13" s="7" customFormat="1" ht="18" customHeight="1" x14ac:dyDescent="0.35">
      <c r="A179" s="11"/>
      <c r="B179" s="498" t="s">
        <v>479</v>
      </c>
      <c r="C179" s="23" t="s">
        <v>1</v>
      </c>
      <c r="D179" s="10" t="s">
        <v>65</v>
      </c>
      <c r="E179" s="10" t="s">
        <v>37</v>
      </c>
      <c r="F179" s="661"/>
      <c r="G179" s="662"/>
      <c r="H179" s="662"/>
      <c r="I179" s="663"/>
      <c r="J179" s="10"/>
      <c r="K179" s="241">
        <f>K180</f>
        <v>60690.600000000006</v>
      </c>
      <c r="L179" s="241">
        <f>L180</f>
        <v>0</v>
      </c>
      <c r="M179" s="241">
        <f>M180</f>
        <v>60690.600000000006</v>
      </c>
    </row>
    <row r="180" spans="1:13" s="7" customFormat="1" ht="72" customHeight="1" x14ac:dyDescent="0.35">
      <c r="A180" s="11"/>
      <c r="B180" s="539" t="s">
        <v>337</v>
      </c>
      <c r="C180" s="23" t="s">
        <v>1</v>
      </c>
      <c r="D180" s="10" t="s">
        <v>65</v>
      </c>
      <c r="E180" s="10" t="s">
        <v>37</v>
      </c>
      <c r="F180" s="661" t="s">
        <v>104</v>
      </c>
      <c r="G180" s="662" t="s">
        <v>42</v>
      </c>
      <c r="H180" s="662" t="s">
        <v>43</v>
      </c>
      <c r="I180" s="663" t="s">
        <v>44</v>
      </c>
      <c r="J180" s="10"/>
      <c r="K180" s="24">
        <f>K182</f>
        <v>60690.600000000006</v>
      </c>
      <c r="L180" s="24">
        <f>L182</f>
        <v>0</v>
      </c>
      <c r="M180" s="24">
        <f>M182</f>
        <v>60690.600000000006</v>
      </c>
    </row>
    <row r="181" spans="1:13" s="7" customFormat="1" ht="36" customHeight="1" x14ac:dyDescent="0.35">
      <c r="A181" s="11"/>
      <c r="B181" s="529" t="s">
        <v>483</v>
      </c>
      <c r="C181" s="23" t="s">
        <v>1</v>
      </c>
      <c r="D181" s="10" t="s">
        <v>65</v>
      </c>
      <c r="E181" s="10" t="s">
        <v>37</v>
      </c>
      <c r="F181" s="661" t="s">
        <v>104</v>
      </c>
      <c r="G181" s="662" t="s">
        <v>484</v>
      </c>
      <c r="H181" s="662" t="s">
        <v>43</v>
      </c>
      <c r="I181" s="663" t="s">
        <v>44</v>
      </c>
      <c r="J181" s="10"/>
      <c r="K181" s="24">
        <f>K182</f>
        <v>60690.600000000006</v>
      </c>
      <c r="L181" s="24">
        <f>L182</f>
        <v>0</v>
      </c>
      <c r="M181" s="24">
        <f>M182</f>
        <v>60690.600000000006</v>
      </c>
    </row>
    <row r="182" spans="1:13" s="7" customFormat="1" ht="54" customHeight="1" x14ac:dyDescent="0.35">
      <c r="A182" s="11"/>
      <c r="B182" s="498" t="s">
        <v>477</v>
      </c>
      <c r="C182" s="23" t="s">
        <v>1</v>
      </c>
      <c r="D182" s="10" t="s">
        <v>65</v>
      </c>
      <c r="E182" s="10" t="s">
        <v>37</v>
      </c>
      <c r="F182" s="661" t="s">
        <v>104</v>
      </c>
      <c r="G182" s="662" t="s">
        <v>484</v>
      </c>
      <c r="H182" s="662" t="s">
        <v>476</v>
      </c>
      <c r="I182" s="663" t="s">
        <v>44</v>
      </c>
      <c r="J182" s="10"/>
      <c r="K182" s="24">
        <f>K187+K183+K185</f>
        <v>60690.600000000006</v>
      </c>
      <c r="L182" s="24">
        <f>L187+L183+L185</f>
        <v>0</v>
      </c>
      <c r="M182" s="24">
        <f>M187+M183+M185</f>
        <v>60690.600000000006</v>
      </c>
    </row>
    <row r="183" spans="1:13" s="7" customFormat="1" ht="108" customHeight="1" x14ac:dyDescent="0.35">
      <c r="A183" s="11"/>
      <c r="B183" s="566" t="s">
        <v>478</v>
      </c>
      <c r="C183" s="23" t="s">
        <v>1</v>
      </c>
      <c r="D183" s="10" t="s">
        <v>65</v>
      </c>
      <c r="E183" s="10" t="s">
        <v>37</v>
      </c>
      <c r="F183" s="661" t="s">
        <v>104</v>
      </c>
      <c r="G183" s="662" t="s">
        <v>484</v>
      </c>
      <c r="H183" s="662" t="s">
        <v>476</v>
      </c>
      <c r="I183" s="663" t="s">
        <v>627</v>
      </c>
      <c r="J183" s="10"/>
      <c r="K183" s="24">
        <f>K184</f>
        <v>20989.9</v>
      </c>
      <c r="L183" s="24">
        <f>L184</f>
        <v>0</v>
      </c>
      <c r="M183" s="24">
        <f>M184</f>
        <v>20989.9</v>
      </c>
    </row>
    <row r="184" spans="1:13" s="7" customFormat="1" ht="54" customHeight="1" x14ac:dyDescent="0.35">
      <c r="A184" s="11"/>
      <c r="B184" s="566" t="s">
        <v>203</v>
      </c>
      <c r="C184" s="23" t="s">
        <v>1</v>
      </c>
      <c r="D184" s="10" t="s">
        <v>65</v>
      </c>
      <c r="E184" s="10" t="s">
        <v>37</v>
      </c>
      <c r="F184" s="661" t="s">
        <v>104</v>
      </c>
      <c r="G184" s="662" t="s">
        <v>484</v>
      </c>
      <c r="H184" s="662" t="s">
        <v>476</v>
      </c>
      <c r="I184" s="663" t="s">
        <v>627</v>
      </c>
      <c r="J184" s="10" t="s">
        <v>204</v>
      </c>
      <c r="K184" s="24">
        <f>13125.3+7864.6</f>
        <v>20989.9</v>
      </c>
      <c r="L184" s="24">
        <f>M184-K184</f>
        <v>0</v>
      </c>
      <c r="M184" s="24">
        <f>13125.3+7864.6</f>
        <v>20989.9</v>
      </c>
    </row>
    <row r="185" spans="1:13" s="7" customFormat="1" ht="108" customHeight="1" x14ac:dyDescent="0.35">
      <c r="A185" s="11"/>
      <c r="B185" s="566" t="s">
        <v>478</v>
      </c>
      <c r="C185" s="23" t="s">
        <v>1</v>
      </c>
      <c r="D185" s="10" t="s">
        <v>65</v>
      </c>
      <c r="E185" s="10" t="s">
        <v>37</v>
      </c>
      <c r="F185" s="661" t="s">
        <v>104</v>
      </c>
      <c r="G185" s="662" t="s">
        <v>484</v>
      </c>
      <c r="H185" s="662" t="s">
        <v>476</v>
      </c>
      <c r="I185" s="663" t="s">
        <v>626</v>
      </c>
      <c r="J185" s="10"/>
      <c r="K185" s="24">
        <f>K186</f>
        <v>36665.9</v>
      </c>
      <c r="L185" s="24">
        <f>L186</f>
        <v>0</v>
      </c>
      <c r="M185" s="24">
        <f>M186</f>
        <v>36665.9</v>
      </c>
    </row>
    <row r="186" spans="1:13" s="7" customFormat="1" ht="54" customHeight="1" x14ac:dyDescent="0.35">
      <c r="A186" s="11"/>
      <c r="B186" s="567" t="s">
        <v>203</v>
      </c>
      <c r="C186" s="23" t="s">
        <v>1</v>
      </c>
      <c r="D186" s="10" t="s">
        <v>65</v>
      </c>
      <c r="E186" s="10" t="s">
        <v>37</v>
      </c>
      <c r="F186" s="661" t="s">
        <v>104</v>
      </c>
      <c r="G186" s="662" t="s">
        <v>484</v>
      </c>
      <c r="H186" s="662" t="s">
        <v>476</v>
      </c>
      <c r="I186" s="663" t="s">
        <v>626</v>
      </c>
      <c r="J186" s="10" t="s">
        <v>204</v>
      </c>
      <c r="K186" s="24">
        <f>18201+18464.9</f>
        <v>36665.9</v>
      </c>
      <c r="L186" s="24">
        <f>M186-K186</f>
        <v>0</v>
      </c>
      <c r="M186" s="24">
        <f>18201+18464.9</f>
        <v>36665.9</v>
      </c>
    </row>
    <row r="187" spans="1:13" s="7" customFormat="1" ht="108" customHeight="1" x14ac:dyDescent="0.35">
      <c r="A187" s="11"/>
      <c r="B187" s="498" t="s">
        <v>478</v>
      </c>
      <c r="C187" s="23" t="s">
        <v>1</v>
      </c>
      <c r="D187" s="10" t="s">
        <v>65</v>
      </c>
      <c r="E187" s="10" t="s">
        <v>37</v>
      </c>
      <c r="F187" s="661" t="s">
        <v>104</v>
      </c>
      <c r="G187" s="662" t="s">
        <v>484</v>
      </c>
      <c r="H187" s="662" t="s">
        <v>476</v>
      </c>
      <c r="I187" s="663" t="s">
        <v>522</v>
      </c>
      <c r="J187" s="10"/>
      <c r="K187" s="24">
        <f>K188</f>
        <v>3034.8</v>
      </c>
      <c r="L187" s="24">
        <f>L188</f>
        <v>0</v>
      </c>
      <c r="M187" s="24">
        <f>M188</f>
        <v>3034.8</v>
      </c>
    </row>
    <row r="188" spans="1:13" s="7" customFormat="1" ht="54" customHeight="1" x14ac:dyDescent="0.35">
      <c r="A188" s="11"/>
      <c r="B188" s="498" t="s">
        <v>203</v>
      </c>
      <c r="C188" s="23" t="s">
        <v>1</v>
      </c>
      <c r="D188" s="10" t="s">
        <v>65</v>
      </c>
      <c r="E188" s="10" t="s">
        <v>37</v>
      </c>
      <c r="F188" s="661" t="s">
        <v>104</v>
      </c>
      <c r="G188" s="662" t="s">
        <v>484</v>
      </c>
      <c r="H188" s="662" t="s">
        <v>476</v>
      </c>
      <c r="I188" s="663" t="s">
        <v>522</v>
      </c>
      <c r="J188" s="10" t="s">
        <v>204</v>
      </c>
      <c r="K188" s="24">
        <f>1649+1385.8</f>
        <v>3034.8</v>
      </c>
      <c r="L188" s="24">
        <f>M188-K188</f>
        <v>0</v>
      </c>
      <c r="M188" s="24">
        <f>1649+1385.8</f>
        <v>3034.8</v>
      </c>
    </row>
    <row r="189" spans="1:13" s="7" customFormat="1" ht="18" customHeight="1" x14ac:dyDescent="0.35">
      <c r="A189" s="11"/>
      <c r="B189" s="566" t="s">
        <v>637</v>
      </c>
      <c r="C189" s="23" t="s">
        <v>1</v>
      </c>
      <c r="D189" s="10" t="s">
        <v>65</v>
      </c>
      <c r="E189" s="10" t="s">
        <v>63</v>
      </c>
      <c r="F189" s="661"/>
      <c r="G189" s="662"/>
      <c r="H189" s="662"/>
      <c r="I189" s="663"/>
      <c r="J189" s="10"/>
      <c r="K189" s="24">
        <f t="shared" ref="K189:M193" si="24">K190</f>
        <v>7085.7000000000007</v>
      </c>
      <c r="L189" s="24">
        <f t="shared" si="24"/>
        <v>-6.8000000000001819</v>
      </c>
      <c r="M189" s="24">
        <f t="shared" si="24"/>
        <v>7078.9000000000005</v>
      </c>
    </row>
    <row r="190" spans="1:13" s="7" customFormat="1" ht="72" customHeight="1" x14ac:dyDescent="0.35">
      <c r="A190" s="11"/>
      <c r="B190" s="566" t="s">
        <v>638</v>
      </c>
      <c r="C190" s="23" t="s">
        <v>1</v>
      </c>
      <c r="D190" s="10" t="s">
        <v>65</v>
      </c>
      <c r="E190" s="10" t="s">
        <v>63</v>
      </c>
      <c r="F190" s="661" t="s">
        <v>104</v>
      </c>
      <c r="G190" s="662" t="s">
        <v>42</v>
      </c>
      <c r="H190" s="662" t="s">
        <v>43</v>
      </c>
      <c r="I190" s="663" t="s">
        <v>44</v>
      </c>
      <c r="J190" s="10"/>
      <c r="K190" s="24">
        <f t="shared" si="24"/>
        <v>7085.7000000000007</v>
      </c>
      <c r="L190" s="24">
        <f t="shared" si="24"/>
        <v>-6.8000000000001819</v>
      </c>
      <c r="M190" s="24">
        <f t="shared" si="24"/>
        <v>7078.9000000000005</v>
      </c>
    </row>
    <row r="191" spans="1:13" s="7" customFormat="1" ht="54" customHeight="1" x14ac:dyDescent="0.35">
      <c r="A191" s="11"/>
      <c r="B191" s="566" t="s">
        <v>633</v>
      </c>
      <c r="C191" s="23" t="s">
        <v>1</v>
      </c>
      <c r="D191" s="10" t="s">
        <v>65</v>
      </c>
      <c r="E191" s="10" t="s">
        <v>63</v>
      </c>
      <c r="F191" s="661" t="s">
        <v>104</v>
      </c>
      <c r="G191" s="662" t="s">
        <v>34</v>
      </c>
      <c r="H191" s="662" t="s">
        <v>43</v>
      </c>
      <c r="I191" s="663" t="s">
        <v>44</v>
      </c>
      <c r="J191" s="10"/>
      <c r="K191" s="24">
        <f t="shared" si="24"/>
        <v>7085.7000000000007</v>
      </c>
      <c r="L191" s="24">
        <f t="shared" si="24"/>
        <v>-6.8000000000001819</v>
      </c>
      <c r="M191" s="24">
        <f t="shared" si="24"/>
        <v>7078.9000000000005</v>
      </c>
    </row>
    <row r="192" spans="1:13" s="7" customFormat="1" ht="54" customHeight="1" x14ac:dyDescent="0.35">
      <c r="A192" s="11"/>
      <c r="B192" s="566" t="s">
        <v>634</v>
      </c>
      <c r="C192" s="23" t="s">
        <v>1</v>
      </c>
      <c r="D192" s="10" t="s">
        <v>65</v>
      </c>
      <c r="E192" s="10" t="s">
        <v>63</v>
      </c>
      <c r="F192" s="661" t="s">
        <v>104</v>
      </c>
      <c r="G192" s="662" t="s">
        <v>34</v>
      </c>
      <c r="H192" s="662" t="s">
        <v>37</v>
      </c>
      <c r="I192" s="663" t="s">
        <v>44</v>
      </c>
      <c r="J192" s="10"/>
      <c r="K192" s="24">
        <f t="shared" si="24"/>
        <v>7085.7000000000007</v>
      </c>
      <c r="L192" s="24">
        <f t="shared" si="24"/>
        <v>-6.8000000000001819</v>
      </c>
      <c r="M192" s="24">
        <f t="shared" si="24"/>
        <v>7078.9000000000005</v>
      </c>
    </row>
    <row r="193" spans="1:13" s="7" customFormat="1" ht="36" customHeight="1" x14ac:dyDescent="0.35">
      <c r="A193" s="11"/>
      <c r="B193" s="566" t="s">
        <v>635</v>
      </c>
      <c r="C193" s="23" t="s">
        <v>1</v>
      </c>
      <c r="D193" s="10" t="s">
        <v>65</v>
      </c>
      <c r="E193" s="10" t="s">
        <v>63</v>
      </c>
      <c r="F193" s="661" t="s">
        <v>104</v>
      </c>
      <c r="G193" s="662" t="s">
        <v>34</v>
      </c>
      <c r="H193" s="662" t="s">
        <v>37</v>
      </c>
      <c r="I193" s="663" t="s">
        <v>636</v>
      </c>
      <c r="J193" s="10"/>
      <c r="K193" s="24">
        <f t="shared" si="24"/>
        <v>7085.7000000000007</v>
      </c>
      <c r="L193" s="24">
        <f t="shared" si="24"/>
        <v>-6.8000000000001819</v>
      </c>
      <c r="M193" s="24">
        <f t="shared" si="24"/>
        <v>7078.9000000000005</v>
      </c>
    </row>
    <row r="194" spans="1:13" s="7" customFormat="1" ht="54" customHeight="1" x14ac:dyDescent="0.35">
      <c r="A194" s="11"/>
      <c r="B194" s="566" t="s">
        <v>55</v>
      </c>
      <c r="C194" s="23" t="s">
        <v>1</v>
      </c>
      <c r="D194" s="10" t="s">
        <v>65</v>
      </c>
      <c r="E194" s="10" t="s">
        <v>63</v>
      </c>
      <c r="F194" s="661" t="s">
        <v>104</v>
      </c>
      <c r="G194" s="662" t="s">
        <v>34</v>
      </c>
      <c r="H194" s="662" t="s">
        <v>37</v>
      </c>
      <c r="I194" s="663" t="s">
        <v>636</v>
      </c>
      <c r="J194" s="10" t="s">
        <v>56</v>
      </c>
      <c r="K194" s="24">
        <f>5758.6+1327.1</f>
        <v>7085.7000000000007</v>
      </c>
      <c r="L194" s="24">
        <f>M194-K194</f>
        <v>-6.8000000000001819</v>
      </c>
      <c r="M194" s="24">
        <f>5758.6+1327.1-6.8</f>
        <v>7078.9000000000005</v>
      </c>
    </row>
    <row r="195" spans="1:13" s="7" customFormat="1" ht="18" customHeight="1" x14ac:dyDescent="0.35">
      <c r="A195" s="11"/>
      <c r="B195" s="498" t="s">
        <v>179</v>
      </c>
      <c r="C195" s="23" t="s">
        <v>1</v>
      </c>
      <c r="D195" s="10" t="s">
        <v>224</v>
      </c>
      <c r="E195" s="10"/>
      <c r="F195" s="661"/>
      <c r="G195" s="662"/>
      <c r="H195" s="662"/>
      <c r="I195" s="663"/>
      <c r="J195" s="10"/>
      <c r="K195" s="24">
        <f>K196</f>
        <v>130.9</v>
      </c>
      <c r="L195" s="24">
        <f>L196</f>
        <v>0</v>
      </c>
      <c r="M195" s="24">
        <f>M196</f>
        <v>130.9</v>
      </c>
    </row>
    <row r="196" spans="1:13" s="7" customFormat="1" ht="36" customHeight="1" x14ac:dyDescent="0.35">
      <c r="A196" s="11"/>
      <c r="B196" s="498" t="s">
        <v>538</v>
      </c>
      <c r="C196" s="23" t="s">
        <v>1</v>
      </c>
      <c r="D196" s="10" t="s">
        <v>224</v>
      </c>
      <c r="E196" s="10" t="s">
        <v>65</v>
      </c>
      <c r="F196" s="661"/>
      <c r="G196" s="662"/>
      <c r="H196" s="662"/>
      <c r="I196" s="663"/>
      <c r="J196" s="10"/>
      <c r="K196" s="24">
        <f t="shared" ref="K196:M200" si="25">K197</f>
        <v>130.9</v>
      </c>
      <c r="L196" s="24">
        <f t="shared" si="25"/>
        <v>0</v>
      </c>
      <c r="M196" s="24">
        <f t="shared" si="25"/>
        <v>130.9</v>
      </c>
    </row>
    <row r="197" spans="1:13" s="7" customFormat="1" ht="54" customHeight="1" x14ac:dyDescent="0.35">
      <c r="A197" s="11"/>
      <c r="B197" s="498" t="s">
        <v>40</v>
      </c>
      <c r="C197" s="23" t="s">
        <v>1</v>
      </c>
      <c r="D197" s="10" t="s">
        <v>224</v>
      </c>
      <c r="E197" s="10" t="s">
        <v>65</v>
      </c>
      <c r="F197" s="661" t="s">
        <v>41</v>
      </c>
      <c r="G197" s="662" t="s">
        <v>42</v>
      </c>
      <c r="H197" s="662" t="s">
        <v>43</v>
      </c>
      <c r="I197" s="663" t="s">
        <v>44</v>
      </c>
      <c r="J197" s="10"/>
      <c r="K197" s="24">
        <f t="shared" si="25"/>
        <v>130.9</v>
      </c>
      <c r="L197" s="24">
        <f t="shared" si="25"/>
        <v>0</v>
      </c>
      <c r="M197" s="24">
        <f t="shared" si="25"/>
        <v>130.9</v>
      </c>
    </row>
    <row r="198" spans="1:13" s="7" customFormat="1" ht="36" customHeight="1" x14ac:dyDescent="0.35">
      <c r="A198" s="11"/>
      <c r="B198" s="498" t="s">
        <v>344</v>
      </c>
      <c r="C198" s="23" t="s">
        <v>1</v>
      </c>
      <c r="D198" s="10" t="s">
        <v>224</v>
      </c>
      <c r="E198" s="10" t="s">
        <v>65</v>
      </c>
      <c r="F198" s="661" t="s">
        <v>41</v>
      </c>
      <c r="G198" s="662" t="s">
        <v>45</v>
      </c>
      <c r="H198" s="662" t="s">
        <v>43</v>
      </c>
      <c r="I198" s="663" t="s">
        <v>44</v>
      </c>
      <c r="J198" s="10"/>
      <c r="K198" s="24">
        <f t="shared" si="25"/>
        <v>130.9</v>
      </c>
      <c r="L198" s="24">
        <f t="shared" si="25"/>
        <v>0</v>
      </c>
      <c r="M198" s="24">
        <f t="shared" si="25"/>
        <v>130.9</v>
      </c>
    </row>
    <row r="199" spans="1:13" s="7" customFormat="1" ht="18" customHeight="1" x14ac:dyDescent="0.35">
      <c r="A199" s="11"/>
      <c r="B199" s="498" t="s">
        <v>62</v>
      </c>
      <c r="C199" s="23" t="s">
        <v>1</v>
      </c>
      <c r="D199" s="10" t="s">
        <v>224</v>
      </c>
      <c r="E199" s="10" t="s">
        <v>65</v>
      </c>
      <c r="F199" s="661" t="s">
        <v>41</v>
      </c>
      <c r="G199" s="662" t="s">
        <v>45</v>
      </c>
      <c r="H199" s="662" t="s">
        <v>63</v>
      </c>
      <c r="I199" s="663" t="s">
        <v>44</v>
      </c>
      <c r="J199" s="10"/>
      <c r="K199" s="24">
        <f t="shared" si="25"/>
        <v>130.9</v>
      </c>
      <c r="L199" s="24">
        <f t="shared" si="25"/>
        <v>0</v>
      </c>
      <c r="M199" s="24">
        <f t="shared" si="25"/>
        <v>130.9</v>
      </c>
    </row>
    <row r="200" spans="1:13" s="7" customFormat="1" ht="36" customHeight="1" x14ac:dyDescent="0.35">
      <c r="A200" s="11"/>
      <c r="B200" s="498" t="s">
        <v>540</v>
      </c>
      <c r="C200" s="23" t="s">
        <v>1</v>
      </c>
      <c r="D200" s="10" t="s">
        <v>224</v>
      </c>
      <c r="E200" s="10" t="s">
        <v>65</v>
      </c>
      <c r="F200" s="661" t="s">
        <v>41</v>
      </c>
      <c r="G200" s="662" t="s">
        <v>45</v>
      </c>
      <c r="H200" s="662" t="s">
        <v>63</v>
      </c>
      <c r="I200" s="663" t="s">
        <v>539</v>
      </c>
      <c r="J200" s="10"/>
      <c r="K200" s="24">
        <f t="shared" si="25"/>
        <v>130.9</v>
      </c>
      <c r="L200" s="24">
        <f t="shared" si="25"/>
        <v>0</v>
      </c>
      <c r="M200" s="24">
        <f t="shared" si="25"/>
        <v>130.9</v>
      </c>
    </row>
    <row r="201" spans="1:13" s="7" customFormat="1" ht="54" customHeight="1" x14ac:dyDescent="0.35">
      <c r="A201" s="11"/>
      <c r="B201" s="498" t="s">
        <v>55</v>
      </c>
      <c r="C201" s="23" t="s">
        <v>1</v>
      </c>
      <c r="D201" s="10" t="s">
        <v>224</v>
      </c>
      <c r="E201" s="10" t="s">
        <v>65</v>
      </c>
      <c r="F201" s="661" t="s">
        <v>41</v>
      </c>
      <c r="G201" s="662" t="s">
        <v>45</v>
      </c>
      <c r="H201" s="662" t="s">
        <v>63</v>
      </c>
      <c r="I201" s="663" t="s">
        <v>539</v>
      </c>
      <c r="J201" s="10" t="s">
        <v>56</v>
      </c>
      <c r="K201" s="24">
        <f>91.9+39</f>
        <v>130.9</v>
      </c>
      <c r="L201" s="24">
        <f>M201-K201</f>
        <v>0</v>
      </c>
      <c r="M201" s="24">
        <f>91.9+39</f>
        <v>130.9</v>
      </c>
    </row>
    <row r="202" spans="1:13" s="111" customFormat="1" ht="18" customHeight="1" x14ac:dyDescent="0.35">
      <c r="A202" s="11"/>
      <c r="B202" s="498" t="s">
        <v>119</v>
      </c>
      <c r="C202" s="23" t="s">
        <v>1</v>
      </c>
      <c r="D202" s="10" t="s">
        <v>104</v>
      </c>
      <c r="E202" s="10"/>
      <c r="F202" s="661"/>
      <c r="G202" s="662"/>
      <c r="H202" s="662"/>
      <c r="I202" s="663"/>
      <c r="J202" s="10"/>
      <c r="K202" s="24">
        <f>K203+K209+K215</f>
        <v>5455.1</v>
      </c>
      <c r="L202" s="24">
        <f>L203+L209+L215</f>
        <v>-35</v>
      </c>
      <c r="M202" s="24">
        <f>M203+M209+M215</f>
        <v>5420.1</v>
      </c>
    </row>
    <row r="203" spans="1:13" s="111" customFormat="1" ht="18" customHeight="1" x14ac:dyDescent="0.35">
      <c r="A203" s="11"/>
      <c r="B203" s="498" t="s">
        <v>360</v>
      </c>
      <c r="C203" s="23" t="s">
        <v>1</v>
      </c>
      <c r="D203" s="10" t="s">
        <v>104</v>
      </c>
      <c r="E203" s="10" t="s">
        <v>37</v>
      </c>
      <c r="F203" s="661"/>
      <c r="G203" s="662"/>
      <c r="H203" s="662"/>
      <c r="I203" s="663"/>
      <c r="J203" s="10"/>
      <c r="K203" s="24">
        <f t="shared" ref="K203:M207" si="26">K204</f>
        <v>1539.6</v>
      </c>
      <c r="L203" s="24">
        <f>L204</f>
        <v>-35</v>
      </c>
      <c r="M203" s="24">
        <f t="shared" si="26"/>
        <v>1504.6</v>
      </c>
    </row>
    <row r="204" spans="1:13" s="111" customFormat="1" ht="54" customHeight="1" x14ac:dyDescent="0.35">
      <c r="A204" s="11"/>
      <c r="B204" s="540" t="s">
        <v>300</v>
      </c>
      <c r="C204" s="23" t="s">
        <v>1</v>
      </c>
      <c r="D204" s="10" t="s">
        <v>104</v>
      </c>
      <c r="E204" s="10" t="s">
        <v>37</v>
      </c>
      <c r="F204" s="661" t="s">
        <v>79</v>
      </c>
      <c r="G204" s="662" t="s">
        <v>42</v>
      </c>
      <c r="H204" s="662" t="s">
        <v>43</v>
      </c>
      <c r="I204" s="663" t="s">
        <v>44</v>
      </c>
      <c r="J204" s="10"/>
      <c r="K204" s="24">
        <f t="shared" si="26"/>
        <v>1539.6</v>
      </c>
      <c r="L204" s="24">
        <f t="shared" si="26"/>
        <v>-35</v>
      </c>
      <c r="M204" s="24">
        <f t="shared" si="26"/>
        <v>1504.6</v>
      </c>
    </row>
    <row r="205" spans="1:13" s="111" customFormat="1" ht="36" customHeight="1" x14ac:dyDescent="0.35">
      <c r="A205" s="11"/>
      <c r="B205" s="498" t="s">
        <v>344</v>
      </c>
      <c r="C205" s="23" t="s">
        <v>1</v>
      </c>
      <c r="D205" s="10" t="s">
        <v>104</v>
      </c>
      <c r="E205" s="10" t="s">
        <v>37</v>
      </c>
      <c r="F205" s="661" t="s">
        <v>79</v>
      </c>
      <c r="G205" s="662" t="s">
        <v>45</v>
      </c>
      <c r="H205" s="662" t="s">
        <v>43</v>
      </c>
      <c r="I205" s="663" t="s">
        <v>44</v>
      </c>
      <c r="J205" s="10"/>
      <c r="K205" s="24">
        <f t="shared" si="26"/>
        <v>1539.6</v>
      </c>
      <c r="L205" s="24">
        <f t="shared" si="26"/>
        <v>-35</v>
      </c>
      <c r="M205" s="24">
        <f t="shared" si="26"/>
        <v>1504.6</v>
      </c>
    </row>
    <row r="206" spans="1:13" s="111" customFormat="1" ht="90" customHeight="1" x14ac:dyDescent="0.35">
      <c r="A206" s="11"/>
      <c r="B206" s="531" t="s">
        <v>452</v>
      </c>
      <c r="C206" s="23" t="s">
        <v>1</v>
      </c>
      <c r="D206" s="10" t="s">
        <v>104</v>
      </c>
      <c r="E206" s="10" t="s">
        <v>37</v>
      </c>
      <c r="F206" s="661" t="s">
        <v>79</v>
      </c>
      <c r="G206" s="662" t="s">
        <v>45</v>
      </c>
      <c r="H206" s="662" t="s">
        <v>52</v>
      </c>
      <c r="I206" s="663" t="s">
        <v>44</v>
      </c>
      <c r="J206" s="10"/>
      <c r="K206" s="24">
        <f t="shared" si="26"/>
        <v>1539.6</v>
      </c>
      <c r="L206" s="24">
        <f t="shared" si="26"/>
        <v>-35</v>
      </c>
      <c r="M206" s="24">
        <f t="shared" si="26"/>
        <v>1504.6</v>
      </c>
    </row>
    <row r="207" spans="1:13" s="111" customFormat="1" ht="72" customHeight="1" x14ac:dyDescent="0.35">
      <c r="A207" s="11"/>
      <c r="B207" s="531" t="s">
        <v>447</v>
      </c>
      <c r="C207" s="23" t="s">
        <v>1</v>
      </c>
      <c r="D207" s="10" t="s">
        <v>104</v>
      </c>
      <c r="E207" s="10" t="s">
        <v>37</v>
      </c>
      <c r="F207" s="661" t="s">
        <v>79</v>
      </c>
      <c r="G207" s="662" t="s">
        <v>45</v>
      </c>
      <c r="H207" s="662" t="s">
        <v>52</v>
      </c>
      <c r="I207" s="663" t="s">
        <v>361</v>
      </c>
      <c r="J207" s="10"/>
      <c r="K207" s="24">
        <f t="shared" si="26"/>
        <v>1539.6</v>
      </c>
      <c r="L207" s="24">
        <f t="shared" si="26"/>
        <v>-35</v>
      </c>
      <c r="M207" s="24">
        <f t="shared" si="26"/>
        <v>1504.6</v>
      </c>
    </row>
    <row r="208" spans="1:13" s="111" customFormat="1" ht="36" customHeight="1" x14ac:dyDescent="0.35">
      <c r="A208" s="11"/>
      <c r="B208" s="505" t="s">
        <v>120</v>
      </c>
      <c r="C208" s="23" t="s">
        <v>1</v>
      </c>
      <c r="D208" s="10" t="s">
        <v>104</v>
      </c>
      <c r="E208" s="10" t="s">
        <v>37</v>
      </c>
      <c r="F208" s="661" t="s">
        <v>79</v>
      </c>
      <c r="G208" s="662" t="s">
        <v>45</v>
      </c>
      <c r="H208" s="662" t="s">
        <v>52</v>
      </c>
      <c r="I208" s="663" t="s">
        <v>361</v>
      </c>
      <c r="J208" s="10" t="s">
        <v>121</v>
      </c>
      <c r="K208" s="24">
        <f>1260+60+137.3+30+52.3</f>
        <v>1539.6</v>
      </c>
      <c r="L208" s="24">
        <f>M208-K208</f>
        <v>-35</v>
      </c>
      <c r="M208" s="24">
        <f>1260+60+137.3+30+52.3-22.1-12.9</f>
        <v>1504.6</v>
      </c>
    </row>
    <row r="209" spans="1:13" s="111" customFormat="1" ht="18" x14ac:dyDescent="0.35">
      <c r="A209" s="11"/>
      <c r="B209" s="498" t="s">
        <v>734</v>
      </c>
      <c r="C209" s="23" t="s">
        <v>1</v>
      </c>
      <c r="D209" s="10" t="s">
        <v>104</v>
      </c>
      <c r="E209" s="10" t="s">
        <v>63</v>
      </c>
      <c r="F209" s="661"/>
      <c r="G209" s="662"/>
      <c r="H209" s="662"/>
      <c r="I209" s="663"/>
      <c r="J209" s="10"/>
      <c r="K209" s="24">
        <f>K210</f>
        <v>1150</v>
      </c>
      <c r="L209" s="24">
        <f>L210</f>
        <v>0</v>
      </c>
      <c r="M209" s="24">
        <f>M210</f>
        <v>1150</v>
      </c>
    </row>
    <row r="210" spans="1:13" s="111" customFormat="1" ht="52.8" customHeight="1" x14ac:dyDescent="0.35">
      <c r="A210" s="11"/>
      <c r="B210" s="540" t="s">
        <v>300</v>
      </c>
      <c r="C210" s="23" t="s">
        <v>1</v>
      </c>
      <c r="D210" s="10" t="s">
        <v>104</v>
      </c>
      <c r="E210" s="10" t="s">
        <v>63</v>
      </c>
      <c r="F210" s="661" t="s">
        <v>79</v>
      </c>
      <c r="G210" s="662" t="s">
        <v>42</v>
      </c>
      <c r="H210" s="662" t="s">
        <v>43</v>
      </c>
      <c r="I210" s="663" t="s">
        <v>44</v>
      </c>
      <c r="J210" s="10"/>
      <c r="K210" s="24">
        <f t="shared" ref="K210:M213" si="27">K211</f>
        <v>1150</v>
      </c>
      <c r="L210" s="24">
        <f t="shared" si="27"/>
        <v>0</v>
      </c>
      <c r="M210" s="24">
        <f t="shared" si="27"/>
        <v>1150</v>
      </c>
    </row>
    <row r="211" spans="1:13" s="111" customFormat="1" ht="36" customHeight="1" x14ac:dyDescent="0.35">
      <c r="A211" s="11"/>
      <c r="B211" s="498" t="s">
        <v>344</v>
      </c>
      <c r="C211" s="23" t="s">
        <v>1</v>
      </c>
      <c r="D211" s="10" t="s">
        <v>104</v>
      </c>
      <c r="E211" s="10" t="s">
        <v>63</v>
      </c>
      <c r="F211" s="661" t="s">
        <v>79</v>
      </c>
      <c r="G211" s="662" t="s">
        <v>45</v>
      </c>
      <c r="H211" s="662" t="s">
        <v>43</v>
      </c>
      <c r="I211" s="663" t="s">
        <v>44</v>
      </c>
      <c r="J211" s="10"/>
      <c r="K211" s="24">
        <f t="shared" si="27"/>
        <v>1150</v>
      </c>
      <c r="L211" s="24">
        <f>L212</f>
        <v>0</v>
      </c>
      <c r="M211" s="24">
        <f>M212</f>
        <v>1150</v>
      </c>
    </row>
    <row r="212" spans="1:13" s="111" customFormat="1" ht="36" customHeight="1" x14ac:dyDescent="0.35">
      <c r="A212" s="11"/>
      <c r="B212" s="498" t="s">
        <v>728</v>
      </c>
      <c r="C212" s="23" t="s">
        <v>1</v>
      </c>
      <c r="D212" s="10" t="s">
        <v>104</v>
      </c>
      <c r="E212" s="10" t="s">
        <v>63</v>
      </c>
      <c r="F212" s="661" t="s">
        <v>79</v>
      </c>
      <c r="G212" s="662" t="s">
        <v>45</v>
      </c>
      <c r="H212" s="662" t="s">
        <v>65</v>
      </c>
      <c r="I212" s="663" t="s">
        <v>44</v>
      </c>
      <c r="J212" s="10"/>
      <c r="K212" s="24">
        <f t="shared" si="27"/>
        <v>1150</v>
      </c>
      <c r="L212" s="24">
        <f t="shared" si="27"/>
        <v>0</v>
      </c>
      <c r="M212" s="24">
        <f t="shared" si="27"/>
        <v>1150</v>
      </c>
    </row>
    <row r="213" spans="1:13" s="111" customFormat="1" ht="54" x14ac:dyDescent="0.35">
      <c r="A213" s="11"/>
      <c r="B213" s="498" t="s">
        <v>729</v>
      </c>
      <c r="C213" s="23" t="s">
        <v>1</v>
      </c>
      <c r="D213" s="10" t="s">
        <v>104</v>
      </c>
      <c r="E213" s="10" t="s">
        <v>63</v>
      </c>
      <c r="F213" s="661" t="s">
        <v>79</v>
      </c>
      <c r="G213" s="662" t="s">
        <v>45</v>
      </c>
      <c r="H213" s="662" t="s">
        <v>65</v>
      </c>
      <c r="I213" s="663" t="s">
        <v>727</v>
      </c>
      <c r="J213" s="10"/>
      <c r="K213" s="24">
        <f t="shared" si="27"/>
        <v>1150</v>
      </c>
      <c r="L213" s="24">
        <f t="shared" si="27"/>
        <v>0</v>
      </c>
      <c r="M213" s="24">
        <f t="shared" si="27"/>
        <v>1150</v>
      </c>
    </row>
    <row r="214" spans="1:13" s="111" customFormat="1" ht="36" customHeight="1" x14ac:dyDescent="0.35">
      <c r="A214" s="11"/>
      <c r="B214" s="497" t="s">
        <v>120</v>
      </c>
      <c r="C214" s="23" t="s">
        <v>1</v>
      </c>
      <c r="D214" s="10" t="s">
        <v>104</v>
      </c>
      <c r="E214" s="10" t="s">
        <v>63</v>
      </c>
      <c r="F214" s="661" t="s">
        <v>79</v>
      </c>
      <c r="G214" s="662" t="s">
        <v>45</v>
      </c>
      <c r="H214" s="662" t="s">
        <v>65</v>
      </c>
      <c r="I214" s="663" t="s">
        <v>727</v>
      </c>
      <c r="J214" s="10" t="s">
        <v>121</v>
      </c>
      <c r="K214" s="24">
        <v>1150</v>
      </c>
      <c r="L214" s="24">
        <f>M214-K214</f>
        <v>0</v>
      </c>
      <c r="M214" s="24">
        <v>1150</v>
      </c>
    </row>
    <row r="215" spans="1:13" s="111" customFormat="1" ht="36" customHeight="1" x14ac:dyDescent="0.35">
      <c r="A215" s="11"/>
      <c r="B215" s="498" t="s">
        <v>122</v>
      </c>
      <c r="C215" s="23" t="s">
        <v>1</v>
      </c>
      <c r="D215" s="10" t="s">
        <v>104</v>
      </c>
      <c r="E215" s="10" t="s">
        <v>81</v>
      </c>
      <c r="F215" s="661"/>
      <c r="G215" s="662"/>
      <c r="H215" s="662"/>
      <c r="I215" s="663"/>
      <c r="J215" s="10"/>
      <c r="K215" s="24">
        <f>K216</f>
        <v>2765.5000000000005</v>
      </c>
      <c r="L215" s="24">
        <f>L216</f>
        <v>0</v>
      </c>
      <c r="M215" s="24">
        <f>M216</f>
        <v>2765.5000000000005</v>
      </c>
    </row>
    <row r="216" spans="1:13" s="111" customFormat="1" ht="72" customHeight="1" x14ac:dyDescent="0.35">
      <c r="A216" s="11"/>
      <c r="B216" s="498" t="s">
        <v>72</v>
      </c>
      <c r="C216" s="23" t="s">
        <v>1</v>
      </c>
      <c r="D216" s="10" t="s">
        <v>104</v>
      </c>
      <c r="E216" s="10" t="s">
        <v>81</v>
      </c>
      <c r="F216" s="661" t="s">
        <v>73</v>
      </c>
      <c r="G216" s="662" t="s">
        <v>42</v>
      </c>
      <c r="H216" s="662" t="s">
        <v>43</v>
      </c>
      <c r="I216" s="663" t="s">
        <v>44</v>
      </c>
      <c r="J216" s="10"/>
      <c r="K216" s="24">
        <f t="shared" ref="K216:M219" si="28">K217</f>
        <v>2765.5000000000005</v>
      </c>
      <c r="L216" s="24">
        <f t="shared" si="28"/>
        <v>0</v>
      </c>
      <c r="M216" s="24">
        <f t="shared" si="28"/>
        <v>2765.5000000000005</v>
      </c>
    </row>
    <row r="217" spans="1:13" s="111" customFormat="1" ht="36" customHeight="1" x14ac:dyDescent="0.35">
      <c r="A217" s="11"/>
      <c r="B217" s="498" t="s">
        <v>344</v>
      </c>
      <c r="C217" s="23" t="s">
        <v>1</v>
      </c>
      <c r="D217" s="10" t="s">
        <v>104</v>
      </c>
      <c r="E217" s="10" t="s">
        <v>81</v>
      </c>
      <c r="F217" s="661" t="s">
        <v>73</v>
      </c>
      <c r="G217" s="662" t="s">
        <v>45</v>
      </c>
      <c r="H217" s="662" t="s">
        <v>43</v>
      </c>
      <c r="I217" s="663" t="s">
        <v>44</v>
      </c>
      <c r="J217" s="10"/>
      <c r="K217" s="24">
        <f t="shared" si="28"/>
        <v>2765.5000000000005</v>
      </c>
      <c r="L217" s="24">
        <f t="shared" si="28"/>
        <v>0</v>
      </c>
      <c r="M217" s="24">
        <f t="shared" si="28"/>
        <v>2765.5000000000005</v>
      </c>
    </row>
    <row r="218" spans="1:13" s="111" customFormat="1" ht="54" customHeight="1" x14ac:dyDescent="0.35">
      <c r="A218" s="11"/>
      <c r="B218" s="531" t="s">
        <v>271</v>
      </c>
      <c r="C218" s="23" t="s">
        <v>1</v>
      </c>
      <c r="D218" s="10" t="s">
        <v>104</v>
      </c>
      <c r="E218" s="10" t="s">
        <v>81</v>
      </c>
      <c r="F218" s="661" t="s">
        <v>73</v>
      </c>
      <c r="G218" s="662" t="s">
        <v>45</v>
      </c>
      <c r="H218" s="662" t="s">
        <v>37</v>
      </c>
      <c r="I218" s="663" t="s">
        <v>44</v>
      </c>
      <c r="J218" s="10"/>
      <c r="K218" s="24">
        <f t="shared" si="28"/>
        <v>2765.5000000000005</v>
      </c>
      <c r="L218" s="24">
        <f t="shared" si="28"/>
        <v>0</v>
      </c>
      <c r="M218" s="24">
        <f t="shared" si="28"/>
        <v>2765.5000000000005</v>
      </c>
    </row>
    <row r="219" spans="1:13" s="111" customFormat="1" ht="54" customHeight="1" x14ac:dyDescent="0.35">
      <c r="A219" s="11"/>
      <c r="B219" s="531" t="s">
        <v>74</v>
      </c>
      <c r="C219" s="23" t="s">
        <v>1</v>
      </c>
      <c r="D219" s="10" t="s">
        <v>104</v>
      </c>
      <c r="E219" s="10" t="s">
        <v>81</v>
      </c>
      <c r="F219" s="661" t="s">
        <v>73</v>
      </c>
      <c r="G219" s="662" t="s">
        <v>45</v>
      </c>
      <c r="H219" s="662" t="s">
        <v>37</v>
      </c>
      <c r="I219" s="663" t="s">
        <v>75</v>
      </c>
      <c r="J219" s="10"/>
      <c r="K219" s="24">
        <f t="shared" si="28"/>
        <v>2765.5000000000005</v>
      </c>
      <c r="L219" s="24">
        <f t="shared" si="28"/>
        <v>0</v>
      </c>
      <c r="M219" s="24">
        <f t="shared" si="28"/>
        <v>2765.5000000000005</v>
      </c>
    </row>
    <row r="220" spans="1:13" s="111" customFormat="1" ht="54" customHeight="1" x14ac:dyDescent="0.35">
      <c r="A220" s="11"/>
      <c r="B220" s="505" t="s">
        <v>76</v>
      </c>
      <c r="C220" s="23" t="s">
        <v>1</v>
      </c>
      <c r="D220" s="10" t="s">
        <v>104</v>
      </c>
      <c r="E220" s="10" t="s">
        <v>81</v>
      </c>
      <c r="F220" s="661" t="s">
        <v>73</v>
      </c>
      <c r="G220" s="662" t="s">
        <v>45</v>
      </c>
      <c r="H220" s="662" t="s">
        <v>37</v>
      </c>
      <c r="I220" s="663" t="s">
        <v>75</v>
      </c>
      <c r="J220" s="10" t="s">
        <v>77</v>
      </c>
      <c r="K220" s="24">
        <f>1111.2+100.9+108+63+1200+182.4</f>
        <v>2765.5000000000005</v>
      </c>
      <c r="L220" s="24">
        <f>M220-K220</f>
        <v>0</v>
      </c>
      <c r="M220" s="24">
        <f>1111.2+100.9+108+63+1200+182.4</f>
        <v>2765.5000000000005</v>
      </c>
    </row>
    <row r="221" spans="1:13" s="111" customFormat="1" ht="36" x14ac:dyDescent="0.35">
      <c r="A221" s="11"/>
      <c r="B221" s="223" t="s">
        <v>789</v>
      </c>
      <c r="C221" s="23" t="s">
        <v>1</v>
      </c>
      <c r="D221" s="10" t="s">
        <v>71</v>
      </c>
      <c r="E221" s="10"/>
      <c r="F221" s="661"/>
      <c r="G221" s="662"/>
      <c r="H221" s="662"/>
      <c r="I221" s="663"/>
      <c r="J221" s="10"/>
      <c r="K221" s="24">
        <f t="shared" ref="K221:M226" si="29">K222</f>
        <v>0</v>
      </c>
      <c r="L221" s="24">
        <f t="shared" si="29"/>
        <v>6</v>
      </c>
      <c r="M221" s="24">
        <f t="shared" si="29"/>
        <v>6</v>
      </c>
    </row>
    <row r="222" spans="1:13" s="111" customFormat="1" ht="36" x14ac:dyDescent="0.35">
      <c r="A222" s="11"/>
      <c r="B222" s="740" t="s">
        <v>790</v>
      </c>
      <c r="C222" s="23" t="s">
        <v>1</v>
      </c>
      <c r="D222" s="10" t="s">
        <v>71</v>
      </c>
      <c r="E222" s="10" t="s">
        <v>37</v>
      </c>
      <c r="F222" s="661"/>
      <c r="G222" s="662"/>
      <c r="H222" s="662"/>
      <c r="I222" s="663"/>
      <c r="J222" s="10"/>
      <c r="K222" s="24">
        <f t="shared" si="29"/>
        <v>0</v>
      </c>
      <c r="L222" s="24">
        <f t="shared" si="29"/>
        <v>6</v>
      </c>
      <c r="M222" s="24">
        <f t="shared" si="29"/>
        <v>6</v>
      </c>
    </row>
    <row r="223" spans="1:13" s="111" customFormat="1" ht="54" x14ac:dyDescent="0.35">
      <c r="A223" s="11"/>
      <c r="B223" s="566" t="s">
        <v>40</v>
      </c>
      <c r="C223" s="23" t="s">
        <v>1</v>
      </c>
      <c r="D223" s="10" t="s">
        <v>71</v>
      </c>
      <c r="E223" s="10" t="s">
        <v>37</v>
      </c>
      <c r="F223" s="661" t="s">
        <v>41</v>
      </c>
      <c r="G223" s="662" t="s">
        <v>42</v>
      </c>
      <c r="H223" s="662" t="s">
        <v>43</v>
      </c>
      <c r="I223" s="663" t="s">
        <v>44</v>
      </c>
      <c r="J223" s="10"/>
      <c r="K223" s="24">
        <f t="shared" si="29"/>
        <v>0</v>
      </c>
      <c r="L223" s="24">
        <f t="shared" si="29"/>
        <v>6</v>
      </c>
      <c r="M223" s="24">
        <f t="shared" si="29"/>
        <v>6</v>
      </c>
    </row>
    <row r="224" spans="1:13" s="111" customFormat="1" ht="36" x14ac:dyDescent="0.35">
      <c r="A224" s="11"/>
      <c r="B224" s="566" t="s">
        <v>344</v>
      </c>
      <c r="C224" s="23" t="s">
        <v>1</v>
      </c>
      <c r="D224" s="10" t="s">
        <v>71</v>
      </c>
      <c r="E224" s="10" t="s">
        <v>37</v>
      </c>
      <c r="F224" s="661" t="s">
        <v>41</v>
      </c>
      <c r="G224" s="662" t="s">
        <v>45</v>
      </c>
      <c r="H224" s="662" t="s">
        <v>43</v>
      </c>
      <c r="I224" s="663" t="s">
        <v>44</v>
      </c>
      <c r="J224" s="10"/>
      <c r="K224" s="24">
        <f t="shared" si="29"/>
        <v>0</v>
      </c>
      <c r="L224" s="24">
        <f t="shared" si="29"/>
        <v>6</v>
      </c>
      <c r="M224" s="24">
        <f t="shared" si="29"/>
        <v>6</v>
      </c>
    </row>
    <row r="225" spans="1:13" s="111" customFormat="1" ht="54" x14ac:dyDescent="0.35">
      <c r="A225" s="11"/>
      <c r="B225" s="626" t="s">
        <v>791</v>
      </c>
      <c r="C225" s="23" t="s">
        <v>1</v>
      </c>
      <c r="D225" s="10" t="s">
        <v>71</v>
      </c>
      <c r="E225" s="10" t="s">
        <v>37</v>
      </c>
      <c r="F225" s="661" t="s">
        <v>41</v>
      </c>
      <c r="G225" s="662" t="s">
        <v>45</v>
      </c>
      <c r="H225" s="662" t="s">
        <v>79</v>
      </c>
      <c r="I225" s="663" t="s">
        <v>44</v>
      </c>
      <c r="J225" s="10"/>
      <c r="K225" s="24">
        <f t="shared" si="29"/>
        <v>0</v>
      </c>
      <c r="L225" s="24">
        <f t="shared" si="29"/>
        <v>6</v>
      </c>
      <c r="M225" s="24">
        <f t="shared" si="29"/>
        <v>6</v>
      </c>
    </row>
    <row r="226" spans="1:13" s="111" customFormat="1" ht="36" x14ac:dyDescent="0.35">
      <c r="A226" s="11"/>
      <c r="B226" s="626" t="s">
        <v>792</v>
      </c>
      <c r="C226" s="23" t="s">
        <v>1</v>
      </c>
      <c r="D226" s="10" t="s">
        <v>71</v>
      </c>
      <c r="E226" s="10" t="s">
        <v>37</v>
      </c>
      <c r="F226" s="661" t="s">
        <v>41</v>
      </c>
      <c r="G226" s="662" t="s">
        <v>45</v>
      </c>
      <c r="H226" s="662" t="s">
        <v>79</v>
      </c>
      <c r="I226" s="663" t="s">
        <v>793</v>
      </c>
      <c r="J226" s="10"/>
      <c r="K226" s="24">
        <f t="shared" si="29"/>
        <v>0</v>
      </c>
      <c r="L226" s="24">
        <f t="shared" si="29"/>
        <v>6</v>
      </c>
      <c r="M226" s="24">
        <f t="shared" si="29"/>
        <v>6</v>
      </c>
    </row>
    <row r="227" spans="1:13" s="111" customFormat="1" ht="36" x14ac:dyDescent="0.35">
      <c r="A227" s="11"/>
      <c r="B227" s="626" t="s">
        <v>789</v>
      </c>
      <c r="C227" s="23" t="s">
        <v>1</v>
      </c>
      <c r="D227" s="10" t="s">
        <v>71</v>
      </c>
      <c r="E227" s="10" t="s">
        <v>37</v>
      </c>
      <c r="F227" s="661" t="s">
        <v>41</v>
      </c>
      <c r="G227" s="662" t="s">
        <v>45</v>
      </c>
      <c r="H227" s="662" t="s">
        <v>79</v>
      </c>
      <c r="I227" s="663" t="s">
        <v>793</v>
      </c>
      <c r="J227" s="10" t="s">
        <v>794</v>
      </c>
      <c r="K227" s="24"/>
      <c r="L227" s="24">
        <f>M227-K227</f>
        <v>6</v>
      </c>
      <c r="M227" s="24">
        <v>6</v>
      </c>
    </row>
    <row r="228" spans="1:13" s="111" customFormat="1" ht="54" customHeight="1" x14ac:dyDescent="0.35">
      <c r="A228" s="11"/>
      <c r="B228" s="566" t="s">
        <v>200</v>
      </c>
      <c r="C228" s="23" t="s">
        <v>1</v>
      </c>
      <c r="D228" s="10" t="s">
        <v>88</v>
      </c>
      <c r="E228" s="10"/>
      <c r="F228" s="661"/>
      <c r="G228" s="662"/>
      <c r="H228" s="662"/>
      <c r="I228" s="663"/>
      <c r="J228" s="10"/>
      <c r="K228" s="24">
        <f t="shared" ref="K228:M236" si="30">K229</f>
        <v>50547.6</v>
      </c>
      <c r="L228" s="24">
        <f t="shared" si="30"/>
        <v>4599</v>
      </c>
      <c r="M228" s="24">
        <f t="shared" si="30"/>
        <v>55146.6</v>
      </c>
    </row>
    <row r="229" spans="1:13" s="111" customFormat="1" ht="36" customHeight="1" x14ac:dyDescent="0.35">
      <c r="A229" s="11"/>
      <c r="B229" s="626" t="s">
        <v>680</v>
      </c>
      <c r="C229" s="23" t="s">
        <v>1</v>
      </c>
      <c r="D229" s="10" t="s">
        <v>88</v>
      </c>
      <c r="E229" s="10" t="s">
        <v>63</v>
      </c>
      <c r="F229" s="661"/>
      <c r="G229" s="662"/>
      <c r="H229" s="662"/>
      <c r="I229" s="663"/>
      <c r="J229" s="10"/>
      <c r="K229" s="24">
        <f>K230+K286</f>
        <v>50547.6</v>
      </c>
      <c r="L229" s="24">
        <f>L230+L286</f>
        <v>4599</v>
      </c>
      <c r="M229" s="24">
        <f>M230+M286</f>
        <v>55146.6</v>
      </c>
    </row>
    <row r="230" spans="1:13" s="111" customFormat="1" ht="108" customHeight="1" x14ac:dyDescent="0.35">
      <c r="A230" s="11"/>
      <c r="B230" s="626" t="s">
        <v>681</v>
      </c>
      <c r="C230" s="23" t="s">
        <v>1</v>
      </c>
      <c r="D230" s="10" t="s">
        <v>88</v>
      </c>
      <c r="E230" s="10" t="s">
        <v>63</v>
      </c>
      <c r="F230" s="661" t="s">
        <v>682</v>
      </c>
      <c r="G230" s="662" t="s">
        <v>42</v>
      </c>
      <c r="H230" s="662" t="s">
        <v>43</v>
      </c>
      <c r="I230" s="663" t="s">
        <v>44</v>
      </c>
      <c r="J230" s="10"/>
      <c r="K230" s="24">
        <f t="shared" si="30"/>
        <v>28786</v>
      </c>
      <c r="L230" s="24">
        <f t="shared" si="30"/>
        <v>4599</v>
      </c>
      <c r="M230" s="24">
        <f t="shared" si="30"/>
        <v>33385</v>
      </c>
    </row>
    <row r="231" spans="1:13" s="111" customFormat="1" ht="108" customHeight="1" x14ac:dyDescent="0.35">
      <c r="A231" s="11"/>
      <c r="B231" s="626" t="s">
        <v>683</v>
      </c>
      <c r="C231" s="23" t="s">
        <v>1</v>
      </c>
      <c r="D231" s="10" t="s">
        <v>88</v>
      </c>
      <c r="E231" s="10" t="s">
        <v>63</v>
      </c>
      <c r="F231" s="661" t="s">
        <v>682</v>
      </c>
      <c r="G231" s="662" t="s">
        <v>89</v>
      </c>
      <c r="H231" s="662" t="s">
        <v>43</v>
      </c>
      <c r="I231" s="663" t="s">
        <v>44</v>
      </c>
      <c r="J231" s="10"/>
      <c r="K231" s="24">
        <f>K232+K235+K238+K241+K244+K247+K250+K253+K256+K259+K262+K265</f>
        <v>28786</v>
      </c>
      <c r="L231" s="24">
        <f>L232+L235+L238+L241+L244+L247+L250+L253+L256+L259+L262+L265+L268+L271+L274+L277+L280+L283</f>
        <v>4599</v>
      </c>
      <c r="M231" s="24">
        <f>M232+M235+M238+M241+M244+M247+M250+M253+M256+M259+M262+M265+M268+M271+M274+M277+M280+M283</f>
        <v>33385</v>
      </c>
    </row>
    <row r="232" spans="1:13" s="111" customFormat="1" ht="126" customHeight="1" x14ac:dyDescent="0.35">
      <c r="A232" s="11"/>
      <c r="B232" s="505" t="s">
        <v>686</v>
      </c>
      <c r="C232" s="23" t="s">
        <v>1</v>
      </c>
      <c r="D232" s="10" t="s">
        <v>88</v>
      </c>
      <c r="E232" s="10" t="s">
        <v>63</v>
      </c>
      <c r="F232" s="661" t="s">
        <v>682</v>
      </c>
      <c r="G232" s="662" t="s">
        <v>89</v>
      </c>
      <c r="H232" s="662" t="s">
        <v>37</v>
      </c>
      <c r="I232" s="663" t="s">
        <v>44</v>
      </c>
      <c r="J232" s="10"/>
      <c r="K232" s="24">
        <f t="shared" si="30"/>
        <v>11752.900000000001</v>
      </c>
      <c r="L232" s="24">
        <f t="shared" si="30"/>
        <v>0</v>
      </c>
      <c r="M232" s="24">
        <f t="shared" si="30"/>
        <v>11752.900000000001</v>
      </c>
    </row>
    <row r="233" spans="1:13" s="111" customFormat="1" ht="72" customHeight="1" x14ac:dyDescent="0.35">
      <c r="A233" s="11"/>
      <c r="B233" s="505" t="s">
        <v>685</v>
      </c>
      <c r="C233" s="23" t="s">
        <v>1</v>
      </c>
      <c r="D233" s="10" t="s">
        <v>88</v>
      </c>
      <c r="E233" s="10" t="s">
        <v>63</v>
      </c>
      <c r="F233" s="661" t="s">
        <v>682</v>
      </c>
      <c r="G233" s="662" t="s">
        <v>89</v>
      </c>
      <c r="H233" s="662" t="s">
        <v>37</v>
      </c>
      <c r="I233" s="663" t="s">
        <v>684</v>
      </c>
      <c r="J233" s="10"/>
      <c r="K233" s="24">
        <f t="shared" si="30"/>
        <v>11752.900000000001</v>
      </c>
      <c r="L233" s="24">
        <f t="shared" si="30"/>
        <v>0</v>
      </c>
      <c r="M233" s="24">
        <f t="shared" si="30"/>
        <v>11752.900000000001</v>
      </c>
    </row>
    <row r="234" spans="1:13" s="111" customFormat="1" ht="18" customHeight="1" x14ac:dyDescent="0.35">
      <c r="A234" s="11"/>
      <c r="B234" s="626" t="s">
        <v>123</v>
      </c>
      <c r="C234" s="23" t="s">
        <v>1</v>
      </c>
      <c r="D234" s="10" t="s">
        <v>88</v>
      </c>
      <c r="E234" s="10" t="s">
        <v>63</v>
      </c>
      <c r="F234" s="661" t="s">
        <v>682</v>
      </c>
      <c r="G234" s="662" t="s">
        <v>89</v>
      </c>
      <c r="H234" s="662" t="s">
        <v>37</v>
      </c>
      <c r="I234" s="663" t="s">
        <v>684</v>
      </c>
      <c r="J234" s="10" t="s">
        <v>124</v>
      </c>
      <c r="K234" s="24">
        <f>18635.2-6882.3</f>
        <v>11752.900000000001</v>
      </c>
      <c r="L234" s="24">
        <f>M234-K234</f>
        <v>0</v>
      </c>
      <c r="M234" s="24">
        <f>18635.2-6882.3</f>
        <v>11752.900000000001</v>
      </c>
    </row>
    <row r="235" spans="1:13" s="111" customFormat="1" ht="54" x14ac:dyDescent="0.35">
      <c r="A235" s="11"/>
      <c r="B235" s="626" t="s">
        <v>709</v>
      </c>
      <c r="C235" s="23" t="s">
        <v>1</v>
      </c>
      <c r="D235" s="10" t="s">
        <v>88</v>
      </c>
      <c r="E235" s="10" t="s">
        <v>63</v>
      </c>
      <c r="F235" s="661" t="s">
        <v>682</v>
      </c>
      <c r="G235" s="662" t="s">
        <v>89</v>
      </c>
      <c r="H235" s="662" t="s">
        <v>39</v>
      </c>
      <c r="I235" s="663" t="s">
        <v>44</v>
      </c>
      <c r="J235" s="10"/>
      <c r="K235" s="24">
        <f t="shared" si="30"/>
        <v>2699</v>
      </c>
      <c r="L235" s="24">
        <f>L236</f>
        <v>0</v>
      </c>
      <c r="M235" s="24">
        <f t="shared" si="30"/>
        <v>2699</v>
      </c>
    </row>
    <row r="236" spans="1:13" s="111" customFormat="1" ht="72" x14ac:dyDescent="0.35">
      <c r="A236" s="11"/>
      <c r="B236" s="626" t="s">
        <v>685</v>
      </c>
      <c r="C236" s="23" t="s">
        <v>1</v>
      </c>
      <c r="D236" s="10" t="s">
        <v>88</v>
      </c>
      <c r="E236" s="10" t="s">
        <v>63</v>
      </c>
      <c r="F236" s="661" t="s">
        <v>682</v>
      </c>
      <c r="G236" s="662" t="s">
        <v>89</v>
      </c>
      <c r="H236" s="662" t="s">
        <v>39</v>
      </c>
      <c r="I236" s="663" t="s">
        <v>684</v>
      </c>
      <c r="J236" s="10"/>
      <c r="K236" s="24">
        <f t="shared" si="30"/>
        <v>2699</v>
      </c>
      <c r="L236" s="24">
        <f t="shared" si="30"/>
        <v>0</v>
      </c>
      <c r="M236" s="24">
        <f t="shared" si="30"/>
        <v>2699</v>
      </c>
    </row>
    <row r="237" spans="1:13" ht="18" customHeight="1" x14ac:dyDescent="0.35">
      <c r="A237" s="11"/>
      <c r="B237" s="498" t="s">
        <v>123</v>
      </c>
      <c r="C237" s="23" t="s">
        <v>1</v>
      </c>
      <c r="D237" s="10" t="s">
        <v>88</v>
      </c>
      <c r="E237" s="10" t="s">
        <v>63</v>
      </c>
      <c r="F237" s="661" t="s">
        <v>682</v>
      </c>
      <c r="G237" s="662" t="s">
        <v>89</v>
      </c>
      <c r="H237" s="662" t="s">
        <v>39</v>
      </c>
      <c r="I237" s="663" t="s">
        <v>684</v>
      </c>
      <c r="J237" s="256" t="s">
        <v>124</v>
      </c>
      <c r="K237" s="24">
        <v>2699</v>
      </c>
      <c r="L237" s="24">
        <f>M237-K237</f>
        <v>0</v>
      </c>
      <c r="M237" s="24">
        <v>2699</v>
      </c>
    </row>
    <row r="238" spans="1:13" ht="144" x14ac:dyDescent="0.35">
      <c r="A238" s="11"/>
      <c r="B238" s="498" t="s">
        <v>720</v>
      </c>
      <c r="C238" s="23" t="s">
        <v>1</v>
      </c>
      <c r="D238" s="10" t="s">
        <v>88</v>
      </c>
      <c r="E238" s="10" t="s">
        <v>63</v>
      </c>
      <c r="F238" s="661" t="s">
        <v>682</v>
      </c>
      <c r="G238" s="662" t="s">
        <v>89</v>
      </c>
      <c r="H238" s="662" t="s">
        <v>63</v>
      </c>
      <c r="I238" s="663" t="s">
        <v>44</v>
      </c>
      <c r="J238" s="256"/>
      <c r="K238" s="24">
        <f t="shared" ref="K238:M239" si="31">K239</f>
        <v>250</v>
      </c>
      <c r="L238" s="24">
        <f t="shared" si="31"/>
        <v>0</v>
      </c>
      <c r="M238" s="24">
        <f t="shared" si="31"/>
        <v>250</v>
      </c>
    </row>
    <row r="239" spans="1:13" ht="75.599999999999994" customHeight="1" x14ac:dyDescent="0.35">
      <c r="A239" s="11"/>
      <c r="B239" s="626" t="s">
        <v>685</v>
      </c>
      <c r="C239" s="23" t="s">
        <v>1</v>
      </c>
      <c r="D239" s="10" t="s">
        <v>88</v>
      </c>
      <c r="E239" s="10" t="s">
        <v>63</v>
      </c>
      <c r="F239" s="661" t="s">
        <v>682</v>
      </c>
      <c r="G239" s="662" t="s">
        <v>89</v>
      </c>
      <c r="H239" s="662" t="s">
        <v>63</v>
      </c>
      <c r="I239" s="663" t="s">
        <v>684</v>
      </c>
      <c r="J239" s="256"/>
      <c r="K239" s="24">
        <f t="shared" si="31"/>
        <v>250</v>
      </c>
      <c r="L239" s="24">
        <f t="shared" si="31"/>
        <v>0</v>
      </c>
      <c r="M239" s="24">
        <f t="shared" si="31"/>
        <v>250</v>
      </c>
    </row>
    <row r="240" spans="1:13" ht="18" customHeight="1" x14ac:dyDescent="0.35">
      <c r="A240" s="11"/>
      <c r="B240" s="498" t="s">
        <v>123</v>
      </c>
      <c r="C240" s="23" t="s">
        <v>1</v>
      </c>
      <c r="D240" s="10" t="s">
        <v>88</v>
      </c>
      <c r="E240" s="10" t="s">
        <v>63</v>
      </c>
      <c r="F240" s="661" t="s">
        <v>682</v>
      </c>
      <c r="G240" s="662" t="s">
        <v>89</v>
      </c>
      <c r="H240" s="662" t="s">
        <v>63</v>
      </c>
      <c r="I240" s="663" t="s">
        <v>684</v>
      </c>
      <c r="J240" s="256">
        <v>500</v>
      </c>
      <c r="K240" s="24">
        <f>170+80</f>
        <v>250</v>
      </c>
      <c r="L240" s="24">
        <f>M240-K240</f>
        <v>0</v>
      </c>
      <c r="M240" s="24">
        <f>170+80</f>
        <v>250</v>
      </c>
    </row>
    <row r="241" spans="1:13" ht="90" x14ac:dyDescent="0.35">
      <c r="A241" s="11"/>
      <c r="B241" s="498" t="s">
        <v>723</v>
      </c>
      <c r="C241" s="23" t="s">
        <v>1</v>
      </c>
      <c r="D241" s="10" t="s">
        <v>88</v>
      </c>
      <c r="E241" s="10" t="s">
        <v>63</v>
      </c>
      <c r="F241" s="661" t="s">
        <v>682</v>
      </c>
      <c r="G241" s="662" t="s">
        <v>89</v>
      </c>
      <c r="H241" s="662" t="s">
        <v>52</v>
      </c>
      <c r="I241" s="663" t="s">
        <v>44</v>
      </c>
      <c r="J241" s="256"/>
      <c r="K241" s="24">
        <f t="shared" ref="K241:M242" si="32">K242</f>
        <v>5950</v>
      </c>
      <c r="L241" s="24">
        <f t="shared" si="32"/>
        <v>0</v>
      </c>
      <c r="M241" s="24">
        <f t="shared" si="32"/>
        <v>5950</v>
      </c>
    </row>
    <row r="242" spans="1:13" ht="84" customHeight="1" x14ac:dyDescent="0.35">
      <c r="A242" s="11"/>
      <c r="B242" s="626" t="s">
        <v>685</v>
      </c>
      <c r="C242" s="23" t="s">
        <v>1</v>
      </c>
      <c r="D242" s="10" t="s">
        <v>88</v>
      </c>
      <c r="E242" s="10" t="s">
        <v>63</v>
      </c>
      <c r="F242" s="661" t="s">
        <v>682</v>
      </c>
      <c r="G242" s="662" t="s">
        <v>89</v>
      </c>
      <c r="H242" s="662" t="s">
        <v>52</v>
      </c>
      <c r="I242" s="663" t="s">
        <v>684</v>
      </c>
      <c r="J242" s="256"/>
      <c r="K242" s="24">
        <f t="shared" si="32"/>
        <v>5950</v>
      </c>
      <c r="L242" s="24">
        <f t="shared" si="32"/>
        <v>0</v>
      </c>
      <c r="M242" s="24">
        <f t="shared" si="32"/>
        <v>5950</v>
      </c>
    </row>
    <row r="243" spans="1:13" ht="18" customHeight="1" x14ac:dyDescent="0.35">
      <c r="A243" s="11"/>
      <c r="B243" s="498" t="s">
        <v>123</v>
      </c>
      <c r="C243" s="23" t="s">
        <v>1</v>
      </c>
      <c r="D243" s="10" t="s">
        <v>88</v>
      </c>
      <c r="E243" s="10" t="s">
        <v>63</v>
      </c>
      <c r="F243" s="661" t="s">
        <v>682</v>
      </c>
      <c r="G243" s="662" t="s">
        <v>89</v>
      </c>
      <c r="H243" s="662" t="s">
        <v>52</v>
      </c>
      <c r="I243" s="663" t="s">
        <v>684</v>
      </c>
      <c r="J243" s="256">
        <v>500</v>
      </c>
      <c r="K243" s="24">
        <v>5950</v>
      </c>
      <c r="L243" s="24">
        <f>M243-K243</f>
        <v>0</v>
      </c>
      <c r="M243" s="24">
        <v>5950</v>
      </c>
    </row>
    <row r="244" spans="1:13" ht="72" x14ac:dyDescent="0.35">
      <c r="A244" s="11"/>
      <c r="B244" s="498" t="s">
        <v>736</v>
      </c>
      <c r="C244" s="23" t="s">
        <v>1</v>
      </c>
      <c r="D244" s="10" t="s">
        <v>88</v>
      </c>
      <c r="E244" s="10" t="s">
        <v>63</v>
      </c>
      <c r="F244" s="661" t="s">
        <v>682</v>
      </c>
      <c r="G244" s="662" t="s">
        <v>89</v>
      </c>
      <c r="H244" s="662" t="s">
        <v>65</v>
      </c>
      <c r="I244" s="663" t="s">
        <v>44</v>
      </c>
      <c r="J244" s="256"/>
      <c r="K244" s="24">
        <f t="shared" ref="K244:M245" si="33">K245</f>
        <v>590</v>
      </c>
      <c r="L244" s="24">
        <f t="shared" si="33"/>
        <v>0</v>
      </c>
      <c r="M244" s="24">
        <f t="shared" si="33"/>
        <v>590</v>
      </c>
    </row>
    <row r="245" spans="1:13" ht="72" x14ac:dyDescent="0.35">
      <c r="A245" s="11"/>
      <c r="B245" s="626" t="s">
        <v>685</v>
      </c>
      <c r="C245" s="23" t="s">
        <v>1</v>
      </c>
      <c r="D245" s="10" t="s">
        <v>88</v>
      </c>
      <c r="E245" s="10" t="s">
        <v>63</v>
      </c>
      <c r="F245" s="661" t="s">
        <v>682</v>
      </c>
      <c r="G245" s="662" t="s">
        <v>89</v>
      </c>
      <c r="H245" s="662" t="s">
        <v>65</v>
      </c>
      <c r="I245" s="663" t="s">
        <v>684</v>
      </c>
      <c r="J245" s="256"/>
      <c r="K245" s="24">
        <f t="shared" si="33"/>
        <v>590</v>
      </c>
      <c r="L245" s="24">
        <f t="shared" si="33"/>
        <v>0</v>
      </c>
      <c r="M245" s="24">
        <f t="shared" si="33"/>
        <v>590</v>
      </c>
    </row>
    <row r="246" spans="1:13" ht="18" customHeight="1" x14ac:dyDescent="0.35">
      <c r="A246" s="11"/>
      <c r="B246" s="498" t="s">
        <v>123</v>
      </c>
      <c r="C246" s="23" t="s">
        <v>1</v>
      </c>
      <c r="D246" s="10" t="s">
        <v>88</v>
      </c>
      <c r="E246" s="10" t="s">
        <v>63</v>
      </c>
      <c r="F246" s="661" t="s">
        <v>682</v>
      </c>
      <c r="G246" s="662" t="s">
        <v>89</v>
      </c>
      <c r="H246" s="662" t="s">
        <v>65</v>
      </c>
      <c r="I246" s="663" t="s">
        <v>684</v>
      </c>
      <c r="J246" s="256">
        <v>500</v>
      </c>
      <c r="K246" s="24">
        <v>590</v>
      </c>
      <c r="L246" s="24">
        <f>M246-K246</f>
        <v>0</v>
      </c>
      <c r="M246" s="24">
        <v>590</v>
      </c>
    </row>
    <row r="247" spans="1:13" ht="90" x14ac:dyDescent="0.35">
      <c r="A247" s="11"/>
      <c r="B247" s="498" t="s">
        <v>742</v>
      </c>
      <c r="C247" s="23" t="s">
        <v>1</v>
      </c>
      <c r="D247" s="10" t="s">
        <v>88</v>
      </c>
      <c r="E247" s="10" t="s">
        <v>63</v>
      </c>
      <c r="F247" s="661" t="s">
        <v>682</v>
      </c>
      <c r="G247" s="662" t="s">
        <v>89</v>
      </c>
      <c r="H247" s="662" t="s">
        <v>224</v>
      </c>
      <c r="I247" s="663" t="s">
        <v>44</v>
      </c>
      <c r="J247" s="256"/>
      <c r="K247" s="24">
        <f t="shared" ref="K247:M248" si="34">K248</f>
        <v>569.1</v>
      </c>
      <c r="L247" s="24">
        <f t="shared" si="34"/>
        <v>0</v>
      </c>
      <c r="M247" s="24">
        <f t="shared" si="34"/>
        <v>569.1</v>
      </c>
    </row>
    <row r="248" spans="1:13" ht="72" x14ac:dyDescent="0.35">
      <c r="A248" s="11"/>
      <c r="B248" s="626" t="s">
        <v>685</v>
      </c>
      <c r="C248" s="23" t="s">
        <v>1</v>
      </c>
      <c r="D248" s="10" t="s">
        <v>88</v>
      </c>
      <c r="E248" s="10" t="s">
        <v>63</v>
      </c>
      <c r="F248" s="661" t="s">
        <v>682</v>
      </c>
      <c r="G248" s="662" t="s">
        <v>89</v>
      </c>
      <c r="H248" s="662" t="s">
        <v>224</v>
      </c>
      <c r="I248" s="663" t="s">
        <v>684</v>
      </c>
      <c r="J248" s="256"/>
      <c r="K248" s="24">
        <f t="shared" si="34"/>
        <v>569.1</v>
      </c>
      <c r="L248" s="24">
        <f t="shared" si="34"/>
        <v>0</v>
      </c>
      <c r="M248" s="24">
        <f t="shared" si="34"/>
        <v>569.1</v>
      </c>
    </row>
    <row r="249" spans="1:13" ht="18" customHeight="1" x14ac:dyDescent="0.35">
      <c r="A249" s="11"/>
      <c r="B249" s="498" t="s">
        <v>123</v>
      </c>
      <c r="C249" s="23" t="s">
        <v>1</v>
      </c>
      <c r="D249" s="10" t="s">
        <v>88</v>
      </c>
      <c r="E249" s="10" t="s">
        <v>63</v>
      </c>
      <c r="F249" s="661" t="s">
        <v>682</v>
      </c>
      <c r="G249" s="662" t="s">
        <v>89</v>
      </c>
      <c r="H249" s="662" t="s">
        <v>224</v>
      </c>
      <c r="I249" s="663" t="s">
        <v>684</v>
      </c>
      <c r="J249" s="256">
        <v>500</v>
      </c>
      <c r="K249" s="24">
        <v>569.1</v>
      </c>
      <c r="L249" s="24">
        <f>M249-K249</f>
        <v>0</v>
      </c>
      <c r="M249" s="24">
        <v>569.1</v>
      </c>
    </row>
    <row r="250" spans="1:13" ht="54" x14ac:dyDescent="0.35">
      <c r="A250" s="11"/>
      <c r="B250" s="498" t="s">
        <v>746</v>
      </c>
      <c r="C250" s="23" t="s">
        <v>1</v>
      </c>
      <c r="D250" s="10" t="s">
        <v>88</v>
      </c>
      <c r="E250" s="10" t="s">
        <v>63</v>
      </c>
      <c r="F250" s="661" t="s">
        <v>682</v>
      </c>
      <c r="G250" s="662" t="s">
        <v>89</v>
      </c>
      <c r="H250" s="662" t="s">
        <v>226</v>
      </c>
      <c r="I250" s="663" t="s">
        <v>44</v>
      </c>
      <c r="J250" s="256"/>
      <c r="K250" s="24">
        <f t="shared" ref="K250:M251" si="35">K251</f>
        <v>245</v>
      </c>
      <c r="L250" s="24">
        <f t="shared" si="35"/>
        <v>0</v>
      </c>
      <c r="M250" s="24">
        <f t="shared" si="35"/>
        <v>245</v>
      </c>
    </row>
    <row r="251" spans="1:13" ht="18" customHeight="1" x14ac:dyDescent="0.35">
      <c r="A251" s="11"/>
      <c r="B251" s="626" t="s">
        <v>685</v>
      </c>
      <c r="C251" s="23" t="s">
        <v>1</v>
      </c>
      <c r="D251" s="10" t="s">
        <v>88</v>
      </c>
      <c r="E251" s="10" t="s">
        <v>63</v>
      </c>
      <c r="F251" s="661" t="s">
        <v>682</v>
      </c>
      <c r="G251" s="662" t="s">
        <v>89</v>
      </c>
      <c r="H251" s="662" t="s">
        <v>226</v>
      </c>
      <c r="I251" s="663" t="s">
        <v>684</v>
      </c>
      <c r="J251" s="256"/>
      <c r="K251" s="24">
        <f t="shared" si="35"/>
        <v>245</v>
      </c>
      <c r="L251" s="24">
        <f t="shared" si="35"/>
        <v>0</v>
      </c>
      <c r="M251" s="24">
        <f t="shared" si="35"/>
        <v>245</v>
      </c>
    </row>
    <row r="252" spans="1:13" ht="18" customHeight="1" x14ac:dyDescent="0.35">
      <c r="A252" s="11"/>
      <c r="B252" s="498" t="s">
        <v>123</v>
      </c>
      <c r="C252" s="23" t="s">
        <v>1</v>
      </c>
      <c r="D252" s="10" t="s">
        <v>88</v>
      </c>
      <c r="E252" s="10" t="s">
        <v>63</v>
      </c>
      <c r="F252" s="661" t="s">
        <v>682</v>
      </c>
      <c r="G252" s="662" t="s">
        <v>89</v>
      </c>
      <c r="H252" s="662" t="s">
        <v>226</v>
      </c>
      <c r="I252" s="663" t="s">
        <v>684</v>
      </c>
      <c r="J252" s="256">
        <v>500</v>
      </c>
      <c r="K252" s="24">
        <v>245</v>
      </c>
      <c r="L252" s="24">
        <f>M252-K252</f>
        <v>0</v>
      </c>
      <c r="M252" s="24">
        <v>245</v>
      </c>
    </row>
    <row r="253" spans="1:13" ht="90" x14ac:dyDescent="0.35">
      <c r="A253" s="11"/>
      <c r="B253" s="498" t="s">
        <v>747</v>
      </c>
      <c r="C253" s="23" t="s">
        <v>1</v>
      </c>
      <c r="D253" s="10" t="s">
        <v>88</v>
      </c>
      <c r="E253" s="10" t="s">
        <v>63</v>
      </c>
      <c r="F253" s="661" t="s">
        <v>682</v>
      </c>
      <c r="G253" s="662" t="s">
        <v>89</v>
      </c>
      <c r="H253" s="662" t="s">
        <v>79</v>
      </c>
      <c r="I253" s="663" t="s">
        <v>44</v>
      </c>
      <c r="J253" s="256"/>
      <c r="K253" s="24">
        <f t="shared" ref="K253:M254" si="36">K254</f>
        <v>530</v>
      </c>
      <c r="L253" s="24">
        <f t="shared" si="36"/>
        <v>0</v>
      </c>
      <c r="M253" s="24">
        <f t="shared" si="36"/>
        <v>530</v>
      </c>
    </row>
    <row r="254" spans="1:13" ht="18" customHeight="1" x14ac:dyDescent="0.35">
      <c r="A254" s="11"/>
      <c r="B254" s="626" t="s">
        <v>685</v>
      </c>
      <c r="C254" s="23" t="s">
        <v>1</v>
      </c>
      <c r="D254" s="10" t="s">
        <v>88</v>
      </c>
      <c r="E254" s="10" t="s">
        <v>63</v>
      </c>
      <c r="F254" s="661" t="s">
        <v>682</v>
      </c>
      <c r="G254" s="662" t="s">
        <v>89</v>
      </c>
      <c r="H254" s="662" t="s">
        <v>79</v>
      </c>
      <c r="I254" s="663" t="s">
        <v>684</v>
      </c>
      <c r="J254" s="256"/>
      <c r="K254" s="24">
        <f t="shared" si="36"/>
        <v>530</v>
      </c>
      <c r="L254" s="24">
        <f t="shared" si="36"/>
        <v>0</v>
      </c>
      <c r="M254" s="24">
        <f t="shared" si="36"/>
        <v>530</v>
      </c>
    </row>
    <row r="255" spans="1:13" ht="18" customHeight="1" x14ac:dyDescent="0.35">
      <c r="A255" s="11"/>
      <c r="B255" s="498" t="s">
        <v>123</v>
      </c>
      <c r="C255" s="23" t="s">
        <v>1</v>
      </c>
      <c r="D255" s="10" t="s">
        <v>88</v>
      </c>
      <c r="E255" s="10" t="s">
        <v>63</v>
      </c>
      <c r="F255" s="661" t="s">
        <v>682</v>
      </c>
      <c r="G255" s="662" t="s">
        <v>89</v>
      </c>
      <c r="H255" s="662" t="s">
        <v>79</v>
      </c>
      <c r="I255" s="663" t="s">
        <v>684</v>
      </c>
      <c r="J255" s="256">
        <v>500</v>
      </c>
      <c r="K255" s="24">
        <v>530</v>
      </c>
      <c r="L255" s="24">
        <f>M255-K255</f>
        <v>0</v>
      </c>
      <c r="M255" s="24">
        <v>530</v>
      </c>
    </row>
    <row r="256" spans="1:13" ht="54" x14ac:dyDescent="0.35">
      <c r="A256" s="11"/>
      <c r="B256" s="498" t="s">
        <v>750</v>
      </c>
      <c r="C256" s="23" t="s">
        <v>1</v>
      </c>
      <c r="D256" s="10" t="s">
        <v>88</v>
      </c>
      <c r="E256" s="10" t="s">
        <v>63</v>
      </c>
      <c r="F256" s="661" t="s">
        <v>682</v>
      </c>
      <c r="G256" s="662" t="s">
        <v>89</v>
      </c>
      <c r="H256" s="662" t="s">
        <v>104</v>
      </c>
      <c r="I256" s="663" t="s">
        <v>44</v>
      </c>
      <c r="J256" s="256"/>
      <c r="K256" s="24">
        <f t="shared" ref="K256:M257" si="37">K257</f>
        <v>1400</v>
      </c>
      <c r="L256" s="24">
        <f t="shared" si="37"/>
        <v>0</v>
      </c>
      <c r="M256" s="24">
        <f t="shared" si="37"/>
        <v>1400</v>
      </c>
    </row>
    <row r="257" spans="1:13" ht="18" customHeight="1" x14ac:dyDescent="0.35">
      <c r="A257" s="11"/>
      <c r="B257" s="626" t="s">
        <v>685</v>
      </c>
      <c r="C257" s="23" t="s">
        <v>1</v>
      </c>
      <c r="D257" s="10" t="s">
        <v>88</v>
      </c>
      <c r="E257" s="10" t="s">
        <v>63</v>
      </c>
      <c r="F257" s="661" t="s">
        <v>682</v>
      </c>
      <c r="G257" s="662" t="s">
        <v>89</v>
      </c>
      <c r="H257" s="662" t="s">
        <v>104</v>
      </c>
      <c r="I257" s="663" t="s">
        <v>684</v>
      </c>
      <c r="J257" s="256"/>
      <c r="K257" s="24">
        <f t="shared" si="37"/>
        <v>1400</v>
      </c>
      <c r="L257" s="24">
        <f t="shared" si="37"/>
        <v>0</v>
      </c>
      <c r="M257" s="24">
        <f t="shared" si="37"/>
        <v>1400</v>
      </c>
    </row>
    <row r="258" spans="1:13" ht="18" customHeight="1" x14ac:dyDescent="0.35">
      <c r="A258" s="11"/>
      <c r="B258" s="498" t="s">
        <v>123</v>
      </c>
      <c r="C258" s="23" t="s">
        <v>1</v>
      </c>
      <c r="D258" s="10" t="s">
        <v>88</v>
      </c>
      <c r="E258" s="10" t="s">
        <v>63</v>
      </c>
      <c r="F258" s="661" t="s">
        <v>682</v>
      </c>
      <c r="G258" s="662" t="s">
        <v>89</v>
      </c>
      <c r="H258" s="662" t="s">
        <v>104</v>
      </c>
      <c r="I258" s="663" t="s">
        <v>684</v>
      </c>
      <c r="J258" s="256">
        <v>500</v>
      </c>
      <c r="K258" s="24">
        <v>1400</v>
      </c>
      <c r="L258" s="24">
        <f>M258-K258</f>
        <v>0</v>
      </c>
      <c r="M258" s="24">
        <v>1400</v>
      </c>
    </row>
    <row r="259" spans="1:13" ht="90" x14ac:dyDescent="0.35">
      <c r="A259" s="11"/>
      <c r="B259" s="498" t="s">
        <v>751</v>
      </c>
      <c r="C259" s="23" t="s">
        <v>1</v>
      </c>
      <c r="D259" s="10" t="s">
        <v>88</v>
      </c>
      <c r="E259" s="10" t="s">
        <v>63</v>
      </c>
      <c r="F259" s="661" t="s">
        <v>682</v>
      </c>
      <c r="G259" s="662" t="s">
        <v>89</v>
      </c>
      <c r="H259" s="662" t="s">
        <v>67</v>
      </c>
      <c r="I259" s="663" t="s">
        <v>44</v>
      </c>
      <c r="J259" s="256"/>
      <c r="K259" s="24">
        <f t="shared" ref="K259:M260" si="38">K260</f>
        <v>2800</v>
      </c>
      <c r="L259" s="24">
        <f t="shared" si="38"/>
        <v>0</v>
      </c>
      <c r="M259" s="24">
        <f t="shared" si="38"/>
        <v>2800</v>
      </c>
    </row>
    <row r="260" spans="1:13" ht="18" customHeight="1" x14ac:dyDescent="0.35">
      <c r="A260" s="11"/>
      <c r="B260" s="626" t="s">
        <v>685</v>
      </c>
      <c r="C260" s="23" t="s">
        <v>1</v>
      </c>
      <c r="D260" s="10" t="s">
        <v>88</v>
      </c>
      <c r="E260" s="10" t="s">
        <v>63</v>
      </c>
      <c r="F260" s="661" t="s">
        <v>682</v>
      </c>
      <c r="G260" s="662" t="s">
        <v>89</v>
      </c>
      <c r="H260" s="662" t="s">
        <v>67</v>
      </c>
      <c r="I260" s="663" t="s">
        <v>684</v>
      </c>
      <c r="J260" s="256"/>
      <c r="K260" s="24">
        <f t="shared" si="38"/>
        <v>2800</v>
      </c>
      <c r="L260" s="24">
        <f t="shared" si="38"/>
        <v>0</v>
      </c>
      <c r="M260" s="24">
        <f t="shared" si="38"/>
        <v>2800</v>
      </c>
    </row>
    <row r="261" spans="1:13" ht="18" customHeight="1" x14ac:dyDescent="0.35">
      <c r="A261" s="11"/>
      <c r="B261" s="498" t="s">
        <v>123</v>
      </c>
      <c r="C261" s="23" t="s">
        <v>1</v>
      </c>
      <c r="D261" s="10" t="s">
        <v>88</v>
      </c>
      <c r="E261" s="10" t="s">
        <v>63</v>
      </c>
      <c r="F261" s="661" t="s">
        <v>682</v>
      </c>
      <c r="G261" s="662" t="s">
        <v>89</v>
      </c>
      <c r="H261" s="662" t="s">
        <v>67</v>
      </c>
      <c r="I261" s="663" t="s">
        <v>684</v>
      </c>
      <c r="J261" s="256">
        <v>500</v>
      </c>
      <c r="K261" s="24">
        <v>2800</v>
      </c>
      <c r="L261" s="24">
        <f>M261-K261</f>
        <v>0</v>
      </c>
      <c r="M261" s="24">
        <v>2800</v>
      </c>
    </row>
    <row r="262" spans="1:13" ht="70.2" customHeight="1" x14ac:dyDescent="0.35">
      <c r="A262" s="11"/>
      <c r="B262" s="498" t="s">
        <v>757</v>
      </c>
      <c r="C262" s="23" t="s">
        <v>1</v>
      </c>
      <c r="D262" s="10" t="s">
        <v>88</v>
      </c>
      <c r="E262" s="10" t="s">
        <v>63</v>
      </c>
      <c r="F262" s="661" t="s">
        <v>682</v>
      </c>
      <c r="G262" s="662" t="s">
        <v>89</v>
      </c>
      <c r="H262" s="662" t="s">
        <v>100</v>
      </c>
      <c r="I262" s="663" t="s">
        <v>44</v>
      </c>
      <c r="J262" s="256"/>
      <c r="K262" s="24">
        <f t="shared" ref="K262:M263" si="39">K263</f>
        <v>1100</v>
      </c>
      <c r="L262" s="24">
        <f t="shared" si="39"/>
        <v>0</v>
      </c>
      <c r="M262" s="24">
        <f t="shared" si="39"/>
        <v>1100</v>
      </c>
    </row>
    <row r="263" spans="1:13" ht="18" customHeight="1" x14ac:dyDescent="0.35">
      <c r="A263" s="11"/>
      <c r="B263" s="626" t="s">
        <v>685</v>
      </c>
      <c r="C263" s="23" t="s">
        <v>1</v>
      </c>
      <c r="D263" s="10" t="s">
        <v>88</v>
      </c>
      <c r="E263" s="10" t="s">
        <v>63</v>
      </c>
      <c r="F263" s="661" t="s">
        <v>682</v>
      </c>
      <c r="G263" s="662" t="s">
        <v>89</v>
      </c>
      <c r="H263" s="662" t="s">
        <v>100</v>
      </c>
      <c r="I263" s="663" t="s">
        <v>684</v>
      </c>
      <c r="J263" s="256"/>
      <c r="K263" s="24">
        <f t="shared" si="39"/>
        <v>1100</v>
      </c>
      <c r="L263" s="24">
        <f t="shared" si="39"/>
        <v>0</v>
      </c>
      <c r="M263" s="24">
        <f t="shared" si="39"/>
        <v>1100</v>
      </c>
    </row>
    <row r="264" spans="1:13" ht="18" customHeight="1" x14ac:dyDescent="0.35">
      <c r="A264" s="11"/>
      <c r="B264" s="498" t="s">
        <v>123</v>
      </c>
      <c r="C264" s="23" t="s">
        <v>1</v>
      </c>
      <c r="D264" s="10" t="s">
        <v>88</v>
      </c>
      <c r="E264" s="10" t="s">
        <v>63</v>
      </c>
      <c r="F264" s="661" t="s">
        <v>682</v>
      </c>
      <c r="G264" s="662" t="s">
        <v>89</v>
      </c>
      <c r="H264" s="662" t="s">
        <v>100</v>
      </c>
      <c r="I264" s="663" t="s">
        <v>684</v>
      </c>
      <c r="J264" s="256">
        <v>500</v>
      </c>
      <c r="K264" s="24">
        <v>1100</v>
      </c>
      <c r="L264" s="24">
        <f>M264-K264</f>
        <v>0</v>
      </c>
      <c r="M264" s="24">
        <v>1100</v>
      </c>
    </row>
    <row r="265" spans="1:13" ht="126" x14ac:dyDescent="0.35">
      <c r="A265" s="11"/>
      <c r="B265" s="498" t="s">
        <v>758</v>
      </c>
      <c r="C265" s="23" t="s">
        <v>1</v>
      </c>
      <c r="D265" s="10" t="s">
        <v>88</v>
      </c>
      <c r="E265" s="10" t="s">
        <v>63</v>
      </c>
      <c r="F265" s="661" t="s">
        <v>682</v>
      </c>
      <c r="G265" s="662" t="s">
        <v>89</v>
      </c>
      <c r="H265" s="662" t="s">
        <v>71</v>
      </c>
      <c r="I265" s="663" t="s">
        <v>44</v>
      </c>
      <c r="J265" s="256"/>
      <c r="K265" s="24">
        <f t="shared" ref="K265:M266" si="40">K266</f>
        <v>900</v>
      </c>
      <c r="L265" s="24">
        <f t="shared" si="40"/>
        <v>0</v>
      </c>
      <c r="M265" s="24">
        <f t="shared" si="40"/>
        <v>900</v>
      </c>
    </row>
    <row r="266" spans="1:13" ht="18" customHeight="1" x14ac:dyDescent="0.35">
      <c r="A266" s="11"/>
      <c r="B266" s="626" t="s">
        <v>685</v>
      </c>
      <c r="C266" s="23" t="s">
        <v>1</v>
      </c>
      <c r="D266" s="10" t="s">
        <v>88</v>
      </c>
      <c r="E266" s="10" t="s">
        <v>63</v>
      </c>
      <c r="F266" s="661" t="s">
        <v>682</v>
      </c>
      <c r="G266" s="662" t="s">
        <v>89</v>
      </c>
      <c r="H266" s="662" t="s">
        <v>71</v>
      </c>
      <c r="I266" s="663" t="s">
        <v>684</v>
      </c>
      <c r="J266" s="256"/>
      <c r="K266" s="24">
        <f t="shared" si="40"/>
        <v>900</v>
      </c>
      <c r="L266" s="24">
        <f t="shared" si="40"/>
        <v>0</v>
      </c>
      <c r="M266" s="24">
        <f t="shared" si="40"/>
        <v>900</v>
      </c>
    </row>
    <row r="267" spans="1:13" ht="18" customHeight="1" x14ac:dyDescent="0.35">
      <c r="A267" s="11"/>
      <c r="B267" s="498" t="s">
        <v>123</v>
      </c>
      <c r="C267" s="23" t="s">
        <v>1</v>
      </c>
      <c r="D267" s="10" t="s">
        <v>88</v>
      </c>
      <c r="E267" s="10" t="s">
        <v>63</v>
      </c>
      <c r="F267" s="661" t="s">
        <v>682</v>
      </c>
      <c r="G267" s="662" t="s">
        <v>89</v>
      </c>
      <c r="H267" s="662" t="s">
        <v>71</v>
      </c>
      <c r="I267" s="663" t="s">
        <v>684</v>
      </c>
      <c r="J267" s="256">
        <v>500</v>
      </c>
      <c r="K267" s="24">
        <v>900</v>
      </c>
      <c r="L267" s="24">
        <f>M267-K267</f>
        <v>0</v>
      </c>
      <c r="M267" s="24">
        <v>900</v>
      </c>
    </row>
    <row r="268" spans="1:13" ht="72" x14ac:dyDescent="0.35">
      <c r="A268" s="11"/>
      <c r="B268" s="498" t="s">
        <v>763</v>
      </c>
      <c r="C268" s="23" t="s">
        <v>1</v>
      </c>
      <c r="D268" s="10" t="s">
        <v>88</v>
      </c>
      <c r="E268" s="10" t="s">
        <v>63</v>
      </c>
      <c r="F268" s="661" t="s">
        <v>682</v>
      </c>
      <c r="G268" s="662" t="s">
        <v>89</v>
      </c>
      <c r="H268" s="662" t="s">
        <v>88</v>
      </c>
      <c r="I268" s="663" t="s">
        <v>44</v>
      </c>
      <c r="J268" s="256"/>
      <c r="K268" s="24"/>
      <c r="L268" s="24">
        <f>L269</f>
        <v>599</v>
      </c>
      <c r="M268" s="24">
        <f>M269</f>
        <v>599</v>
      </c>
    </row>
    <row r="269" spans="1:13" ht="18" customHeight="1" x14ac:dyDescent="0.35">
      <c r="A269" s="11"/>
      <c r="B269" s="626" t="s">
        <v>685</v>
      </c>
      <c r="C269" s="23" t="s">
        <v>1</v>
      </c>
      <c r="D269" s="10" t="s">
        <v>88</v>
      </c>
      <c r="E269" s="10" t="s">
        <v>63</v>
      </c>
      <c r="F269" s="661" t="s">
        <v>682</v>
      </c>
      <c r="G269" s="662" t="s">
        <v>89</v>
      </c>
      <c r="H269" s="662" t="s">
        <v>88</v>
      </c>
      <c r="I269" s="663" t="s">
        <v>684</v>
      </c>
      <c r="J269" s="256"/>
      <c r="K269" s="24"/>
      <c r="L269" s="24">
        <f>L270</f>
        <v>599</v>
      </c>
      <c r="M269" s="24">
        <f>M270</f>
        <v>599</v>
      </c>
    </row>
    <row r="270" spans="1:13" ht="18" customHeight="1" x14ac:dyDescent="0.35">
      <c r="A270" s="11"/>
      <c r="B270" s="498" t="s">
        <v>123</v>
      </c>
      <c r="C270" s="23" t="s">
        <v>1</v>
      </c>
      <c r="D270" s="10" t="s">
        <v>88</v>
      </c>
      <c r="E270" s="10" t="s">
        <v>63</v>
      </c>
      <c r="F270" s="661" t="s">
        <v>682</v>
      </c>
      <c r="G270" s="662" t="s">
        <v>89</v>
      </c>
      <c r="H270" s="662" t="s">
        <v>88</v>
      </c>
      <c r="I270" s="663" t="s">
        <v>684</v>
      </c>
      <c r="J270" s="256">
        <v>500</v>
      </c>
      <c r="K270" s="24"/>
      <c r="L270" s="24">
        <f>M270-K270</f>
        <v>599</v>
      </c>
      <c r="M270" s="24">
        <v>599</v>
      </c>
    </row>
    <row r="271" spans="1:13" ht="90" x14ac:dyDescent="0.35">
      <c r="A271" s="11"/>
      <c r="B271" s="498" t="s">
        <v>764</v>
      </c>
      <c r="C271" s="23" t="s">
        <v>1</v>
      </c>
      <c r="D271" s="10" t="s">
        <v>88</v>
      </c>
      <c r="E271" s="10" t="s">
        <v>63</v>
      </c>
      <c r="F271" s="661" t="s">
        <v>682</v>
      </c>
      <c r="G271" s="662" t="s">
        <v>89</v>
      </c>
      <c r="H271" s="662" t="s">
        <v>73</v>
      </c>
      <c r="I271" s="663" t="s">
        <v>44</v>
      </c>
      <c r="J271" s="256"/>
      <c r="K271" s="24"/>
      <c r="L271" s="24">
        <f>L272</f>
        <v>1000</v>
      </c>
      <c r="M271" s="24">
        <f>M272</f>
        <v>1000</v>
      </c>
    </row>
    <row r="272" spans="1:13" ht="18" customHeight="1" x14ac:dyDescent="0.35">
      <c r="A272" s="11"/>
      <c r="B272" s="626" t="s">
        <v>685</v>
      </c>
      <c r="C272" s="23" t="s">
        <v>1</v>
      </c>
      <c r="D272" s="10" t="s">
        <v>88</v>
      </c>
      <c r="E272" s="10" t="s">
        <v>63</v>
      </c>
      <c r="F272" s="661" t="s">
        <v>682</v>
      </c>
      <c r="G272" s="662" t="s">
        <v>89</v>
      </c>
      <c r="H272" s="662" t="s">
        <v>73</v>
      </c>
      <c r="I272" s="663" t="s">
        <v>684</v>
      </c>
      <c r="J272" s="256"/>
      <c r="K272" s="24"/>
      <c r="L272" s="24">
        <f>L273</f>
        <v>1000</v>
      </c>
      <c r="M272" s="24">
        <f>M273</f>
        <v>1000</v>
      </c>
    </row>
    <row r="273" spans="1:13" ht="18" customHeight="1" x14ac:dyDescent="0.35">
      <c r="A273" s="11"/>
      <c r="B273" s="498" t="s">
        <v>123</v>
      </c>
      <c r="C273" s="23" t="s">
        <v>1</v>
      </c>
      <c r="D273" s="10" t="s">
        <v>88</v>
      </c>
      <c r="E273" s="10" t="s">
        <v>63</v>
      </c>
      <c r="F273" s="661" t="s">
        <v>682</v>
      </c>
      <c r="G273" s="662" t="s">
        <v>89</v>
      </c>
      <c r="H273" s="662" t="s">
        <v>73</v>
      </c>
      <c r="I273" s="663" t="s">
        <v>684</v>
      </c>
      <c r="J273" s="256">
        <v>500</v>
      </c>
      <c r="K273" s="24"/>
      <c r="L273" s="24">
        <f>M273-K273</f>
        <v>1000</v>
      </c>
      <c r="M273" s="24">
        <v>1000</v>
      </c>
    </row>
    <row r="274" spans="1:13" ht="123.6" customHeight="1" x14ac:dyDescent="0.35">
      <c r="A274" s="11"/>
      <c r="B274" s="498" t="s">
        <v>765</v>
      </c>
      <c r="C274" s="23" t="s">
        <v>1</v>
      </c>
      <c r="D274" s="10" t="s">
        <v>88</v>
      </c>
      <c r="E274" s="10" t="s">
        <v>63</v>
      </c>
      <c r="F274" s="661" t="s">
        <v>682</v>
      </c>
      <c r="G274" s="662" t="s">
        <v>89</v>
      </c>
      <c r="H274" s="662" t="s">
        <v>762</v>
      </c>
      <c r="I274" s="663" t="s">
        <v>44</v>
      </c>
      <c r="J274" s="256"/>
      <c r="K274" s="24"/>
      <c r="L274" s="24">
        <f>L275</f>
        <v>245</v>
      </c>
      <c r="M274" s="24">
        <f>M275</f>
        <v>245</v>
      </c>
    </row>
    <row r="275" spans="1:13" ht="18" customHeight="1" x14ac:dyDescent="0.35">
      <c r="A275" s="11"/>
      <c r="B275" s="626" t="s">
        <v>685</v>
      </c>
      <c r="C275" s="23" t="s">
        <v>1</v>
      </c>
      <c r="D275" s="10" t="s">
        <v>88</v>
      </c>
      <c r="E275" s="10" t="s">
        <v>63</v>
      </c>
      <c r="F275" s="661" t="s">
        <v>682</v>
      </c>
      <c r="G275" s="662" t="s">
        <v>89</v>
      </c>
      <c r="H275" s="662" t="s">
        <v>762</v>
      </c>
      <c r="I275" s="663" t="s">
        <v>684</v>
      </c>
      <c r="J275" s="256"/>
      <c r="K275" s="24"/>
      <c r="L275" s="24">
        <f>L276</f>
        <v>245</v>
      </c>
      <c r="M275" s="24">
        <f>M276</f>
        <v>245</v>
      </c>
    </row>
    <row r="276" spans="1:13" ht="18" customHeight="1" x14ac:dyDescent="0.35">
      <c r="A276" s="11"/>
      <c r="B276" s="498" t="s">
        <v>123</v>
      </c>
      <c r="C276" s="23" t="s">
        <v>1</v>
      </c>
      <c r="D276" s="10" t="s">
        <v>88</v>
      </c>
      <c r="E276" s="10" t="s">
        <v>63</v>
      </c>
      <c r="F276" s="661" t="s">
        <v>682</v>
      </c>
      <c r="G276" s="662" t="s">
        <v>89</v>
      </c>
      <c r="H276" s="662" t="s">
        <v>762</v>
      </c>
      <c r="I276" s="663" t="s">
        <v>684</v>
      </c>
      <c r="J276" s="256">
        <v>500</v>
      </c>
      <c r="K276" s="24"/>
      <c r="L276" s="24">
        <f>M276-K276</f>
        <v>245</v>
      </c>
      <c r="M276" s="24">
        <v>245</v>
      </c>
    </row>
    <row r="277" spans="1:13" ht="100.2" customHeight="1" x14ac:dyDescent="0.35">
      <c r="A277" s="11"/>
      <c r="B277" s="498" t="s">
        <v>766</v>
      </c>
      <c r="C277" s="23" t="s">
        <v>1</v>
      </c>
      <c r="D277" s="10" t="s">
        <v>88</v>
      </c>
      <c r="E277" s="10" t="s">
        <v>63</v>
      </c>
      <c r="F277" s="661" t="s">
        <v>682</v>
      </c>
      <c r="G277" s="662" t="s">
        <v>89</v>
      </c>
      <c r="H277" s="662" t="s">
        <v>41</v>
      </c>
      <c r="I277" s="663" t="s">
        <v>44</v>
      </c>
      <c r="J277" s="256"/>
      <c r="K277" s="24"/>
      <c r="L277" s="24">
        <f>L278</f>
        <v>975</v>
      </c>
      <c r="M277" s="24">
        <f>M278</f>
        <v>975</v>
      </c>
    </row>
    <row r="278" spans="1:13" ht="18" customHeight="1" x14ac:dyDescent="0.35">
      <c r="A278" s="11"/>
      <c r="B278" s="626" t="s">
        <v>685</v>
      </c>
      <c r="C278" s="23" t="s">
        <v>1</v>
      </c>
      <c r="D278" s="10" t="s">
        <v>88</v>
      </c>
      <c r="E278" s="10" t="s">
        <v>63</v>
      </c>
      <c r="F278" s="661" t="s">
        <v>682</v>
      </c>
      <c r="G278" s="662" t="s">
        <v>89</v>
      </c>
      <c r="H278" s="662" t="s">
        <v>41</v>
      </c>
      <c r="I278" s="663" t="s">
        <v>684</v>
      </c>
      <c r="J278" s="256"/>
      <c r="K278" s="24"/>
      <c r="L278" s="24">
        <f>L279</f>
        <v>975</v>
      </c>
      <c r="M278" s="24">
        <f>M279</f>
        <v>975</v>
      </c>
    </row>
    <row r="279" spans="1:13" ht="18" customHeight="1" x14ac:dyDescent="0.35">
      <c r="A279" s="11"/>
      <c r="B279" s="498" t="s">
        <v>123</v>
      </c>
      <c r="C279" s="23" t="s">
        <v>1</v>
      </c>
      <c r="D279" s="10" t="s">
        <v>88</v>
      </c>
      <c r="E279" s="10" t="s">
        <v>63</v>
      </c>
      <c r="F279" s="661" t="s">
        <v>682</v>
      </c>
      <c r="G279" s="662" t="s">
        <v>89</v>
      </c>
      <c r="H279" s="662" t="s">
        <v>41</v>
      </c>
      <c r="I279" s="663" t="s">
        <v>684</v>
      </c>
      <c r="J279" s="256">
        <v>500</v>
      </c>
      <c r="K279" s="24"/>
      <c r="L279" s="24">
        <f>M279-K279</f>
        <v>975</v>
      </c>
      <c r="M279" s="24">
        <v>975</v>
      </c>
    </row>
    <row r="280" spans="1:13" ht="56.4" customHeight="1" x14ac:dyDescent="0.35">
      <c r="A280" s="11"/>
      <c r="B280" s="498" t="s">
        <v>767</v>
      </c>
      <c r="C280" s="23" t="s">
        <v>1</v>
      </c>
      <c r="D280" s="10" t="s">
        <v>88</v>
      </c>
      <c r="E280" s="10" t="s">
        <v>63</v>
      </c>
      <c r="F280" s="661" t="s">
        <v>682</v>
      </c>
      <c r="G280" s="662" t="s">
        <v>89</v>
      </c>
      <c r="H280" s="662" t="s">
        <v>674</v>
      </c>
      <c r="I280" s="663" t="s">
        <v>44</v>
      </c>
      <c r="J280" s="256"/>
      <c r="K280" s="24"/>
      <c r="L280" s="24">
        <f>L281</f>
        <v>300</v>
      </c>
      <c r="M280" s="24">
        <f>M281</f>
        <v>300</v>
      </c>
    </row>
    <row r="281" spans="1:13" ht="18" customHeight="1" x14ac:dyDescent="0.35">
      <c r="A281" s="11"/>
      <c r="B281" s="626" t="s">
        <v>685</v>
      </c>
      <c r="C281" s="23" t="s">
        <v>1</v>
      </c>
      <c r="D281" s="10" t="s">
        <v>88</v>
      </c>
      <c r="E281" s="10" t="s">
        <v>63</v>
      </c>
      <c r="F281" s="661" t="s">
        <v>682</v>
      </c>
      <c r="G281" s="662" t="s">
        <v>89</v>
      </c>
      <c r="H281" s="662" t="s">
        <v>674</v>
      </c>
      <c r="I281" s="663" t="s">
        <v>684</v>
      </c>
      <c r="J281" s="256"/>
      <c r="K281" s="24"/>
      <c r="L281" s="24">
        <f>L282</f>
        <v>300</v>
      </c>
      <c r="M281" s="24">
        <f>M282</f>
        <v>300</v>
      </c>
    </row>
    <row r="282" spans="1:13" ht="18" customHeight="1" x14ac:dyDescent="0.35">
      <c r="A282" s="11"/>
      <c r="B282" s="498" t="s">
        <v>123</v>
      </c>
      <c r="C282" s="23" t="s">
        <v>1</v>
      </c>
      <c r="D282" s="10" t="s">
        <v>88</v>
      </c>
      <c r="E282" s="10" t="s">
        <v>63</v>
      </c>
      <c r="F282" s="661" t="s">
        <v>682</v>
      </c>
      <c r="G282" s="662" t="s">
        <v>89</v>
      </c>
      <c r="H282" s="662" t="s">
        <v>674</v>
      </c>
      <c r="I282" s="663" t="s">
        <v>684</v>
      </c>
      <c r="J282" s="256">
        <v>500</v>
      </c>
      <c r="K282" s="24"/>
      <c r="L282" s="24">
        <f>M282-K282</f>
        <v>300</v>
      </c>
      <c r="M282" s="24">
        <v>300</v>
      </c>
    </row>
    <row r="283" spans="1:13" ht="114.6" customHeight="1" x14ac:dyDescent="0.35">
      <c r="A283" s="11"/>
      <c r="B283" s="498" t="s">
        <v>768</v>
      </c>
      <c r="C283" s="23" t="s">
        <v>1</v>
      </c>
      <c r="D283" s="10" t="s">
        <v>88</v>
      </c>
      <c r="E283" s="10" t="s">
        <v>63</v>
      </c>
      <c r="F283" s="661" t="s">
        <v>682</v>
      </c>
      <c r="G283" s="662" t="s">
        <v>89</v>
      </c>
      <c r="H283" s="662" t="s">
        <v>592</v>
      </c>
      <c r="I283" s="663" t="s">
        <v>44</v>
      </c>
      <c r="J283" s="256"/>
      <c r="K283" s="24"/>
      <c r="L283" s="24">
        <f>L284</f>
        <v>1480</v>
      </c>
      <c r="M283" s="24">
        <f>M284</f>
        <v>1480</v>
      </c>
    </row>
    <row r="284" spans="1:13" ht="18" customHeight="1" x14ac:dyDescent="0.35">
      <c r="A284" s="11"/>
      <c r="B284" s="626" t="s">
        <v>685</v>
      </c>
      <c r="C284" s="23" t="s">
        <v>1</v>
      </c>
      <c r="D284" s="10" t="s">
        <v>88</v>
      </c>
      <c r="E284" s="10" t="s">
        <v>63</v>
      </c>
      <c r="F284" s="661" t="s">
        <v>682</v>
      </c>
      <c r="G284" s="662" t="s">
        <v>89</v>
      </c>
      <c r="H284" s="662" t="s">
        <v>592</v>
      </c>
      <c r="I284" s="663" t="s">
        <v>684</v>
      </c>
      <c r="J284" s="256"/>
      <c r="K284" s="24"/>
      <c r="L284" s="24">
        <f>L285</f>
        <v>1480</v>
      </c>
      <c r="M284" s="24">
        <f>M285</f>
        <v>1480</v>
      </c>
    </row>
    <row r="285" spans="1:13" ht="18" customHeight="1" x14ac:dyDescent="0.35">
      <c r="A285" s="11"/>
      <c r="B285" s="498" t="s">
        <v>123</v>
      </c>
      <c r="C285" s="23" t="s">
        <v>1</v>
      </c>
      <c r="D285" s="10" t="s">
        <v>88</v>
      </c>
      <c r="E285" s="10" t="s">
        <v>63</v>
      </c>
      <c r="F285" s="661" t="s">
        <v>682</v>
      </c>
      <c r="G285" s="662" t="s">
        <v>89</v>
      </c>
      <c r="H285" s="662" t="s">
        <v>592</v>
      </c>
      <c r="I285" s="663" t="s">
        <v>684</v>
      </c>
      <c r="J285" s="256">
        <v>500</v>
      </c>
      <c r="K285" s="24"/>
      <c r="L285" s="24">
        <f>M285-K285</f>
        <v>1480</v>
      </c>
      <c r="M285" s="24">
        <v>1480</v>
      </c>
    </row>
    <row r="286" spans="1:13" ht="36" x14ac:dyDescent="0.35">
      <c r="A286" s="11"/>
      <c r="B286" s="498" t="s">
        <v>450</v>
      </c>
      <c r="C286" s="23" t="s">
        <v>1</v>
      </c>
      <c r="D286" s="10" t="s">
        <v>88</v>
      </c>
      <c r="E286" s="10" t="s">
        <v>63</v>
      </c>
      <c r="F286" s="661" t="s">
        <v>68</v>
      </c>
      <c r="G286" s="662" t="s">
        <v>42</v>
      </c>
      <c r="H286" s="662" t="s">
        <v>43</v>
      </c>
      <c r="I286" s="663" t="s">
        <v>44</v>
      </c>
      <c r="J286" s="256"/>
      <c r="K286" s="24">
        <f t="shared" ref="K286:M288" si="41">K287</f>
        <v>21761.599999999999</v>
      </c>
      <c r="L286" s="24">
        <f t="shared" si="41"/>
        <v>0</v>
      </c>
      <c r="M286" s="24">
        <f t="shared" si="41"/>
        <v>21761.599999999999</v>
      </c>
    </row>
    <row r="287" spans="1:13" ht="18" customHeight="1" x14ac:dyDescent="0.35">
      <c r="A287" s="11"/>
      <c r="B287" s="498" t="s">
        <v>451</v>
      </c>
      <c r="C287" s="23" t="s">
        <v>1</v>
      </c>
      <c r="D287" s="10" t="s">
        <v>88</v>
      </c>
      <c r="E287" s="10" t="s">
        <v>63</v>
      </c>
      <c r="F287" s="661" t="s">
        <v>68</v>
      </c>
      <c r="G287" s="662" t="s">
        <v>45</v>
      </c>
      <c r="H287" s="662" t="s">
        <v>43</v>
      </c>
      <c r="I287" s="663" t="s">
        <v>44</v>
      </c>
      <c r="J287" s="256"/>
      <c r="K287" s="24">
        <f t="shared" si="41"/>
        <v>21761.599999999999</v>
      </c>
      <c r="L287" s="24">
        <f t="shared" si="41"/>
        <v>0</v>
      </c>
      <c r="M287" s="24">
        <f t="shared" si="41"/>
        <v>21761.599999999999</v>
      </c>
    </row>
    <row r="288" spans="1:13" ht="36" x14ac:dyDescent="0.35">
      <c r="A288" s="11"/>
      <c r="B288" s="498" t="s">
        <v>710</v>
      </c>
      <c r="C288" s="23" t="s">
        <v>1</v>
      </c>
      <c r="D288" s="10" t="s">
        <v>88</v>
      </c>
      <c r="E288" s="10" t="s">
        <v>63</v>
      </c>
      <c r="F288" s="661" t="s">
        <v>68</v>
      </c>
      <c r="G288" s="662" t="s">
        <v>45</v>
      </c>
      <c r="H288" s="662" t="s">
        <v>43</v>
      </c>
      <c r="I288" s="663" t="s">
        <v>711</v>
      </c>
      <c r="J288" s="256"/>
      <c r="K288" s="24">
        <f t="shared" si="41"/>
        <v>21761.599999999999</v>
      </c>
      <c r="L288" s="24">
        <f t="shared" si="41"/>
        <v>0</v>
      </c>
      <c r="M288" s="24">
        <f t="shared" si="41"/>
        <v>21761.599999999999</v>
      </c>
    </row>
    <row r="289" spans="1:13" ht="18" customHeight="1" x14ac:dyDescent="0.35">
      <c r="A289" s="11"/>
      <c r="B289" s="498" t="s">
        <v>123</v>
      </c>
      <c r="C289" s="23" t="s">
        <v>1</v>
      </c>
      <c r="D289" s="10" t="s">
        <v>88</v>
      </c>
      <c r="E289" s="10" t="s">
        <v>63</v>
      </c>
      <c r="F289" s="661" t="s">
        <v>68</v>
      </c>
      <c r="G289" s="662" t="s">
        <v>45</v>
      </c>
      <c r="H289" s="662" t="s">
        <v>43</v>
      </c>
      <c r="I289" s="663" t="s">
        <v>711</v>
      </c>
      <c r="J289" s="256">
        <v>500</v>
      </c>
      <c r="K289" s="24">
        <f>11161.2+10600.4</f>
        <v>21761.599999999999</v>
      </c>
      <c r="L289" s="24">
        <f>M289-K289</f>
        <v>0</v>
      </c>
      <c r="M289" s="24">
        <f>11161.2+10600.4</f>
        <v>21761.599999999999</v>
      </c>
    </row>
    <row r="290" spans="1:13" ht="18" customHeight="1" x14ac:dyDescent="0.35">
      <c r="A290" s="11"/>
      <c r="B290" s="498"/>
      <c r="C290" s="23"/>
      <c r="D290" s="10"/>
      <c r="E290" s="10"/>
      <c r="F290" s="661"/>
      <c r="G290" s="662"/>
      <c r="H290" s="662"/>
      <c r="I290" s="663"/>
      <c r="J290" s="256"/>
      <c r="K290" s="24"/>
      <c r="L290" s="24"/>
      <c r="M290" s="24"/>
    </row>
    <row r="291" spans="1:13" ht="52.2" customHeight="1" x14ac:dyDescent="0.3">
      <c r="A291" s="110">
        <v>2</v>
      </c>
      <c r="B291" s="535" t="s">
        <v>2</v>
      </c>
      <c r="C291" s="18" t="s">
        <v>307</v>
      </c>
      <c r="D291" s="19"/>
      <c r="E291" s="19"/>
      <c r="F291" s="20"/>
      <c r="G291" s="21"/>
      <c r="H291" s="21"/>
      <c r="I291" s="22"/>
      <c r="J291" s="19"/>
      <c r="K291" s="32">
        <f>K292+K325+K318</f>
        <v>53072.7</v>
      </c>
      <c r="L291" s="32">
        <f>L292+L325+L318</f>
        <v>0</v>
      </c>
      <c r="M291" s="32">
        <f>M292+M325+M318</f>
        <v>53072.7</v>
      </c>
    </row>
    <row r="292" spans="1:13" s="112" customFormat="1" ht="18" customHeight="1" x14ac:dyDescent="0.35">
      <c r="A292" s="11"/>
      <c r="B292" s="498" t="s">
        <v>36</v>
      </c>
      <c r="C292" s="23" t="s">
        <v>307</v>
      </c>
      <c r="D292" s="10" t="s">
        <v>37</v>
      </c>
      <c r="E292" s="10"/>
      <c r="F292" s="661"/>
      <c r="G292" s="662"/>
      <c r="H292" s="662"/>
      <c r="I292" s="663"/>
      <c r="J292" s="10"/>
      <c r="K292" s="24">
        <f>K293+K306</f>
        <v>34577.699999999997</v>
      </c>
      <c r="L292" s="24">
        <f>L293+L306</f>
        <v>0</v>
      </c>
      <c r="M292" s="24">
        <f>M293+M306</f>
        <v>34577.699999999997</v>
      </c>
    </row>
    <row r="293" spans="1:13" s="113" customFormat="1" ht="72" customHeight="1" x14ac:dyDescent="0.35">
      <c r="A293" s="11"/>
      <c r="B293" s="498" t="s">
        <v>129</v>
      </c>
      <c r="C293" s="23" t="s">
        <v>307</v>
      </c>
      <c r="D293" s="10" t="s">
        <v>37</v>
      </c>
      <c r="E293" s="10" t="s">
        <v>81</v>
      </c>
      <c r="F293" s="661"/>
      <c r="G293" s="662"/>
      <c r="H293" s="662"/>
      <c r="I293" s="663"/>
      <c r="J293" s="10"/>
      <c r="K293" s="24">
        <f t="shared" ref="K293:M294" si="42">K294</f>
        <v>31426.6</v>
      </c>
      <c r="L293" s="24">
        <f t="shared" si="42"/>
        <v>-253.20000000000005</v>
      </c>
      <c r="M293" s="24">
        <f t="shared" si="42"/>
        <v>31173.399999999998</v>
      </c>
    </row>
    <row r="294" spans="1:13" s="111" customFormat="1" ht="54" customHeight="1" x14ac:dyDescent="0.35">
      <c r="A294" s="11"/>
      <c r="B294" s="498" t="s">
        <v>223</v>
      </c>
      <c r="C294" s="23" t="s">
        <v>307</v>
      </c>
      <c r="D294" s="10" t="s">
        <v>37</v>
      </c>
      <c r="E294" s="10" t="s">
        <v>81</v>
      </c>
      <c r="F294" s="661" t="s">
        <v>224</v>
      </c>
      <c r="G294" s="662" t="s">
        <v>42</v>
      </c>
      <c r="H294" s="662" t="s">
        <v>43</v>
      </c>
      <c r="I294" s="663" t="s">
        <v>44</v>
      </c>
      <c r="J294" s="10"/>
      <c r="K294" s="24">
        <f t="shared" si="42"/>
        <v>31426.6</v>
      </c>
      <c r="L294" s="24">
        <f t="shared" si="42"/>
        <v>-253.20000000000005</v>
      </c>
      <c r="M294" s="24">
        <f t="shared" si="42"/>
        <v>31173.399999999998</v>
      </c>
    </row>
    <row r="295" spans="1:13" s="111" customFormat="1" ht="36" customHeight="1" x14ac:dyDescent="0.35">
      <c r="A295" s="11"/>
      <c r="B295" s="498" t="s">
        <v>344</v>
      </c>
      <c r="C295" s="23" t="s">
        <v>307</v>
      </c>
      <c r="D295" s="10" t="s">
        <v>37</v>
      </c>
      <c r="E295" s="10" t="s">
        <v>81</v>
      </c>
      <c r="F295" s="25" t="s">
        <v>224</v>
      </c>
      <c r="G295" s="26" t="s">
        <v>45</v>
      </c>
      <c r="H295" s="662" t="s">
        <v>43</v>
      </c>
      <c r="I295" s="663" t="s">
        <v>44</v>
      </c>
      <c r="J295" s="10"/>
      <c r="K295" s="24">
        <f>K296+K303</f>
        <v>31426.6</v>
      </c>
      <c r="L295" s="24">
        <f>L296+L303</f>
        <v>-253.20000000000005</v>
      </c>
      <c r="M295" s="24">
        <f>M296+M303</f>
        <v>31173.399999999998</v>
      </c>
    </row>
    <row r="296" spans="1:13" s="111" customFormat="1" ht="54" customHeight="1" x14ac:dyDescent="0.35">
      <c r="A296" s="11"/>
      <c r="B296" s="498" t="s">
        <v>308</v>
      </c>
      <c r="C296" s="23" t="s">
        <v>307</v>
      </c>
      <c r="D296" s="10" t="s">
        <v>37</v>
      </c>
      <c r="E296" s="10" t="s">
        <v>81</v>
      </c>
      <c r="F296" s="25" t="s">
        <v>224</v>
      </c>
      <c r="G296" s="26" t="s">
        <v>45</v>
      </c>
      <c r="H296" s="662" t="s">
        <v>37</v>
      </c>
      <c r="I296" s="663" t="s">
        <v>44</v>
      </c>
      <c r="J296" s="10"/>
      <c r="K296" s="24">
        <f>K297+K301</f>
        <v>30700.399999999998</v>
      </c>
      <c r="L296" s="24">
        <f>L297+L301</f>
        <v>-253.20000000000005</v>
      </c>
      <c r="M296" s="24">
        <f>M297+M301</f>
        <v>30447.199999999997</v>
      </c>
    </row>
    <row r="297" spans="1:13" s="111" customFormat="1" ht="36" customHeight="1" x14ac:dyDescent="0.35">
      <c r="A297" s="11"/>
      <c r="B297" s="498" t="s">
        <v>47</v>
      </c>
      <c r="C297" s="23" t="s">
        <v>307</v>
      </c>
      <c r="D297" s="10" t="s">
        <v>37</v>
      </c>
      <c r="E297" s="10" t="s">
        <v>81</v>
      </c>
      <c r="F297" s="25" t="s">
        <v>224</v>
      </c>
      <c r="G297" s="26" t="s">
        <v>45</v>
      </c>
      <c r="H297" s="662" t="s">
        <v>37</v>
      </c>
      <c r="I297" s="663" t="s">
        <v>48</v>
      </c>
      <c r="J297" s="10"/>
      <c r="K297" s="24">
        <f>SUM(K298:K300)</f>
        <v>30444.399999999998</v>
      </c>
      <c r="L297" s="24">
        <f>SUM(L298:L300)</f>
        <v>2.7999999999999545</v>
      </c>
      <c r="M297" s="24">
        <f>SUM(M298:M300)</f>
        <v>30447.199999999997</v>
      </c>
    </row>
    <row r="298" spans="1:13" s="111" customFormat="1" ht="108" customHeight="1" x14ac:dyDescent="0.35">
      <c r="A298" s="11"/>
      <c r="B298" s="498" t="s">
        <v>49</v>
      </c>
      <c r="C298" s="23" t="s">
        <v>307</v>
      </c>
      <c r="D298" s="10" t="s">
        <v>37</v>
      </c>
      <c r="E298" s="10" t="s">
        <v>81</v>
      </c>
      <c r="F298" s="25" t="s">
        <v>224</v>
      </c>
      <c r="G298" s="26" t="s">
        <v>45</v>
      </c>
      <c r="H298" s="662" t="s">
        <v>37</v>
      </c>
      <c r="I298" s="663" t="s">
        <v>48</v>
      </c>
      <c r="J298" s="10" t="s">
        <v>50</v>
      </c>
      <c r="K298" s="24">
        <f>29637.3-280.5+280.5-40.4</f>
        <v>29596.899999999998</v>
      </c>
      <c r="L298" s="24">
        <f>M298-K298</f>
        <v>0</v>
      </c>
      <c r="M298" s="24">
        <f>29637.3-280.5+280.5-40.4</f>
        <v>29596.899999999998</v>
      </c>
    </row>
    <row r="299" spans="1:13" s="111" customFormat="1" ht="54" customHeight="1" x14ac:dyDescent="0.35">
      <c r="A299" s="11"/>
      <c r="B299" s="498" t="s">
        <v>55</v>
      </c>
      <c r="C299" s="23" t="s">
        <v>307</v>
      </c>
      <c r="D299" s="10" t="s">
        <v>37</v>
      </c>
      <c r="E299" s="10" t="s">
        <v>81</v>
      </c>
      <c r="F299" s="25" t="s">
        <v>224</v>
      </c>
      <c r="G299" s="26" t="s">
        <v>45</v>
      </c>
      <c r="H299" s="662" t="s">
        <v>37</v>
      </c>
      <c r="I299" s="663" t="s">
        <v>48</v>
      </c>
      <c r="J299" s="10" t="s">
        <v>56</v>
      </c>
      <c r="K299" s="24">
        <f>714.5+40.4+88</f>
        <v>842.9</v>
      </c>
      <c r="L299" s="24">
        <f>M299-K299</f>
        <v>2.7999999999999545</v>
      </c>
      <c r="M299" s="24">
        <f>714.5+40.4+88+2.8</f>
        <v>845.69999999999993</v>
      </c>
    </row>
    <row r="300" spans="1:13" s="113" customFormat="1" ht="18" customHeight="1" x14ac:dyDescent="0.35">
      <c r="A300" s="11"/>
      <c r="B300" s="498" t="s">
        <v>57</v>
      </c>
      <c r="C300" s="23" t="s">
        <v>307</v>
      </c>
      <c r="D300" s="10" t="s">
        <v>37</v>
      </c>
      <c r="E300" s="10" t="s">
        <v>81</v>
      </c>
      <c r="F300" s="25" t="s">
        <v>224</v>
      </c>
      <c r="G300" s="26" t="s">
        <v>45</v>
      </c>
      <c r="H300" s="662" t="s">
        <v>37</v>
      </c>
      <c r="I300" s="663" t="s">
        <v>48</v>
      </c>
      <c r="J300" s="10" t="s">
        <v>58</v>
      </c>
      <c r="K300" s="24">
        <v>4.5999999999999996</v>
      </c>
      <c r="L300" s="24">
        <f>M300-K300</f>
        <v>0</v>
      </c>
      <c r="M300" s="24">
        <v>4.5999999999999996</v>
      </c>
    </row>
    <row r="301" spans="1:13" s="113" customFormat="1" ht="18" customHeight="1" x14ac:dyDescent="0.35">
      <c r="A301" s="11"/>
      <c r="B301" s="498" t="s">
        <v>467</v>
      </c>
      <c r="C301" s="23" t="s">
        <v>307</v>
      </c>
      <c r="D301" s="10" t="s">
        <v>37</v>
      </c>
      <c r="E301" s="10" t="s">
        <v>81</v>
      </c>
      <c r="F301" s="25" t="s">
        <v>224</v>
      </c>
      <c r="G301" s="26" t="s">
        <v>45</v>
      </c>
      <c r="H301" s="662" t="s">
        <v>37</v>
      </c>
      <c r="I301" s="663" t="s">
        <v>384</v>
      </c>
      <c r="J301" s="10"/>
      <c r="K301" s="24">
        <f>K302</f>
        <v>256</v>
      </c>
      <c r="L301" s="24">
        <f>L302</f>
        <v>-256</v>
      </c>
      <c r="M301" s="24">
        <f>M302</f>
        <v>0</v>
      </c>
    </row>
    <row r="302" spans="1:13" s="113" customFormat="1" ht="54" x14ac:dyDescent="0.35">
      <c r="A302" s="11"/>
      <c r="B302" s="498" t="s">
        <v>55</v>
      </c>
      <c r="C302" s="23" t="s">
        <v>307</v>
      </c>
      <c r="D302" s="10" t="s">
        <v>37</v>
      </c>
      <c r="E302" s="10" t="s">
        <v>81</v>
      </c>
      <c r="F302" s="25" t="s">
        <v>224</v>
      </c>
      <c r="G302" s="26" t="s">
        <v>45</v>
      </c>
      <c r="H302" s="662" t="s">
        <v>37</v>
      </c>
      <c r="I302" s="663" t="s">
        <v>384</v>
      </c>
      <c r="J302" s="10" t="s">
        <v>56</v>
      </c>
      <c r="K302" s="24">
        <v>256</v>
      </c>
      <c r="L302" s="24">
        <f>M302-K302</f>
        <v>-256</v>
      </c>
      <c r="M302" s="24">
        <f>256-256</f>
        <v>0</v>
      </c>
    </row>
    <row r="303" spans="1:13" s="113" customFormat="1" ht="54" customHeight="1" x14ac:dyDescent="0.35">
      <c r="A303" s="11"/>
      <c r="B303" s="566" t="s">
        <v>661</v>
      </c>
      <c r="C303" s="23" t="s">
        <v>307</v>
      </c>
      <c r="D303" s="10" t="s">
        <v>37</v>
      </c>
      <c r="E303" s="10" t="s">
        <v>81</v>
      </c>
      <c r="F303" s="25" t="s">
        <v>224</v>
      </c>
      <c r="G303" s="26" t="s">
        <v>45</v>
      </c>
      <c r="H303" s="662" t="s">
        <v>52</v>
      </c>
      <c r="I303" s="663" t="s">
        <v>44</v>
      </c>
      <c r="J303" s="10"/>
      <c r="K303" s="24">
        <f t="shared" ref="K303:M304" si="43">K304</f>
        <v>726.2</v>
      </c>
      <c r="L303" s="24">
        <f t="shared" si="43"/>
        <v>0</v>
      </c>
      <c r="M303" s="24">
        <f t="shared" si="43"/>
        <v>726.2</v>
      </c>
    </row>
    <row r="304" spans="1:13" s="113" customFormat="1" ht="36" customHeight="1" x14ac:dyDescent="0.35">
      <c r="A304" s="11"/>
      <c r="B304" s="566" t="s">
        <v>660</v>
      </c>
      <c r="C304" s="23" t="s">
        <v>307</v>
      </c>
      <c r="D304" s="10" t="s">
        <v>37</v>
      </c>
      <c r="E304" s="10" t="s">
        <v>81</v>
      </c>
      <c r="F304" s="25" t="s">
        <v>224</v>
      </c>
      <c r="G304" s="26" t="s">
        <v>45</v>
      </c>
      <c r="H304" s="662" t="s">
        <v>52</v>
      </c>
      <c r="I304" s="663" t="s">
        <v>662</v>
      </c>
      <c r="J304" s="10"/>
      <c r="K304" s="24">
        <f t="shared" si="43"/>
        <v>726.2</v>
      </c>
      <c r="L304" s="24">
        <f t="shared" si="43"/>
        <v>0</v>
      </c>
      <c r="M304" s="24">
        <f t="shared" si="43"/>
        <v>726.2</v>
      </c>
    </row>
    <row r="305" spans="1:13" s="113" customFormat="1" ht="108" customHeight="1" x14ac:dyDescent="0.35">
      <c r="A305" s="11"/>
      <c r="B305" s="566" t="s">
        <v>49</v>
      </c>
      <c r="C305" s="23" t="s">
        <v>307</v>
      </c>
      <c r="D305" s="10" t="s">
        <v>37</v>
      </c>
      <c r="E305" s="10" t="s">
        <v>81</v>
      </c>
      <c r="F305" s="25" t="s">
        <v>224</v>
      </c>
      <c r="G305" s="26" t="s">
        <v>45</v>
      </c>
      <c r="H305" s="662" t="s">
        <v>52</v>
      </c>
      <c r="I305" s="663" t="s">
        <v>662</v>
      </c>
      <c r="J305" s="10" t="s">
        <v>50</v>
      </c>
      <c r="K305" s="24">
        <f>280.5+445.7</f>
        <v>726.2</v>
      </c>
      <c r="L305" s="24">
        <f>M305-K305</f>
        <v>0</v>
      </c>
      <c r="M305" s="24">
        <f>280.5+445.7</f>
        <v>726.2</v>
      </c>
    </row>
    <row r="306" spans="1:13" s="111" customFormat="1" ht="18" customHeight="1" x14ac:dyDescent="0.35">
      <c r="A306" s="11"/>
      <c r="B306" s="498" t="s">
        <v>70</v>
      </c>
      <c r="C306" s="23" t="s">
        <v>307</v>
      </c>
      <c r="D306" s="10" t="s">
        <v>37</v>
      </c>
      <c r="E306" s="10" t="s">
        <v>71</v>
      </c>
      <c r="F306" s="25"/>
      <c r="G306" s="26"/>
      <c r="H306" s="662"/>
      <c r="I306" s="663"/>
      <c r="J306" s="10"/>
      <c r="K306" s="24">
        <f t="shared" ref="K306:M313" si="44">K307</f>
        <v>3151.1</v>
      </c>
      <c r="L306" s="24">
        <f t="shared" si="44"/>
        <v>253.2</v>
      </c>
      <c r="M306" s="24">
        <f t="shared" si="44"/>
        <v>3404.3</v>
      </c>
    </row>
    <row r="307" spans="1:13" s="111" customFormat="1" ht="54" customHeight="1" x14ac:dyDescent="0.35">
      <c r="A307" s="11"/>
      <c r="B307" s="498" t="s">
        <v>223</v>
      </c>
      <c r="C307" s="23" t="s">
        <v>307</v>
      </c>
      <c r="D307" s="10" t="s">
        <v>37</v>
      </c>
      <c r="E307" s="10" t="s">
        <v>71</v>
      </c>
      <c r="F307" s="25" t="s">
        <v>224</v>
      </c>
      <c r="G307" s="26" t="s">
        <v>42</v>
      </c>
      <c r="H307" s="662" t="s">
        <v>43</v>
      </c>
      <c r="I307" s="663" t="s">
        <v>44</v>
      </c>
      <c r="J307" s="10"/>
      <c r="K307" s="24">
        <f t="shared" si="44"/>
        <v>3151.1</v>
      </c>
      <c r="L307" s="24">
        <f t="shared" si="44"/>
        <v>253.2</v>
      </c>
      <c r="M307" s="24">
        <f t="shared" si="44"/>
        <v>3404.3</v>
      </c>
    </row>
    <row r="308" spans="1:13" s="7" customFormat="1" ht="36" customHeight="1" x14ac:dyDescent="0.35">
      <c r="A308" s="11"/>
      <c r="B308" s="498" t="s">
        <v>344</v>
      </c>
      <c r="C308" s="23" t="s">
        <v>307</v>
      </c>
      <c r="D308" s="10" t="s">
        <v>37</v>
      </c>
      <c r="E308" s="10" t="s">
        <v>71</v>
      </c>
      <c r="F308" s="25" t="s">
        <v>224</v>
      </c>
      <c r="G308" s="26" t="s">
        <v>45</v>
      </c>
      <c r="H308" s="662" t="s">
        <v>43</v>
      </c>
      <c r="I308" s="663" t="s">
        <v>44</v>
      </c>
      <c r="J308" s="10"/>
      <c r="K308" s="24">
        <f>K312+K315</f>
        <v>3151.1</v>
      </c>
      <c r="L308" s="24">
        <f>L309+L312+L315</f>
        <v>253.2</v>
      </c>
      <c r="M308" s="24">
        <f>M309+M312+M315</f>
        <v>3404.3</v>
      </c>
    </row>
    <row r="309" spans="1:13" s="7" customFormat="1" ht="54" x14ac:dyDescent="0.35">
      <c r="A309" s="11"/>
      <c r="B309" s="498" t="s">
        <v>308</v>
      </c>
      <c r="C309" s="23" t="s">
        <v>307</v>
      </c>
      <c r="D309" s="10" t="s">
        <v>37</v>
      </c>
      <c r="E309" s="10" t="s">
        <v>71</v>
      </c>
      <c r="F309" s="25" t="s">
        <v>224</v>
      </c>
      <c r="G309" s="26" t="s">
        <v>45</v>
      </c>
      <c r="H309" s="662" t="s">
        <v>37</v>
      </c>
      <c r="I309" s="663" t="s">
        <v>44</v>
      </c>
      <c r="J309" s="10"/>
      <c r="K309" s="24"/>
      <c r="L309" s="24">
        <f>L310</f>
        <v>256</v>
      </c>
      <c r="M309" s="24">
        <f>M310</f>
        <v>256</v>
      </c>
    </row>
    <row r="310" spans="1:13" s="7" customFormat="1" ht="54" x14ac:dyDescent="0.35">
      <c r="A310" s="11"/>
      <c r="B310" s="498" t="s">
        <v>383</v>
      </c>
      <c r="C310" s="23" t="s">
        <v>307</v>
      </c>
      <c r="D310" s="10" t="s">
        <v>37</v>
      </c>
      <c r="E310" s="10" t="s">
        <v>71</v>
      </c>
      <c r="F310" s="25" t="s">
        <v>224</v>
      </c>
      <c r="G310" s="26" t="s">
        <v>45</v>
      </c>
      <c r="H310" s="662" t="s">
        <v>37</v>
      </c>
      <c r="I310" s="663" t="s">
        <v>382</v>
      </c>
      <c r="J310" s="10"/>
      <c r="K310" s="24"/>
      <c r="L310" s="24">
        <f>L311</f>
        <v>256</v>
      </c>
      <c r="M310" s="24">
        <f>M311</f>
        <v>256</v>
      </c>
    </row>
    <row r="311" spans="1:13" s="7" customFormat="1" ht="36" customHeight="1" x14ac:dyDescent="0.35">
      <c r="A311" s="11"/>
      <c r="B311" s="498" t="s">
        <v>55</v>
      </c>
      <c r="C311" s="23" t="s">
        <v>307</v>
      </c>
      <c r="D311" s="10" t="s">
        <v>37</v>
      </c>
      <c r="E311" s="10" t="s">
        <v>71</v>
      </c>
      <c r="F311" s="25" t="s">
        <v>224</v>
      </c>
      <c r="G311" s="26" t="s">
        <v>45</v>
      </c>
      <c r="H311" s="662" t="s">
        <v>37</v>
      </c>
      <c r="I311" s="663" t="s">
        <v>382</v>
      </c>
      <c r="J311" s="10" t="s">
        <v>56</v>
      </c>
      <c r="K311" s="24"/>
      <c r="L311" s="24">
        <f>M311-K311</f>
        <v>256</v>
      </c>
      <c r="M311" s="24">
        <v>256</v>
      </c>
    </row>
    <row r="312" spans="1:13" s="111" customFormat="1" ht="36" customHeight="1" x14ac:dyDescent="0.35">
      <c r="A312" s="11"/>
      <c r="B312" s="498" t="s">
        <v>356</v>
      </c>
      <c r="C312" s="23" t="s">
        <v>307</v>
      </c>
      <c r="D312" s="10" t="s">
        <v>37</v>
      </c>
      <c r="E312" s="10" t="s">
        <v>71</v>
      </c>
      <c r="F312" s="25" t="s">
        <v>224</v>
      </c>
      <c r="G312" s="26" t="s">
        <v>45</v>
      </c>
      <c r="H312" s="662" t="s">
        <v>63</v>
      </c>
      <c r="I312" s="663" t="s">
        <v>44</v>
      </c>
      <c r="J312" s="10"/>
      <c r="K312" s="24">
        <f>K313</f>
        <v>3133.9</v>
      </c>
      <c r="L312" s="24">
        <f>L313</f>
        <v>0</v>
      </c>
      <c r="M312" s="24">
        <f>M313</f>
        <v>3133.9</v>
      </c>
    </row>
    <row r="313" spans="1:13" s="113" customFormat="1" ht="54" customHeight="1" x14ac:dyDescent="0.35">
      <c r="A313" s="11"/>
      <c r="B313" s="498" t="s">
        <v>357</v>
      </c>
      <c r="C313" s="23" t="s">
        <v>307</v>
      </c>
      <c r="D313" s="10" t="s">
        <v>37</v>
      </c>
      <c r="E313" s="10" t="s">
        <v>71</v>
      </c>
      <c r="F313" s="25" t="s">
        <v>224</v>
      </c>
      <c r="G313" s="26" t="s">
        <v>45</v>
      </c>
      <c r="H313" s="662" t="s">
        <v>63</v>
      </c>
      <c r="I313" s="663" t="s">
        <v>105</v>
      </c>
      <c r="J313" s="10"/>
      <c r="K313" s="24">
        <f t="shared" si="44"/>
        <v>3133.9</v>
      </c>
      <c r="L313" s="24">
        <f t="shared" si="44"/>
        <v>0</v>
      </c>
      <c r="M313" s="24">
        <f t="shared" si="44"/>
        <v>3133.9</v>
      </c>
    </row>
    <row r="314" spans="1:13" s="113" customFormat="1" ht="54" customHeight="1" x14ac:dyDescent="0.35">
      <c r="A314" s="11"/>
      <c r="B314" s="498" t="s">
        <v>55</v>
      </c>
      <c r="C314" s="23" t="s">
        <v>307</v>
      </c>
      <c r="D314" s="10" t="s">
        <v>37</v>
      </c>
      <c r="E314" s="10" t="s">
        <v>71</v>
      </c>
      <c r="F314" s="25" t="s">
        <v>224</v>
      </c>
      <c r="G314" s="26" t="s">
        <v>45</v>
      </c>
      <c r="H314" s="662" t="s">
        <v>63</v>
      </c>
      <c r="I314" s="663" t="s">
        <v>105</v>
      </c>
      <c r="J314" s="10" t="s">
        <v>56</v>
      </c>
      <c r="K314" s="24">
        <f>3427.9-256-38</f>
        <v>3133.9</v>
      </c>
      <c r="L314" s="24">
        <f>M314-K314</f>
        <v>0</v>
      </c>
      <c r="M314" s="24">
        <f>3427.9-256-38</f>
        <v>3133.9</v>
      </c>
    </row>
    <row r="315" spans="1:13" s="113" customFormat="1" ht="36" customHeight="1" x14ac:dyDescent="0.35">
      <c r="A315" s="11"/>
      <c r="B315" s="498" t="s">
        <v>470</v>
      </c>
      <c r="C315" s="23" t="s">
        <v>307</v>
      </c>
      <c r="D315" s="10" t="s">
        <v>37</v>
      </c>
      <c r="E315" s="10" t="s">
        <v>71</v>
      </c>
      <c r="F315" s="25" t="s">
        <v>224</v>
      </c>
      <c r="G315" s="26" t="s">
        <v>45</v>
      </c>
      <c r="H315" s="662" t="s">
        <v>65</v>
      </c>
      <c r="I315" s="663" t="s">
        <v>44</v>
      </c>
      <c r="J315" s="10"/>
      <c r="K315" s="24">
        <f t="shared" ref="K315:M316" si="45">K316</f>
        <v>17.2</v>
      </c>
      <c r="L315" s="24">
        <f t="shared" si="45"/>
        <v>-2.8000000000000007</v>
      </c>
      <c r="M315" s="24">
        <f t="shared" si="45"/>
        <v>14.399999999999999</v>
      </c>
    </row>
    <row r="316" spans="1:13" s="113" customFormat="1" ht="18" customHeight="1" x14ac:dyDescent="0.35">
      <c r="A316" s="11"/>
      <c r="B316" s="498" t="s">
        <v>468</v>
      </c>
      <c r="C316" s="23" t="s">
        <v>307</v>
      </c>
      <c r="D316" s="10" t="s">
        <v>37</v>
      </c>
      <c r="E316" s="10" t="s">
        <v>71</v>
      </c>
      <c r="F316" s="25" t="s">
        <v>224</v>
      </c>
      <c r="G316" s="26" t="s">
        <v>45</v>
      </c>
      <c r="H316" s="662" t="s">
        <v>65</v>
      </c>
      <c r="I316" s="663" t="s">
        <v>469</v>
      </c>
      <c r="J316" s="10"/>
      <c r="K316" s="24">
        <f t="shared" si="45"/>
        <v>17.2</v>
      </c>
      <c r="L316" s="24">
        <f t="shared" si="45"/>
        <v>-2.8000000000000007</v>
      </c>
      <c r="M316" s="24">
        <f t="shared" si="45"/>
        <v>14.399999999999999</v>
      </c>
    </row>
    <row r="317" spans="1:13" s="113" customFormat="1" ht="54" customHeight="1" x14ac:dyDescent="0.35">
      <c r="A317" s="11"/>
      <c r="B317" s="498" t="s">
        <v>55</v>
      </c>
      <c r="C317" s="23" t="s">
        <v>307</v>
      </c>
      <c r="D317" s="10" t="s">
        <v>37</v>
      </c>
      <c r="E317" s="10" t="s">
        <v>71</v>
      </c>
      <c r="F317" s="25" t="s">
        <v>224</v>
      </c>
      <c r="G317" s="26" t="s">
        <v>45</v>
      </c>
      <c r="H317" s="662" t="s">
        <v>65</v>
      </c>
      <c r="I317" s="663" t="s">
        <v>469</v>
      </c>
      <c r="J317" s="10" t="s">
        <v>56</v>
      </c>
      <c r="K317" s="24">
        <v>17.2</v>
      </c>
      <c r="L317" s="24">
        <f>M317-K317</f>
        <v>-2.8000000000000007</v>
      </c>
      <c r="M317" s="24">
        <f>17.2-2.8</f>
        <v>14.399999999999999</v>
      </c>
    </row>
    <row r="318" spans="1:13" s="113" customFormat="1" ht="18" customHeight="1" x14ac:dyDescent="0.35">
      <c r="A318" s="11"/>
      <c r="B318" s="498" t="s">
        <v>179</v>
      </c>
      <c r="C318" s="23" t="s">
        <v>307</v>
      </c>
      <c r="D318" s="10" t="s">
        <v>224</v>
      </c>
      <c r="E318" s="10"/>
      <c r="F318" s="25"/>
      <c r="G318" s="26"/>
      <c r="H318" s="662"/>
      <c r="I318" s="663"/>
      <c r="J318" s="10"/>
      <c r="K318" s="24">
        <f t="shared" ref="K318:M323" si="46">K319</f>
        <v>65.599999999999994</v>
      </c>
      <c r="L318" s="24">
        <f t="shared" si="46"/>
        <v>0</v>
      </c>
      <c r="M318" s="24">
        <f t="shared" si="46"/>
        <v>65.599999999999994</v>
      </c>
    </row>
    <row r="319" spans="1:13" s="113" customFormat="1" ht="36" customHeight="1" x14ac:dyDescent="0.35">
      <c r="A319" s="11"/>
      <c r="B319" s="498" t="s">
        <v>538</v>
      </c>
      <c r="C319" s="23" t="s">
        <v>307</v>
      </c>
      <c r="D319" s="10" t="s">
        <v>224</v>
      </c>
      <c r="E319" s="10" t="s">
        <v>65</v>
      </c>
      <c r="F319" s="25"/>
      <c r="G319" s="26"/>
      <c r="H319" s="662"/>
      <c r="I319" s="663"/>
      <c r="J319" s="10"/>
      <c r="K319" s="24">
        <f t="shared" si="46"/>
        <v>65.599999999999994</v>
      </c>
      <c r="L319" s="24">
        <f t="shared" si="46"/>
        <v>0</v>
      </c>
      <c r="M319" s="24">
        <f t="shared" si="46"/>
        <v>65.599999999999994</v>
      </c>
    </row>
    <row r="320" spans="1:13" s="113" customFormat="1" ht="54" customHeight="1" x14ac:dyDescent="0.35">
      <c r="A320" s="11"/>
      <c r="B320" s="498" t="s">
        <v>223</v>
      </c>
      <c r="C320" s="23" t="s">
        <v>307</v>
      </c>
      <c r="D320" s="10" t="s">
        <v>224</v>
      </c>
      <c r="E320" s="10" t="s">
        <v>65</v>
      </c>
      <c r="F320" s="25" t="s">
        <v>224</v>
      </c>
      <c r="G320" s="26" t="s">
        <v>42</v>
      </c>
      <c r="H320" s="662" t="s">
        <v>43</v>
      </c>
      <c r="I320" s="663" t="s">
        <v>44</v>
      </c>
      <c r="J320" s="10"/>
      <c r="K320" s="24">
        <f t="shared" si="46"/>
        <v>65.599999999999994</v>
      </c>
      <c r="L320" s="24">
        <f t="shared" si="46"/>
        <v>0</v>
      </c>
      <c r="M320" s="24">
        <f t="shared" si="46"/>
        <v>65.599999999999994</v>
      </c>
    </row>
    <row r="321" spans="1:13" s="113" customFormat="1" ht="36" customHeight="1" x14ac:dyDescent="0.35">
      <c r="A321" s="11"/>
      <c r="B321" s="498" t="s">
        <v>344</v>
      </c>
      <c r="C321" s="23" t="s">
        <v>307</v>
      </c>
      <c r="D321" s="10" t="s">
        <v>224</v>
      </c>
      <c r="E321" s="10" t="s">
        <v>65</v>
      </c>
      <c r="F321" s="25" t="s">
        <v>224</v>
      </c>
      <c r="G321" s="26" t="s">
        <v>45</v>
      </c>
      <c r="H321" s="662" t="s">
        <v>43</v>
      </c>
      <c r="I321" s="663" t="s">
        <v>44</v>
      </c>
      <c r="J321" s="10"/>
      <c r="K321" s="24">
        <f t="shared" si="46"/>
        <v>65.599999999999994</v>
      </c>
      <c r="L321" s="24">
        <f t="shared" si="46"/>
        <v>0</v>
      </c>
      <c r="M321" s="24">
        <f t="shared" si="46"/>
        <v>65.599999999999994</v>
      </c>
    </row>
    <row r="322" spans="1:13" s="113" customFormat="1" ht="54" customHeight="1" x14ac:dyDescent="0.35">
      <c r="A322" s="11"/>
      <c r="B322" s="498" t="s">
        <v>308</v>
      </c>
      <c r="C322" s="23" t="s">
        <v>307</v>
      </c>
      <c r="D322" s="10" t="s">
        <v>224</v>
      </c>
      <c r="E322" s="10" t="s">
        <v>65</v>
      </c>
      <c r="F322" s="25" t="s">
        <v>224</v>
      </c>
      <c r="G322" s="26" t="s">
        <v>45</v>
      </c>
      <c r="H322" s="662" t="s">
        <v>37</v>
      </c>
      <c r="I322" s="663" t="s">
        <v>44</v>
      </c>
      <c r="J322" s="10"/>
      <c r="K322" s="24">
        <f t="shared" si="46"/>
        <v>65.599999999999994</v>
      </c>
      <c r="L322" s="24">
        <f t="shared" si="46"/>
        <v>0</v>
      </c>
      <c r="M322" s="24">
        <f t="shared" si="46"/>
        <v>65.599999999999994</v>
      </c>
    </row>
    <row r="323" spans="1:13" s="113" customFormat="1" ht="36" customHeight="1" x14ac:dyDescent="0.35">
      <c r="A323" s="11"/>
      <c r="B323" s="498" t="s">
        <v>540</v>
      </c>
      <c r="C323" s="23" t="s">
        <v>307</v>
      </c>
      <c r="D323" s="10" t="s">
        <v>224</v>
      </c>
      <c r="E323" s="10" t="s">
        <v>65</v>
      </c>
      <c r="F323" s="25" t="s">
        <v>224</v>
      </c>
      <c r="G323" s="26" t="s">
        <v>45</v>
      </c>
      <c r="H323" s="662" t="s">
        <v>37</v>
      </c>
      <c r="I323" s="663" t="s">
        <v>539</v>
      </c>
      <c r="J323" s="10"/>
      <c r="K323" s="24">
        <f t="shared" si="46"/>
        <v>65.599999999999994</v>
      </c>
      <c r="L323" s="24">
        <f t="shared" si="46"/>
        <v>0</v>
      </c>
      <c r="M323" s="24">
        <f t="shared" si="46"/>
        <v>65.599999999999994</v>
      </c>
    </row>
    <row r="324" spans="1:13" s="113" customFormat="1" ht="54" customHeight="1" x14ac:dyDescent="0.35">
      <c r="A324" s="11"/>
      <c r="B324" s="498" t="s">
        <v>55</v>
      </c>
      <c r="C324" s="23" t="s">
        <v>307</v>
      </c>
      <c r="D324" s="10" t="s">
        <v>224</v>
      </c>
      <c r="E324" s="10" t="s">
        <v>65</v>
      </c>
      <c r="F324" s="25" t="s">
        <v>224</v>
      </c>
      <c r="G324" s="26" t="s">
        <v>45</v>
      </c>
      <c r="H324" s="662" t="s">
        <v>37</v>
      </c>
      <c r="I324" s="663" t="s">
        <v>539</v>
      </c>
      <c r="J324" s="10" t="s">
        <v>56</v>
      </c>
      <c r="K324" s="24">
        <f>115.6-50</f>
        <v>65.599999999999994</v>
      </c>
      <c r="L324" s="24">
        <f>M324-K324</f>
        <v>0</v>
      </c>
      <c r="M324" s="24">
        <f>115.6-50</f>
        <v>65.599999999999994</v>
      </c>
    </row>
    <row r="325" spans="1:13" s="113" customFormat="1" ht="54" customHeight="1" x14ac:dyDescent="0.35">
      <c r="A325" s="11"/>
      <c r="B325" s="498" t="s">
        <v>200</v>
      </c>
      <c r="C325" s="23" t="s">
        <v>307</v>
      </c>
      <c r="D325" s="10" t="s">
        <v>88</v>
      </c>
      <c r="E325" s="10"/>
      <c r="F325" s="25"/>
      <c r="G325" s="26"/>
      <c r="H325" s="662"/>
      <c r="I325" s="663"/>
      <c r="J325" s="10"/>
      <c r="K325" s="24">
        <f>K326+K332</f>
        <v>18429.400000000001</v>
      </c>
      <c r="L325" s="24">
        <f>L326+L332</f>
        <v>0</v>
      </c>
      <c r="M325" s="24">
        <f>M326+M332</f>
        <v>18429.400000000001</v>
      </c>
    </row>
    <row r="326" spans="1:13" s="113" customFormat="1" ht="54" customHeight="1" x14ac:dyDescent="0.35">
      <c r="A326" s="11"/>
      <c r="B326" s="538" t="s">
        <v>201</v>
      </c>
      <c r="C326" s="23" t="s">
        <v>307</v>
      </c>
      <c r="D326" s="10" t="s">
        <v>88</v>
      </c>
      <c r="E326" s="10" t="s">
        <v>37</v>
      </c>
      <c r="F326" s="25"/>
      <c r="G326" s="26"/>
      <c r="H326" s="662"/>
      <c r="I326" s="663"/>
      <c r="J326" s="10"/>
      <c r="K326" s="24">
        <f t="shared" ref="K326:M328" si="47">K327</f>
        <v>7500</v>
      </c>
      <c r="L326" s="24">
        <f t="shared" si="47"/>
        <v>0</v>
      </c>
      <c r="M326" s="24">
        <f t="shared" si="47"/>
        <v>7500</v>
      </c>
    </row>
    <row r="327" spans="1:13" s="113" customFormat="1" ht="54" customHeight="1" x14ac:dyDescent="0.35">
      <c r="A327" s="11"/>
      <c r="B327" s="498" t="s">
        <v>223</v>
      </c>
      <c r="C327" s="23" t="s">
        <v>307</v>
      </c>
      <c r="D327" s="10" t="s">
        <v>88</v>
      </c>
      <c r="E327" s="10" t="s">
        <v>37</v>
      </c>
      <c r="F327" s="25" t="s">
        <v>224</v>
      </c>
      <c r="G327" s="26" t="s">
        <v>42</v>
      </c>
      <c r="H327" s="662" t="s">
        <v>43</v>
      </c>
      <c r="I327" s="663" t="s">
        <v>44</v>
      </c>
      <c r="J327" s="10"/>
      <c r="K327" s="24">
        <f t="shared" si="47"/>
        <v>7500</v>
      </c>
      <c r="L327" s="24">
        <f t="shared" si="47"/>
        <v>0</v>
      </c>
      <c r="M327" s="24">
        <f t="shared" si="47"/>
        <v>7500</v>
      </c>
    </row>
    <row r="328" spans="1:13" s="113" customFormat="1" ht="36" customHeight="1" x14ac:dyDescent="0.35">
      <c r="A328" s="11"/>
      <c r="B328" s="498" t="s">
        <v>344</v>
      </c>
      <c r="C328" s="23" t="s">
        <v>307</v>
      </c>
      <c r="D328" s="10" t="s">
        <v>88</v>
      </c>
      <c r="E328" s="10" t="s">
        <v>37</v>
      </c>
      <c r="F328" s="25" t="s">
        <v>224</v>
      </c>
      <c r="G328" s="26" t="s">
        <v>45</v>
      </c>
      <c r="H328" s="662" t="s">
        <v>43</v>
      </c>
      <c r="I328" s="663" t="s">
        <v>44</v>
      </c>
      <c r="J328" s="10"/>
      <c r="K328" s="24">
        <f t="shared" si="47"/>
        <v>7500</v>
      </c>
      <c r="L328" s="24">
        <f t="shared" si="47"/>
        <v>0</v>
      </c>
      <c r="M328" s="24">
        <f t="shared" si="47"/>
        <v>7500</v>
      </c>
    </row>
    <row r="329" spans="1:13" s="113" customFormat="1" ht="36" customHeight="1" x14ac:dyDescent="0.35">
      <c r="A329" s="11"/>
      <c r="B329" s="498" t="s">
        <v>309</v>
      </c>
      <c r="C329" s="23" t="s">
        <v>307</v>
      </c>
      <c r="D329" s="10" t="s">
        <v>88</v>
      </c>
      <c r="E329" s="10" t="s">
        <v>37</v>
      </c>
      <c r="F329" s="25" t="s">
        <v>224</v>
      </c>
      <c r="G329" s="26" t="s">
        <v>45</v>
      </c>
      <c r="H329" s="662" t="s">
        <v>39</v>
      </c>
      <c r="I329" s="663" t="s">
        <v>44</v>
      </c>
      <c r="J329" s="10"/>
      <c r="K329" s="24">
        <f>K330</f>
        <v>7500</v>
      </c>
      <c r="L329" s="24">
        <f>L330</f>
        <v>0</v>
      </c>
      <c r="M329" s="24">
        <f>M330</f>
        <v>7500</v>
      </c>
    </row>
    <row r="330" spans="1:13" s="113" customFormat="1" ht="36" customHeight="1" x14ac:dyDescent="0.35">
      <c r="A330" s="11"/>
      <c r="B330" s="498" t="s">
        <v>263</v>
      </c>
      <c r="C330" s="23" t="s">
        <v>307</v>
      </c>
      <c r="D330" s="10" t="s">
        <v>88</v>
      </c>
      <c r="E330" s="10" t="s">
        <v>37</v>
      </c>
      <c r="F330" s="25" t="s">
        <v>224</v>
      </c>
      <c r="G330" s="26" t="s">
        <v>45</v>
      </c>
      <c r="H330" s="662" t="s">
        <v>39</v>
      </c>
      <c r="I330" s="663" t="s">
        <v>409</v>
      </c>
      <c r="J330" s="10"/>
      <c r="K330" s="24">
        <f t="shared" ref="K330:M330" si="48">K331</f>
        <v>7500</v>
      </c>
      <c r="L330" s="24">
        <f t="shared" si="48"/>
        <v>0</v>
      </c>
      <c r="M330" s="24">
        <f t="shared" si="48"/>
        <v>7500</v>
      </c>
    </row>
    <row r="331" spans="1:13" s="113" customFormat="1" ht="18" customHeight="1" x14ac:dyDescent="0.35">
      <c r="A331" s="11"/>
      <c r="B331" s="498" t="s">
        <v>123</v>
      </c>
      <c r="C331" s="23" t="s">
        <v>307</v>
      </c>
      <c r="D331" s="10" t="s">
        <v>88</v>
      </c>
      <c r="E331" s="10" t="s">
        <v>37</v>
      </c>
      <c r="F331" s="25" t="s">
        <v>224</v>
      </c>
      <c r="G331" s="26" t="s">
        <v>45</v>
      </c>
      <c r="H331" s="662" t="s">
        <v>39</v>
      </c>
      <c r="I331" s="663" t="s">
        <v>409</v>
      </c>
      <c r="J331" s="10" t="s">
        <v>124</v>
      </c>
      <c r="K331" s="24">
        <v>7500</v>
      </c>
      <c r="L331" s="24">
        <f>M331-K331</f>
        <v>0</v>
      </c>
      <c r="M331" s="24">
        <v>7500</v>
      </c>
    </row>
    <row r="332" spans="1:13" s="113" customFormat="1" ht="36" x14ac:dyDescent="0.35">
      <c r="A332" s="11"/>
      <c r="B332" s="566" t="s">
        <v>680</v>
      </c>
      <c r="C332" s="23" t="s">
        <v>307</v>
      </c>
      <c r="D332" s="10" t="s">
        <v>88</v>
      </c>
      <c r="E332" s="10" t="s">
        <v>63</v>
      </c>
      <c r="F332" s="25"/>
      <c r="G332" s="26"/>
      <c r="H332" s="662"/>
      <c r="I332" s="663"/>
      <c r="J332" s="10"/>
      <c r="K332" s="24">
        <f t="shared" ref="K332:M336" si="49">K333</f>
        <v>10929.4</v>
      </c>
      <c r="L332" s="24">
        <f t="shared" si="49"/>
        <v>0</v>
      </c>
      <c r="M332" s="24">
        <f t="shared" si="49"/>
        <v>10929.4</v>
      </c>
    </row>
    <row r="333" spans="1:13" s="113" customFormat="1" ht="54" x14ac:dyDescent="0.35">
      <c r="A333" s="11"/>
      <c r="B333" s="566" t="s">
        <v>223</v>
      </c>
      <c r="C333" s="23" t="s">
        <v>307</v>
      </c>
      <c r="D333" s="10" t="s">
        <v>88</v>
      </c>
      <c r="E333" s="10" t="s">
        <v>63</v>
      </c>
      <c r="F333" s="25" t="s">
        <v>224</v>
      </c>
      <c r="G333" s="26" t="s">
        <v>42</v>
      </c>
      <c r="H333" s="662" t="s">
        <v>43</v>
      </c>
      <c r="I333" s="663" t="s">
        <v>44</v>
      </c>
      <c r="J333" s="10"/>
      <c r="K333" s="24">
        <f t="shared" si="49"/>
        <v>10929.4</v>
      </c>
      <c r="L333" s="24">
        <f t="shared" si="49"/>
        <v>0</v>
      </c>
      <c r="M333" s="24">
        <f t="shared" si="49"/>
        <v>10929.4</v>
      </c>
    </row>
    <row r="334" spans="1:13" s="113" customFormat="1" ht="36" x14ac:dyDescent="0.35">
      <c r="A334" s="11"/>
      <c r="B334" s="566" t="s">
        <v>344</v>
      </c>
      <c r="C334" s="23" t="s">
        <v>307</v>
      </c>
      <c r="D334" s="10" t="s">
        <v>88</v>
      </c>
      <c r="E334" s="10" t="s">
        <v>63</v>
      </c>
      <c r="F334" s="25" t="s">
        <v>224</v>
      </c>
      <c r="G334" s="26" t="s">
        <v>45</v>
      </c>
      <c r="H334" s="662" t="s">
        <v>43</v>
      </c>
      <c r="I334" s="663" t="s">
        <v>44</v>
      </c>
      <c r="J334" s="10"/>
      <c r="K334" s="24">
        <f t="shared" si="49"/>
        <v>10929.4</v>
      </c>
      <c r="L334" s="24">
        <f t="shared" si="49"/>
        <v>0</v>
      </c>
      <c r="M334" s="24">
        <f t="shared" si="49"/>
        <v>10929.4</v>
      </c>
    </row>
    <row r="335" spans="1:13" s="113" customFormat="1" ht="36" x14ac:dyDescent="0.35">
      <c r="A335" s="11"/>
      <c r="B335" s="566" t="s">
        <v>309</v>
      </c>
      <c r="C335" s="23" t="s">
        <v>307</v>
      </c>
      <c r="D335" s="10" t="s">
        <v>88</v>
      </c>
      <c r="E335" s="10" t="s">
        <v>63</v>
      </c>
      <c r="F335" s="25" t="s">
        <v>224</v>
      </c>
      <c r="G335" s="26" t="s">
        <v>45</v>
      </c>
      <c r="H335" s="662" t="s">
        <v>39</v>
      </c>
      <c r="I335" s="663" t="s">
        <v>44</v>
      </c>
      <c r="J335" s="10"/>
      <c r="K335" s="24">
        <f t="shared" si="49"/>
        <v>10929.4</v>
      </c>
      <c r="L335" s="24">
        <f t="shared" si="49"/>
        <v>0</v>
      </c>
      <c r="M335" s="24">
        <f t="shared" si="49"/>
        <v>10929.4</v>
      </c>
    </row>
    <row r="336" spans="1:13" s="113" customFormat="1" ht="54" x14ac:dyDescent="0.35">
      <c r="A336" s="11"/>
      <c r="B336" s="566" t="s">
        <v>748</v>
      </c>
      <c r="C336" s="23" t="s">
        <v>307</v>
      </c>
      <c r="D336" s="10" t="s">
        <v>88</v>
      </c>
      <c r="E336" s="10" t="s">
        <v>63</v>
      </c>
      <c r="F336" s="25" t="s">
        <v>224</v>
      </c>
      <c r="G336" s="26" t="s">
        <v>45</v>
      </c>
      <c r="H336" s="662" t="s">
        <v>39</v>
      </c>
      <c r="I336" s="663" t="s">
        <v>749</v>
      </c>
      <c r="J336" s="10"/>
      <c r="K336" s="24">
        <f t="shared" si="49"/>
        <v>10929.4</v>
      </c>
      <c r="L336" s="24">
        <f t="shared" si="49"/>
        <v>0</v>
      </c>
      <c r="M336" s="24">
        <f t="shared" si="49"/>
        <v>10929.4</v>
      </c>
    </row>
    <row r="337" spans="1:13" s="113" customFormat="1" ht="18" x14ac:dyDescent="0.35">
      <c r="A337" s="11"/>
      <c r="B337" s="566" t="s">
        <v>123</v>
      </c>
      <c r="C337" s="23" t="s">
        <v>307</v>
      </c>
      <c r="D337" s="10" t="s">
        <v>88</v>
      </c>
      <c r="E337" s="10" t="s">
        <v>63</v>
      </c>
      <c r="F337" s="25" t="s">
        <v>224</v>
      </c>
      <c r="G337" s="26" t="s">
        <v>45</v>
      </c>
      <c r="H337" s="662" t="s">
        <v>39</v>
      </c>
      <c r="I337" s="663" t="s">
        <v>749</v>
      </c>
      <c r="J337" s="10" t="s">
        <v>124</v>
      </c>
      <c r="K337" s="24">
        <f>7500+3429.4</f>
        <v>10929.4</v>
      </c>
      <c r="L337" s="24">
        <f>M337-K337</f>
        <v>0</v>
      </c>
      <c r="M337" s="24">
        <f>7500+3429.4</f>
        <v>10929.4</v>
      </c>
    </row>
    <row r="338" spans="1:13" s="113" customFormat="1" ht="18" customHeight="1" x14ac:dyDescent="0.35">
      <c r="A338" s="11"/>
      <c r="B338" s="498"/>
      <c r="C338" s="23"/>
      <c r="D338" s="10"/>
      <c r="E338" s="10"/>
      <c r="F338" s="25"/>
      <c r="G338" s="26"/>
      <c r="H338" s="662"/>
      <c r="I338" s="663"/>
      <c r="J338" s="10"/>
      <c r="K338" s="24"/>
      <c r="L338" s="24"/>
      <c r="M338" s="24"/>
    </row>
    <row r="339" spans="1:13" s="114" customFormat="1" ht="52.2" customHeight="1" x14ac:dyDescent="0.3">
      <c r="A339" s="110">
        <v>3</v>
      </c>
      <c r="B339" s="535" t="s">
        <v>35</v>
      </c>
      <c r="C339" s="18" t="s">
        <v>128</v>
      </c>
      <c r="D339" s="19"/>
      <c r="E339" s="19"/>
      <c r="F339" s="20"/>
      <c r="G339" s="21"/>
      <c r="H339" s="21"/>
      <c r="I339" s="22"/>
      <c r="J339" s="19"/>
      <c r="K339" s="32">
        <f>K340+K350</f>
        <v>6829.7999999999993</v>
      </c>
      <c r="L339" s="32">
        <f>L340+L350</f>
        <v>-5.6843418860808015E-13</v>
      </c>
      <c r="M339" s="32">
        <f>M340+M350</f>
        <v>6829.7999999999984</v>
      </c>
    </row>
    <row r="340" spans="1:13" s="114" customFormat="1" ht="18" customHeight="1" x14ac:dyDescent="0.35">
      <c r="A340" s="11"/>
      <c r="B340" s="498" t="s">
        <v>36</v>
      </c>
      <c r="C340" s="23" t="s">
        <v>128</v>
      </c>
      <c r="D340" s="10" t="s">
        <v>37</v>
      </c>
      <c r="E340" s="10"/>
      <c r="F340" s="661"/>
      <c r="G340" s="662"/>
      <c r="H340" s="662"/>
      <c r="I340" s="663"/>
      <c r="J340" s="10"/>
      <c r="K340" s="24">
        <f t="shared" ref="K340:M342" si="50">K341</f>
        <v>6789.9069999999992</v>
      </c>
      <c r="L340" s="24">
        <f t="shared" si="50"/>
        <v>-5.6843418860808015E-13</v>
      </c>
      <c r="M340" s="24">
        <f t="shared" si="50"/>
        <v>6789.9069999999983</v>
      </c>
    </row>
    <row r="341" spans="1:13" s="114" customFormat="1" ht="72" customHeight="1" x14ac:dyDescent="0.35">
      <c r="A341" s="11"/>
      <c r="B341" s="498" t="s">
        <v>129</v>
      </c>
      <c r="C341" s="23" t="s">
        <v>128</v>
      </c>
      <c r="D341" s="10" t="s">
        <v>37</v>
      </c>
      <c r="E341" s="10" t="s">
        <v>81</v>
      </c>
      <c r="F341" s="661"/>
      <c r="G341" s="662"/>
      <c r="H341" s="662"/>
      <c r="I341" s="663"/>
      <c r="J341" s="10"/>
      <c r="K341" s="24">
        <f t="shared" si="50"/>
        <v>6789.9069999999992</v>
      </c>
      <c r="L341" s="24">
        <f t="shared" si="50"/>
        <v>-5.6843418860808015E-13</v>
      </c>
      <c r="M341" s="24">
        <f t="shared" si="50"/>
        <v>6789.9069999999983</v>
      </c>
    </row>
    <row r="342" spans="1:13" s="114" customFormat="1" ht="36" customHeight="1" x14ac:dyDescent="0.35">
      <c r="A342" s="11"/>
      <c r="B342" s="531" t="s">
        <v>130</v>
      </c>
      <c r="C342" s="23" t="s">
        <v>128</v>
      </c>
      <c r="D342" s="10" t="s">
        <v>37</v>
      </c>
      <c r="E342" s="10" t="s">
        <v>81</v>
      </c>
      <c r="F342" s="661" t="s">
        <v>131</v>
      </c>
      <c r="G342" s="662" t="s">
        <v>42</v>
      </c>
      <c r="H342" s="662" t="s">
        <v>43</v>
      </c>
      <c r="I342" s="663" t="s">
        <v>44</v>
      </c>
      <c r="J342" s="10"/>
      <c r="K342" s="24">
        <f t="shared" si="50"/>
        <v>6789.9069999999992</v>
      </c>
      <c r="L342" s="24">
        <f t="shared" si="50"/>
        <v>-5.6843418860808015E-13</v>
      </c>
      <c r="M342" s="24">
        <f t="shared" si="50"/>
        <v>6789.9069999999983</v>
      </c>
    </row>
    <row r="343" spans="1:13" s="114" customFormat="1" ht="36" customHeight="1" x14ac:dyDescent="0.35">
      <c r="A343" s="11"/>
      <c r="B343" s="531" t="s">
        <v>132</v>
      </c>
      <c r="C343" s="23" t="s">
        <v>128</v>
      </c>
      <c r="D343" s="10" t="s">
        <v>37</v>
      </c>
      <c r="E343" s="10" t="s">
        <v>81</v>
      </c>
      <c r="F343" s="661" t="s">
        <v>131</v>
      </c>
      <c r="G343" s="662" t="s">
        <v>45</v>
      </c>
      <c r="H343" s="662" t="s">
        <v>43</v>
      </c>
      <c r="I343" s="663" t="s">
        <v>44</v>
      </c>
      <c r="J343" s="10"/>
      <c r="K343" s="24">
        <f>K344+K348</f>
        <v>6789.9069999999992</v>
      </c>
      <c r="L343" s="24">
        <f>L344+L348</f>
        <v>-5.6843418860808015E-13</v>
      </c>
      <c r="M343" s="24">
        <f>M344+M348</f>
        <v>6789.9069999999983</v>
      </c>
    </row>
    <row r="344" spans="1:13" s="114" customFormat="1" ht="36" customHeight="1" x14ac:dyDescent="0.35">
      <c r="A344" s="11"/>
      <c r="B344" s="498" t="s">
        <v>47</v>
      </c>
      <c r="C344" s="23" t="s">
        <v>128</v>
      </c>
      <c r="D344" s="10" t="s">
        <v>37</v>
      </c>
      <c r="E344" s="10" t="s">
        <v>81</v>
      </c>
      <c r="F344" s="661" t="s">
        <v>131</v>
      </c>
      <c r="G344" s="662" t="s">
        <v>45</v>
      </c>
      <c r="H344" s="662" t="s">
        <v>43</v>
      </c>
      <c r="I344" s="663" t="s">
        <v>48</v>
      </c>
      <c r="J344" s="10"/>
      <c r="K344" s="24">
        <f>K345+K346+K347</f>
        <v>5667.7069999999994</v>
      </c>
      <c r="L344" s="24">
        <f>L345+L346+L347</f>
        <v>-5.6843418860808015E-13</v>
      </c>
      <c r="M344" s="24">
        <f>M345+M346+M347</f>
        <v>5667.7069999999985</v>
      </c>
    </row>
    <row r="345" spans="1:13" s="114" customFormat="1" ht="108" customHeight="1" x14ac:dyDescent="0.35">
      <c r="A345" s="11"/>
      <c r="B345" s="531" t="s">
        <v>49</v>
      </c>
      <c r="C345" s="23" t="s">
        <v>128</v>
      </c>
      <c r="D345" s="10" t="s">
        <v>37</v>
      </c>
      <c r="E345" s="10" t="s">
        <v>81</v>
      </c>
      <c r="F345" s="661" t="s">
        <v>131</v>
      </c>
      <c r="G345" s="662" t="s">
        <v>45</v>
      </c>
      <c r="H345" s="662" t="s">
        <v>43</v>
      </c>
      <c r="I345" s="663" t="s">
        <v>48</v>
      </c>
      <c r="J345" s="10" t="s">
        <v>50</v>
      </c>
      <c r="K345" s="24">
        <f>5210.1+20.5+36.4+27.7+8.007</f>
        <v>5302.7069999999994</v>
      </c>
      <c r="L345" s="24">
        <f>M345-K345</f>
        <v>7.5699999999415013E-2</v>
      </c>
      <c r="M345" s="24">
        <f>5210.1+20.5+36.4+27.7+8.007+15.4477-15.372</f>
        <v>5302.7826999999988</v>
      </c>
    </row>
    <row r="346" spans="1:13" s="114" customFormat="1" ht="54" customHeight="1" x14ac:dyDescent="0.35">
      <c r="A346" s="11"/>
      <c r="B346" s="498" t="s">
        <v>55</v>
      </c>
      <c r="C346" s="23" t="s">
        <v>128</v>
      </c>
      <c r="D346" s="10" t="s">
        <v>37</v>
      </c>
      <c r="E346" s="10" t="s">
        <v>81</v>
      </c>
      <c r="F346" s="661" t="s">
        <v>131</v>
      </c>
      <c r="G346" s="662" t="s">
        <v>45</v>
      </c>
      <c r="H346" s="662" t="s">
        <v>43</v>
      </c>
      <c r="I346" s="663" t="s">
        <v>48</v>
      </c>
      <c r="J346" s="10" t="s">
        <v>56</v>
      </c>
      <c r="K346" s="24">
        <f>379.9+6.6-29.5-36.4+25.4</f>
        <v>346</v>
      </c>
      <c r="L346" s="24">
        <f>M346-K346</f>
        <v>-7.5699999999983447E-2</v>
      </c>
      <c r="M346" s="24">
        <f>379.9+6.6-29.5-36.4+25.4-15.4477+15.372</f>
        <v>345.92430000000002</v>
      </c>
    </row>
    <row r="347" spans="1:13" s="114" customFormat="1" ht="18" customHeight="1" x14ac:dyDescent="0.35">
      <c r="A347" s="11"/>
      <c r="B347" s="498" t="s">
        <v>57</v>
      </c>
      <c r="C347" s="23" t="s">
        <v>128</v>
      </c>
      <c r="D347" s="10" t="s">
        <v>37</v>
      </c>
      <c r="E347" s="10" t="s">
        <v>81</v>
      </c>
      <c r="F347" s="661" t="s">
        <v>131</v>
      </c>
      <c r="G347" s="662" t="s">
        <v>45</v>
      </c>
      <c r="H347" s="662" t="s">
        <v>43</v>
      </c>
      <c r="I347" s="663" t="s">
        <v>48</v>
      </c>
      <c r="J347" s="10" t="s">
        <v>58</v>
      </c>
      <c r="K347" s="24">
        <f>10+9</f>
        <v>19</v>
      </c>
      <c r="L347" s="24">
        <f>M347-K347</f>
        <v>0</v>
      </c>
      <c r="M347" s="24">
        <f>10+9</f>
        <v>19</v>
      </c>
    </row>
    <row r="348" spans="1:13" s="114" customFormat="1" ht="36" customHeight="1" x14ac:dyDescent="0.35">
      <c r="A348" s="11"/>
      <c r="B348" s="498" t="s">
        <v>236</v>
      </c>
      <c r="C348" s="23" t="s">
        <v>128</v>
      </c>
      <c r="D348" s="10" t="s">
        <v>37</v>
      </c>
      <c r="E348" s="10" t="s">
        <v>81</v>
      </c>
      <c r="F348" s="661" t="s">
        <v>131</v>
      </c>
      <c r="G348" s="662" t="s">
        <v>45</v>
      </c>
      <c r="H348" s="662" t="s">
        <v>43</v>
      </c>
      <c r="I348" s="663" t="s">
        <v>133</v>
      </c>
      <c r="J348" s="10"/>
      <c r="K348" s="24">
        <f>K349</f>
        <v>1122.2</v>
      </c>
      <c r="L348" s="24">
        <f>L349</f>
        <v>0</v>
      </c>
      <c r="M348" s="24">
        <f>M349</f>
        <v>1122.2</v>
      </c>
    </row>
    <row r="349" spans="1:13" s="114" customFormat="1" ht="108" customHeight="1" x14ac:dyDescent="0.35">
      <c r="A349" s="11"/>
      <c r="B349" s="498" t="s">
        <v>49</v>
      </c>
      <c r="C349" s="23" t="s">
        <v>128</v>
      </c>
      <c r="D349" s="10" t="s">
        <v>37</v>
      </c>
      <c r="E349" s="10" t="s">
        <v>81</v>
      </c>
      <c r="F349" s="661" t="s">
        <v>131</v>
      </c>
      <c r="G349" s="662" t="s">
        <v>45</v>
      </c>
      <c r="H349" s="662" t="s">
        <v>43</v>
      </c>
      <c r="I349" s="663" t="s">
        <v>133</v>
      </c>
      <c r="J349" s="10" t="s">
        <v>50</v>
      </c>
      <c r="K349" s="24">
        <v>1122.2</v>
      </c>
      <c r="L349" s="24">
        <f>M349-K349</f>
        <v>0</v>
      </c>
      <c r="M349" s="24">
        <v>1122.2</v>
      </c>
    </row>
    <row r="350" spans="1:13" s="114" customFormat="1" ht="18" customHeight="1" x14ac:dyDescent="0.35">
      <c r="A350" s="11"/>
      <c r="B350" s="498" t="s">
        <v>179</v>
      </c>
      <c r="C350" s="23" t="s">
        <v>128</v>
      </c>
      <c r="D350" s="10" t="s">
        <v>224</v>
      </c>
      <c r="E350" s="10"/>
      <c r="F350" s="661"/>
      <c r="G350" s="662"/>
      <c r="H350" s="662"/>
      <c r="I350" s="663"/>
      <c r="J350" s="10"/>
      <c r="K350" s="24">
        <f t="shared" ref="K350:M354" si="51">K351</f>
        <v>39.893000000000001</v>
      </c>
      <c r="L350" s="24">
        <f t="shared" si="51"/>
        <v>0</v>
      </c>
      <c r="M350" s="24">
        <f t="shared" si="51"/>
        <v>39.893000000000001</v>
      </c>
    </row>
    <row r="351" spans="1:13" s="114" customFormat="1" ht="36" customHeight="1" x14ac:dyDescent="0.35">
      <c r="A351" s="11"/>
      <c r="B351" s="495" t="s">
        <v>538</v>
      </c>
      <c r="C351" s="23" t="s">
        <v>128</v>
      </c>
      <c r="D351" s="10" t="s">
        <v>224</v>
      </c>
      <c r="E351" s="10" t="s">
        <v>65</v>
      </c>
      <c r="F351" s="661"/>
      <c r="G351" s="662"/>
      <c r="H351" s="662"/>
      <c r="I351" s="663"/>
      <c r="J351" s="10"/>
      <c r="K351" s="24">
        <f t="shared" si="51"/>
        <v>39.893000000000001</v>
      </c>
      <c r="L351" s="24">
        <f t="shared" si="51"/>
        <v>0</v>
      </c>
      <c r="M351" s="24">
        <f t="shared" si="51"/>
        <v>39.893000000000001</v>
      </c>
    </row>
    <row r="352" spans="1:13" s="114" customFormat="1" ht="36" customHeight="1" x14ac:dyDescent="0.35">
      <c r="A352" s="11"/>
      <c r="B352" s="531" t="s">
        <v>130</v>
      </c>
      <c r="C352" s="23" t="s">
        <v>128</v>
      </c>
      <c r="D352" s="10" t="s">
        <v>224</v>
      </c>
      <c r="E352" s="10" t="s">
        <v>65</v>
      </c>
      <c r="F352" s="661" t="s">
        <v>131</v>
      </c>
      <c r="G352" s="662" t="s">
        <v>42</v>
      </c>
      <c r="H352" s="662" t="s">
        <v>43</v>
      </c>
      <c r="I352" s="83" t="s">
        <v>44</v>
      </c>
      <c r="J352" s="10"/>
      <c r="K352" s="24">
        <f t="shared" si="51"/>
        <v>39.893000000000001</v>
      </c>
      <c r="L352" s="24">
        <f t="shared" si="51"/>
        <v>0</v>
      </c>
      <c r="M352" s="24">
        <f t="shared" si="51"/>
        <v>39.893000000000001</v>
      </c>
    </row>
    <row r="353" spans="1:13" s="114" customFormat="1" ht="36" customHeight="1" x14ac:dyDescent="0.35">
      <c r="A353" s="11"/>
      <c r="B353" s="531" t="s">
        <v>132</v>
      </c>
      <c r="C353" s="23" t="s">
        <v>128</v>
      </c>
      <c r="D353" s="10" t="s">
        <v>224</v>
      </c>
      <c r="E353" s="10" t="s">
        <v>65</v>
      </c>
      <c r="F353" s="661" t="s">
        <v>131</v>
      </c>
      <c r="G353" s="662" t="s">
        <v>45</v>
      </c>
      <c r="H353" s="662" t="s">
        <v>43</v>
      </c>
      <c r="I353" s="83" t="s">
        <v>44</v>
      </c>
      <c r="J353" s="10"/>
      <c r="K353" s="24">
        <f t="shared" si="51"/>
        <v>39.893000000000001</v>
      </c>
      <c r="L353" s="24">
        <f t="shared" si="51"/>
        <v>0</v>
      </c>
      <c r="M353" s="24">
        <f t="shared" si="51"/>
        <v>39.893000000000001</v>
      </c>
    </row>
    <row r="354" spans="1:13" s="114" customFormat="1" ht="36" customHeight="1" x14ac:dyDescent="0.35">
      <c r="A354" s="11"/>
      <c r="B354" s="495" t="s">
        <v>540</v>
      </c>
      <c r="C354" s="23" t="s">
        <v>128</v>
      </c>
      <c r="D354" s="10" t="s">
        <v>224</v>
      </c>
      <c r="E354" s="10" t="s">
        <v>65</v>
      </c>
      <c r="F354" s="661" t="s">
        <v>131</v>
      </c>
      <c r="G354" s="662" t="s">
        <v>45</v>
      </c>
      <c r="H354" s="662" t="s">
        <v>43</v>
      </c>
      <c r="I354" s="662" t="s">
        <v>539</v>
      </c>
      <c r="J354" s="10"/>
      <c r="K354" s="24">
        <f t="shared" si="51"/>
        <v>39.893000000000001</v>
      </c>
      <c r="L354" s="24">
        <f t="shared" si="51"/>
        <v>0</v>
      </c>
      <c r="M354" s="24">
        <f t="shared" si="51"/>
        <v>39.893000000000001</v>
      </c>
    </row>
    <row r="355" spans="1:13" s="114" customFormat="1" ht="54" customHeight="1" x14ac:dyDescent="0.35">
      <c r="A355" s="11"/>
      <c r="B355" s="495" t="s">
        <v>55</v>
      </c>
      <c r="C355" s="23" t="s">
        <v>128</v>
      </c>
      <c r="D355" s="10" t="s">
        <v>224</v>
      </c>
      <c r="E355" s="10" t="s">
        <v>65</v>
      </c>
      <c r="F355" s="661" t="s">
        <v>131</v>
      </c>
      <c r="G355" s="662" t="s">
        <v>45</v>
      </c>
      <c r="H355" s="662" t="s">
        <v>43</v>
      </c>
      <c r="I355" s="662" t="s">
        <v>539</v>
      </c>
      <c r="J355" s="486" t="s">
        <v>56</v>
      </c>
      <c r="K355" s="24">
        <f>47.9-8.007</f>
        <v>39.893000000000001</v>
      </c>
      <c r="L355" s="24">
        <f>M355-K355</f>
        <v>0</v>
      </c>
      <c r="M355" s="24">
        <f>47.9-8.007</f>
        <v>39.893000000000001</v>
      </c>
    </row>
    <row r="356" spans="1:13" s="124" customFormat="1" ht="18" customHeight="1" x14ac:dyDescent="0.35">
      <c r="A356" s="197"/>
      <c r="B356" s="541"/>
      <c r="C356" s="482"/>
      <c r="D356" s="196"/>
      <c r="E356" s="196"/>
      <c r="F356" s="259"/>
      <c r="G356" s="259"/>
      <c r="H356" s="259"/>
      <c r="I356" s="259"/>
      <c r="J356" s="485"/>
      <c r="K356" s="243"/>
      <c r="L356" s="243"/>
      <c r="M356" s="243"/>
    </row>
    <row r="357" spans="1:13" s="118" customFormat="1" ht="52.2" customHeight="1" x14ac:dyDescent="0.3">
      <c r="A357" s="480">
        <v>4</v>
      </c>
      <c r="B357" s="542" t="s">
        <v>6</v>
      </c>
      <c r="C357" s="481" t="s">
        <v>417</v>
      </c>
      <c r="D357" s="483"/>
      <c r="E357" s="483"/>
      <c r="F357" s="115"/>
      <c r="G357" s="116"/>
      <c r="H357" s="116"/>
      <c r="I357" s="117"/>
      <c r="J357" s="483"/>
      <c r="K357" s="484">
        <f>K358+K421+K430+K410+K453+K460</f>
        <v>433784.93306000001</v>
      </c>
      <c r="L357" s="484">
        <f>L358+L421+L430+L410+L453+L460</f>
        <v>-35789.800000000003</v>
      </c>
      <c r="M357" s="484">
        <f>M358+M421+M430+M410+M453+M460</f>
        <v>397995.13306000002</v>
      </c>
    </row>
    <row r="358" spans="1:13" s="124" customFormat="1" ht="18" customHeight="1" x14ac:dyDescent="0.35">
      <c r="A358" s="119"/>
      <c r="B358" s="534" t="s">
        <v>36</v>
      </c>
      <c r="C358" s="120" t="s">
        <v>417</v>
      </c>
      <c r="D358" s="121" t="s">
        <v>37</v>
      </c>
      <c r="E358" s="84"/>
      <c r="F358" s="122"/>
      <c r="G358" s="82"/>
      <c r="H358" s="82"/>
      <c r="I358" s="83"/>
      <c r="J358" s="84"/>
      <c r="K358" s="123">
        <f>K359</f>
        <v>55644.577089999999</v>
      </c>
      <c r="L358" s="123">
        <f>L359</f>
        <v>-748.50000000000091</v>
      </c>
      <c r="M358" s="123">
        <f>M359</f>
        <v>54896.077089999999</v>
      </c>
    </row>
    <row r="359" spans="1:13" s="118" customFormat="1" ht="18" customHeight="1" x14ac:dyDescent="0.35">
      <c r="A359" s="119"/>
      <c r="B359" s="534" t="s">
        <v>70</v>
      </c>
      <c r="C359" s="120" t="s">
        <v>417</v>
      </c>
      <c r="D359" s="121" t="s">
        <v>37</v>
      </c>
      <c r="E359" s="121" t="s">
        <v>71</v>
      </c>
      <c r="F359" s="122"/>
      <c r="G359" s="82"/>
      <c r="H359" s="82"/>
      <c r="I359" s="83"/>
      <c r="J359" s="84"/>
      <c r="K359" s="123">
        <f>K360+K399+K394+K405</f>
        <v>55644.577089999999</v>
      </c>
      <c r="L359" s="123">
        <f>L360+L399+L394+L405</f>
        <v>-748.50000000000091</v>
      </c>
      <c r="M359" s="123">
        <f>M360+M399+M394+M405</f>
        <v>54896.077089999999</v>
      </c>
    </row>
    <row r="360" spans="1:13" s="124" customFormat="1" ht="54" customHeight="1" x14ac:dyDescent="0.35">
      <c r="A360" s="119"/>
      <c r="B360" s="534" t="s">
        <v>225</v>
      </c>
      <c r="C360" s="120" t="s">
        <v>417</v>
      </c>
      <c r="D360" s="121" t="s">
        <v>37</v>
      </c>
      <c r="E360" s="121" t="s">
        <v>71</v>
      </c>
      <c r="F360" s="92" t="s">
        <v>226</v>
      </c>
      <c r="G360" s="82" t="s">
        <v>42</v>
      </c>
      <c r="H360" s="82" t="s">
        <v>43</v>
      </c>
      <c r="I360" s="83" t="s">
        <v>44</v>
      </c>
      <c r="J360" s="84"/>
      <c r="K360" s="123">
        <f>K361+K368+K388</f>
        <v>48721.581059999997</v>
      </c>
      <c r="L360" s="123">
        <f>L361+L368+L388</f>
        <v>-1098.5000000000009</v>
      </c>
      <c r="M360" s="123">
        <f>M361+M368+M388</f>
        <v>47623.081059999997</v>
      </c>
    </row>
    <row r="361" spans="1:13" s="124" customFormat="1" ht="36" customHeight="1" x14ac:dyDescent="0.35">
      <c r="A361" s="119"/>
      <c r="B361" s="534" t="s">
        <v>227</v>
      </c>
      <c r="C361" s="120" t="s">
        <v>417</v>
      </c>
      <c r="D361" s="121" t="s">
        <v>37</v>
      </c>
      <c r="E361" s="121" t="s">
        <v>71</v>
      </c>
      <c r="F361" s="125" t="s">
        <v>226</v>
      </c>
      <c r="G361" s="126" t="s">
        <v>45</v>
      </c>
      <c r="H361" s="126" t="s">
        <v>43</v>
      </c>
      <c r="I361" s="127" t="s">
        <v>44</v>
      </c>
      <c r="J361" s="84"/>
      <c r="K361" s="123">
        <f>K362+K365</f>
        <v>3355.2649999999999</v>
      </c>
      <c r="L361" s="123">
        <f>L362+L365</f>
        <v>-516</v>
      </c>
      <c r="M361" s="123">
        <f>M362+M365</f>
        <v>2839.2649999999999</v>
      </c>
    </row>
    <row r="362" spans="1:13" s="124" customFormat="1" ht="90" customHeight="1" x14ac:dyDescent="0.35">
      <c r="A362" s="119"/>
      <c r="B362" s="534" t="s">
        <v>302</v>
      </c>
      <c r="C362" s="120" t="s">
        <v>417</v>
      </c>
      <c r="D362" s="121" t="s">
        <v>37</v>
      </c>
      <c r="E362" s="121" t="s">
        <v>71</v>
      </c>
      <c r="F362" s="81" t="s">
        <v>226</v>
      </c>
      <c r="G362" s="82" t="s">
        <v>45</v>
      </c>
      <c r="H362" s="82" t="s">
        <v>37</v>
      </c>
      <c r="I362" s="83" t="s">
        <v>44</v>
      </c>
      <c r="J362" s="84"/>
      <c r="K362" s="123">
        <f t="shared" ref="K362:M363" si="52">K363</f>
        <v>798</v>
      </c>
      <c r="L362" s="123">
        <f t="shared" si="52"/>
        <v>223.13200000000006</v>
      </c>
      <c r="M362" s="123">
        <f t="shared" si="52"/>
        <v>1021.1320000000001</v>
      </c>
    </row>
    <row r="363" spans="1:13" s="124" customFormat="1" ht="54" customHeight="1" x14ac:dyDescent="0.35">
      <c r="A363" s="119"/>
      <c r="B363" s="534" t="s">
        <v>228</v>
      </c>
      <c r="C363" s="120" t="s">
        <v>417</v>
      </c>
      <c r="D363" s="121" t="s">
        <v>37</v>
      </c>
      <c r="E363" s="121" t="s">
        <v>71</v>
      </c>
      <c r="F363" s="81" t="s">
        <v>226</v>
      </c>
      <c r="G363" s="82" t="s">
        <v>45</v>
      </c>
      <c r="H363" s="82" t="s">
        <v>37</v>
      </c>
      <c r="I363" s="83" t="s">
        <v>303</v>
      </c>
      <c r="J363" s="84"/>
      <c r="K363" s="123">
        <f t="shared" si="52"/>
        <v>798</v>
      </c>
      <c r="L363" s="123">
        <f t="shared" si="52"/>
        <v>223.13200000000006</v>
      </c>
      <c r="M363" s="123">
        <f t="shared" si="52"/>
        <v>1021.1320000000001</v>
      </c>
    </row>
    <row r="364" spans="1:13" s="118" customFormat="1" ht="54" customHeight="1" x14ac:dyDescent="0.35">
      <c r="A364" s="119"/>
      <c r="B364" s="543" t="s">
        <v>55</v>
      </c>
      <c r="C364" s="120" t="s">
        <v>417</v>
      </c>
      <c r="D364" s="121" t="s">
        <v>37</v>
      </c>
      <c r="E364" s="121" t="s">
        <v>71</v>
      </c>
      <c r="F364" s="81" t="s">
        <v>226</v>
      </c>
      <c r="G364" s="82" t="s">
        <v>45</v>
      </c>
      <c r="H364" s="82" t="s">
        <v>37</v>
      </c>
      <c r="I364" s="83" t="s">
        <v>303</v>
      </c>
      <c r="J364" s="84" t="s">
        <v>56</v>
      </c>
      <c r="K364" s="123">
        <f>798-33+33</f>
        <v>798</v>
      </c>
      <c r="L364" s="24">
        <f>M364-K364</f>
        <v>223.13200000000006</v>
      </c>
      <c r="M364" s="123">
        <f>798-33+33+223.132</f>
        <v>1021.1320000000001</v>
      </c>
    </row>
    <row r="365" spans="1:13" s="118" customFormat="1" ht="36" customHeight="1" x14ac:dyDescent="0.35">
      <c r="A365" s="119"/>
      <c r="B365" s="543" t="s">
        <v>343</v>
      </c>
      <c r="C365" s="120" t="s">
        <v>417</v>
      </c>
      <c r="D365" s="121" t="s">
        <v>37</v>
      </c>
      <c r="E365" s="121" t="s">
        <v>71</v>
      </c>
      <c r="F365" s="81" t="s">
        <v>226</v>
      </c>
      <c r="G365" s="82" t="s">
        <v>45</v>
      </c>
      <c r="H365" s="82" t="s">
        <v>39</v>
      </c>
      <c r="I365" s="83" t="s">
        <v>44</v>
      </c>
      <c r="J365" s="84"/>
      <c r="K365" s="123">
        <f>K366</f>
        <v>2557.2649999999999</v>
      </c>
      <c r="L365" s="123">
        <f>L366</f>
        <v>-739.13200000000006</v>
      </c>
      <c r="M365" s="123">
        <f>M366</f>
        <v>1818.1329999999998</v>
      </c>
    </row>
    <row r="366" spans="1:13" s="118" customFormat="1" ht="36" customHeight="1" x14ac:dyDescent="0.35">
      <c r="A366" s="119"/>
      <c r="B366" s="543" t="s">
        <v>342</v>
      </c>
      <c r="C366" s="120" t="s">
        <v>417</v>
      </c>
      <c r="D366" s="121" t="s">
        <v>37</v>
      </c>
      <c r="E366" s="121" t="s">
        <v>71</v>
      </c>
      <c r="F366" s="81" t="s">
        <v>226</v>
      </c>
      <c r="G366" s="82" t="s">
        <v>45</v>
      </c>
      <c r="H366" s="82" t="s">
        <v>39</v>
      </c>
      <c r="I366" s="83" t="s">
        <v>341</v>
      </c>
      <c r="J366" s="84"/>
      <c r="K366" s="123">
        <f>SUM(K367:K367)</f>
        <v>2557.2649999999999</v>
      </c>
      <c r="L366" s="123">
        <f>SUM(L367:L367)</f>
        <v>-739.13200000000006</v>
      </c>
      <c r="M366" s="123">
        <f>SUM(M367:M367)</f>
        <v>1818.1329999999998</v>
      </c>
    </row>
    <row r="367" spans="1:13" s="118" customFormat="1" ht="54" customHeight="1" x14ac:dyDescent="0.35">
      <c r="A367" s="119"/>
      <c r="B367" s="543" t="s">
        <v>55</v>
      </c>
      <c r="C367" s="120" t="s">
        <v>417</v>
      </c>
      <c r="D367" s="121" t="s">
        <v>37</v>
      </c>
      <c r="E367" s="121" t="s">
        <v>71</v>
      </c>
      <c r="F367" s="81" t="s">
        <v>226</v>
      </c>
      <c r="G367" s="82" t="s">
        <v>45</v>
      </c>
      <c r="H367" s="82" t="s">
        <v>39</v>
      </c>
      <c r="I367" s="83" t="s">
        <v>341</v>
      </c>
      <c r="J367" s="84" t="s">
        <v>56</v>
      </c>
      <c r="K367" s="123">
        <f>815.1+58.6+1070.2+7.815+49.7+53.1+0.91+4.47+13.21+410.593+327.9-267.944+13.611</f>
        <v>2557.2649999999999</v>
      </c>
      <c r="L367" s="24">
        <f>M367-K367</f>
        <v>-739.13200000000006</v>
      </c>
      <c r="M367" s="123">
        <f>815.1+58.6+1070.2+7.815+49.7+53.1+0.91+4.47+13.21+410.593+327.9-267.944+13.611-516-223.132</f>
        <v>1818.1329999999998</v>
      </c>
    </row>
    <row r="368" spans="1:13" s="118" customFormat="1" ht="36" customHeight="1" x14ac:dyDescent="0.35">
      <c r="A368" s="119"/>
      <c r="B368" s="534" t="s">
        <v>229</v>
      </c>
      <c r="C368" s="120" t="s">
        <v>417</v>
      </c>
      <c r="D368" s="121" t="s">
        <v>37</v>
      </c>
      <c r="E368" s="121" t="s">
        <v>71</v>
      </c>
      <c r="F368" s="92" t="s">
        <v>226</v>
      </c>
      <c r="G368" s="82" t="s">
        <v>89</v>
      </c>
      <c r="H368" s="82" t="s">
        <v>43</v>
      </c>
      <c r="I368" s="83" t="s">
        <v>44</v>
      </c>
      <c r="J368" s="84"/>
      <c r="K368" s="123">
        <f>K369+K382+K385</f>
        <v>28068.003000000001</v>
      </c>
      <c r="L368" s="123">
        <f>L369+L382+L385</f>
        <v>-554.20000000000073</v>
      </c>
      <c r="M368" s="123">
        <f>M369+M382+M385</f>
        <v>27513.803</v>
      </c>
    </row>
    <row r="369" spans="1:14" s="124" customFormat="1" ht="78.75" customHeight="1" x14ac:dyDescent="0.35">
      <c r="A369" s="119"/>
      <c r="B369" s="534" t="s">
        <v>306</v>
      </c>
      <c r="C369" s="120" t="s">
        <v>417</v>
      </c>
      <c r="D369" s="121" t="s">
        <v>37</v>
      </c>
      <c r="E369" s="121" t="s">
        <v>71</v>
      </c>
      <c r="F369" s="92" t="s">
        <v>226</v>
      </c>
      <c r="G369" s="82" t="s">
        <v>89</v>
      </c>
      <c r="H369" s="82" t="s">
        <v>37</v>
      </c>
      <c r="I369" s="83" t="s">
        <v>44</v>
      </c>
      <c r="J369" s="84"/>
      <c r="K369" s="123">
        <f>K370+K374+K378+K380</f>
        <v>27000.400000000001</v>
      </c>
      <c r="L369" s="123">
        <f>L370+L374+L378+L380</f>
        <v>-554.20000000000073</v>
      </c>
      <c r="M369" s="123">
        <f>M370+M374+M378+M380</f>
        <v>26446.2</v>
      </c>
    </row>
    <row r="370" spans="1:14" s="118" customFormat="1" ht="36" customHeight="1" x14ac:dyDescent="0.35">
      <c r="A370" s="119"/>
      <c r="B370" s="534" t="s">
        <v>47</v>
      </c>
      <c r="C370" s="120" t="s">
        <v>417</v>
      </c>
      <c r="D370" s="121" t="s">
        <v>37</v>
      </c>
      <c r="E370" s="121" t="s">
        <v>71</v>
      </c>
      <c r="F370" s="128" t="s">
        <v>226</v>
      </c>
      <c r="G370" s="126" t="s">
        <v>89</v>
      </c>
      <c r="H370" s="126" t="s">
        <v>37</v>
      </c>
      <c r="I370" s="127" t="s">
        <v>48</v>
      </c>
      <c r="J370" s="84"/>
      <c r="K370" s="123">
        <f>K371+K372+K373</f>
        <v>15663.300000000001</v>
      </c>
      <c r="L370" s="123">
        <f>L371+L372+L373</f>
        <v>28.299999999999272</v>
      </c>
      <c r="M370" s="123">
        <f>M371+M372+M373</f>
        <v>15691.6</v>
      </c>
    </row>
    <row r="371" spans="1:14" s="124" customFormat="1" ht="108" customHeight="1" x14ac:dyDescent="0.35">
      <c r="A371" s="119"/>
      <c r="B371" s="534" t="s">
        <v>49</v>
      </c>
      <c r="C371" s="120" t="s">
        <v>417</v>
      </c>
      <c r="D371" s="121" t="s">
        <v>37</v>
      </c>
      <c r="E371" s="121" t="s">
        <v>71</v>
      </c>
      <c r="F371" s="92" t="s">
        <v>226</v>
      </c>
      <c r="G371" s="82" t="s">
        <v>89</v>
      </c>
      <c r="H371" s="82" t="s">
        <v>37</v>
      </c>
      <c r="I371" s="83" t="s">
        <v>48</v>
      </c>
      <c r="J371" s="84" t="s">
        <v>50</v>
      </c>
      <c r="K371" s="123">
        <v>15310.1</v>
      </c>
      <c r="L371" s="24">
        <f>M371-K371</f>
        <v>28.299999999999272</v>
      </c>
      <c r="M371" s="123">
        <f>15310.1+28.3</f>
        <v>15338.4</v>
      </c>
    </row>
    <row r="372" spans="1:14" s="124" customFormat="1" ht="54" customHeight="1" x14ac:dyDescent="0.35">
      <c r="A372" s="119"/>
      <c r="B372" s="543" t="s">
        <v>55</v>
      </c>
      <c r="C372" s="120" t="s">
        <v>417</v>
      </c>
      <c r="D372" s="121" t="s">
        <v>37</v>
      </c>
      <c r="E372" s="121" t="s">
        <v>71</v>
      </c>
      <c r="F372" s="92" t="s">
        <v>226</v>
      </c>
      <c r="G372" s="82" t="s">
        <v>89</v>
      </c>
      <c r="H372" s="82" t="s">
        <v>37</v>
      </c>
      <c r="I372" s="83" t="s">
        <v>48</v>
      </c>
      <c r="J372" s="84" t="s">
        <v>56</v>
      </c>
      <c r="K372" s="123">
        <f>352-0.935</f>
        <v>351.065</v>
      </c>
      <c r="L372" s="24">
        <f>M372-K372</f>
        <v>0</v>
      </c>
      <c r="M372" s="123">
        <f>352-0.935</f>
        <v>351.065</v>
      </c>
      <c r="N372" s="148"/>
    </row>
    <row r="373" spans="1:14" s="124" customFormat="1" ht="18" customHeight="1" x14ac:dyDescent="0.35">
      <c r="A373" s="119"/>
      <c r="B373" s="534" t="s">
        <v>57</v>
      </c>
      <c r="C373" s="120" t="s">
        <v>417</v>
      </c>
      <c r="D373" s="121" t="s">
        <v>37</v>
      </c>
      <c r="E373" s="121" t="s">
        <v>71</v>
      </c>
      <c r="F373" s="92" t="s">
        <v>226</v>
      </c>
      <c r="G373" s="82" t="s">
        <v>89</v>
      </c>
      <c r="H373" s="82" t="s">
        <v>37</v>
      </c>
      <c r="I373" s="83" t="s">
        <v>48</v>
      </c>
      <c r="J373" s="84" t="s">
        <v>58</v>
      </c>
      <c r="K373" s="123">
        <f>1.2+0.935</f>
        <v>2.1349999999999998</v>
      </c>
      <c r="L373" s="24">
        <f>M373-K373</f>
        <v>0</v>
      </c>
      <c r="M373" s="123">
        <f>1.2+0.935</f>
        <v>2.1349999999999998</v>
      </c>
    </row>
    <row r="374" spans="1:14" s="124" customFormat="1" ht="36" customHeight="1" x14ac:dyDescent="0.35">
      <c r="A374" s="119"/>
      <c r="B374" s="531" t="s">
        <v>466</v>
      </c>
      <c r="C374" s="120" t="s">
        <v>417</v>
      </c>
      <c r="D374" s="121" t="s">
        <v>37</v>
      </c>
      <c r="E374" s="121" t="s">
        <v>71</v>
      </c>
      <c r="F374" s="92" t="s">
        <v>226</v>
      </c>
      <c r="G374" s="82" t="s">
        <v>89</v>
      </c>
      <c r="H374" s="82" t="s">
        <v>37</v>
      </c>
      <c r="I374" s="83" t="s">
        <v>91</v>
      </c>
      <c r="J374" s="84"/>
      <c r="K374" s="123">
        <f>K375+K376+K377</f>
        <v>10033.300000000001</v>
      </c>
      <c r="L374" s="123">
        <f>L375+L376+L377</f>
        <v>0</v>
      </c>
      <c r="M374" s="123">
        <f>M375+M376+M377</f>
        <v>10033.300000000001</v>
      </c>
      <c r="N374" s="148"/>
    </row>
    <row r="375" spans="1:14" s="124" customFormat="1" ht="108" customHeight="1" x14ac:dyDescent="0.35">
      <c r="A375" s="119"/>
      <c r="B375" s="534" t="s">
        <v>49</v>
      </c>
      <c r="C375" s="120" t="s">
        <v>417</v>
      </c>
      <c r="D375" s="121" t="s">
        <v>37</v>
      </c>
      <c r="E375" s="121" t="s">
        <v>71</v>
      </c>
      <c r="F375" s="92" t="s">
        <v>226</v>
      </c>
      <c r="G375" s="82" t="s">
        <v>89</v>
      </c>
      <c r="H375" s="82" t="s">
        <v>37</v>
      </c>
      <c r="I375" s="83" t="s">
        <v>91</v>
      </c>
      <c r="J375" s="84" t="s">
        <v>50</v>
      </c>
      <c r="K375" s="123">
        <v>9350.4</v>
      </c>
      <c r="L375" s="24">
        <f>M375-K375</f>
        <v>0</v>
      </c>
      <c r="M375" s="123">
        <v>9350.4</v>
      </c>
      <c r="N375" s="148"/>
    </row>
    <row r="376" spans="1:14" s="124" customFormat="1" ht="54" customHeight="1" x14ac:dyDescent="0.35">
      <c r="A376" s="119"/>
      <c r="B376" s="543" t="s">
        <v>55</v>
      </c>
      <c r="C376" s="120" t="s">
        <v>417</v>
      </c>
      <c r="D376" s="121" t="s">
        <v>37</v>
      </c>
      <c r="E376" s="121" t="s">
        <v>71</v>
      </c>
      <c r="F376" s="128" t="s">
        <v>226</v>
      </c>
      <c r="G376" s="126" t="s">
        <v>89</v>
      </c>
      <c r="H376" s="126" t="s">
        <v>37</v>
      </c>
      <c r="I376" s="127" t="s">
        <v>91</v>
      </c>
      <c r="J376" s="84" t="s">
        <v>56</v>
      </c>
      <c r="K376" s="123">
        <f>623.4+33+3.8</f>
        <v>660.19999999999993</v>
      </c>
      <c r="L376" s="24">
        <f>M376-K376</f>
        <v>0</v>
      </c>
      <c r="M376" s="123">
        <f>623.4+33+3.8</f>
        <v>660.19999999999993</v>
      </c>
    </row>
    <row r="377" spans="1:14" s="124" customFormat="1" ht="18" customHeight="1" x14ac:dyDescent="0.35">
      <c r="A377" s="119"/>
      <c r="B377" s="534" t="s">
        <v>57</v>
      </c>
      <c r="C377" s="120" t="s">
        <v>417</v>
      </c>
      <c r="D377" s="121" t="s">
        <v>37</v>
      </c>
      <c r="E377" s="121" t="s">
        <v>71</v>
      </c>
      <c r="F377" s="92" t="s">
        <v>226</v>
      </c>
      <c r="G377" s="82" t="s">
        <v>89</v>
      </c>
      <c r="H377" s="82" t="s">
        <v>37</v>
      </c>
      <c r="I377" s="83" t="s">
        <v>91</v>
      </c>
      <c r="J377" s="84" t="s">
        <v>58</v>
      </c>
      <c r="K377" s="123">
        <v>22.7</v>
      </c>
      <c r="L377" s="24">
        <f>M377-K377</f>
        <v>0</v>
      </c>
      <c r="M377" s="123">
        <v>22.7</v>
      </c>
      <c r="N377" s="148"/>
    </row>
    <row r="378" spans="1:14" s="124" customFormat="1" ht="54" customHeight="1" x14ac:dyDescent="0.35">
      <c r="A378" s="119"/>
      <c r="B378" s="543" t="s">
        <v>359</v>
      </c>
      <c r="C378" s="160" t="s">
        <v>417</v>
      </c>
      <c r="D378" s="258" t="s">
        <v>37</v>
      </c>
      <c r="E378" s="258" t="s">
        <v>71</v>
      </c>
      <c r="F378" s="92" t="s">
        <v>226</v>
      </c>
      <c r="G378" s="82" t="s">
        <v>89</v>
      </c>
      <c r="H378" s="82" t="s">
        <v>37</v>
      </c>
      <c r="I378" s="83" t="s">
        <v>358</v>
      </c>
      <c r="J378" s="84"/>
      <c r="K378" s="123">
        <f>K379</f>
        <v>983.8</v>
      </c>
      <c r="L378" s="123">
        <f>L379</f>
        <v>-582.5</v>
      </c>
      <c r="M378" s="123">
        <f>M379</f>
        <v>401.29999999999995</v>
      </c>
      <c r="N378" s="148"/>
    </row>
    <row r="379" spans="1:14" s="124" customFormat="1" ht="54" customHeight="1" x14ac:dyDescent="0.35">
      <c r="A379" s="119"/>
      <c r="B379" s="544" t="s">
        <v>55</v>
      </c>
      <c r="C379" s="336" t="s">
        <v>417</v>
      </c>
      <c r="D379" s="337" t="s">
        <v>37</v>
      </c>
      <c r="E379" s="337" t="s">
        <v>71</v>
      </c>
      <c r="F379" s="129" t="s">
        <v>226</v>
      </c>
      <c r="G379" s="82" t="s">
        <v>89</v>
      </c>
      <c r="H379" s="82" t="s">
        <v>37</v>
      </c>
      <c r="I379" s="257" t="s">
        <v>358</v>
      </c>
      <c r="J379" s="84" t="s">
        <v>56</v>
      </c>
      <c r="K379" s="123">
        <f>401.3+582.5</f>
        <v>983.8</v>
      </c>
      <c r="L379" s="24">
        <f>M379-K379</f>
        <v>-582.5</v>
      </c>
      <c r="M379" s="123">
        <f>401.3+582.5-582.5</f>
        <v>401.29999999999995</v>
      </c>
      <c r="N379" s="148"/>
    </row>
    <row r="380" spans="1:14" s="124" customFormat="1" ht="54" customHeight="1" x14ac:dyDescent="0.35">
      <c r="A380" s="599"/>
      <c r="B380" s="600" t="s">
        <v>383</v>
      </c>
      <c r="C380" s="336" t="s">
        <v>417</v>
      </c>
      <c r="D380" s="337" t="s">
        <v>37</v>
      </c>
      <c r="E380" s="337" t="s">
        <v>71</v>
      </c>
      <c r="F380" s="129" t="s">
        <v>226</v>
      </c>
      <c r="G380" s="82" t="s">
        <v>89</v>
      </c>
      <c r="H380" s="82" t="s">
        <v>37</v>
      </c>
      <c r="I380" s="127" t="s">
        <v>382</v>
      </c>
      <c r="J380" s="565"/>
      <c r="K380" s="439">
        <f>K381</f>
        <v>320</v>
      </c>
      <c r="L380" s="24">
        <f>L381</f>
        <v>0</v>
      </c>
      <c r="M380" s="439">
        <f>M381</f>
        <v>320</v>
      </c>
      <c r="N380" s="148"/>
    </row>
    <row r="381" spans="1:14" s="124" customFormat="1" ht="54" customHeight="1" x14ac:dyDescent="0.35">
      <c r="A381" s="599"/>
      <c r="B381" s="544" t="s">
        <v>55</v>
      </c>
      <c r="C381" s="336" t="s">
        <v>417</v>
      </c>
      <c r="D381" s="337" t="s">
        <v>37</v>
      </c>
      <c r="E381" s="337" t="s">
        <v>71</v>
      </c>
      <c r="F381" s="129" t="s">
        <v>226</v>
      </c>
      <c r="G381" s="82" t="s">
        <v>89</v>
      </c>
      <c r="H381" s="82" t="s">
        <v>37</v>
      </c>
      <c r="I381" s="127" t="s">
        <v>382</v>
      </c>
      <c r="J381" s="84" t="s">
        <v>56</v>
      </c>
      <c r="K381" s="439">
        <f>33+17.4+269.6</f>
        <v>320</v>
      </c>
      <c r="L381" s="24">
        <f>M381-K381</f>
        <v>0</v>
      </c>
      <c r="M381" s="439">
        <f>33+17.4+269.6</f>
        <v>320</v>
      </c>
      <c r="N381" s="148"/>
    </row>
    <row r="382" spans="1:14" s="154" customFormat="1" ht="36" customHeight="1" x14ac:dyDescent="0.35">
      <c r="A382" s="149"/>
      <c r="B382" s="545" t="s">
        <v>356</v>
      </c>
      <c r="C382" s="150" t="s">
        <v>417</v>
      </c>
      <c r="D382" s="151" t="s">
        <v>37</v>
      </c>
      <c r="E382" s="151" t="s">
        <v>71</v>
      </c>
      <c r="F382" s="92" t="s">
        <v>226</v>
      </c>
      <c r="G382" s="93" t="s">
        <v>89</v>
      </c>
      <c r="H382" s="93" t="s">
        <v>39</v>
      </c>
      <c r="I382" s="94" t="s">
        <v>44</v>
      </c>
      <c r="J382" s="95"/>
      <c r="K382" s="152">
        <f t="shared" ref="K382:M383" si="53">K383</f>
        <v>989.09999999999991</v>
      </c>
      <c r="L382" s="152">
        <f t="shared" si="53"/>
        <v>0</v>
      </c>
      <c r="M382" s="152">
        <f t="shared" si="53"/>
        <v>989.09999999999991</v>
      </c>
      <c r="N382" s="153"/>
    </row>
    <row r="383" spans="1:14" s="154" customFormat="1" ht="54" customHeight="1" x14ac:dyDescent="0.35">
      <c r="A383" s="155"/>
      <c r="B383" s="546" t="s">
        <v>357</v>
      </c>
      <c r="C383" s="120" t="s">
        <v>417</v>
      </c>
      <c r="D383" s="121" t="s">
        <v>37</v>
      </c>
      <c r="E383" s="121" t="s">
        <v>71</v>
      </c>
      <c r="F383" s="129" t="s">
        <v>226</v>
      </c>
      <c r="G383" s="93" t="s">
        <v>89</v>
      </c>
      <c r="H383" s="93" t="s">
        <v>39</v>
      </c>
      <c r="I383" s="94" t="s">
        <v>105</v>
      </c>
      <c r="J383" s="96"/>
      <c r="K383" s="156">
        <f t="shared" si="53"/>
        <v>989.09999999999991</v>
      </c>
      <c r="L383" s="156">
        <f t="shared" si="53"/>
        <v>0</v>
      </c>
      <c r="M383" s="156">
        <f t="shared" si="53"/>
        <v>989.09999999999991</v>
      </c>
      <c r="N383" s="153"/>
    </row>
    <row r="384" spans="1:14" s="154" customFormat="1" ht="54" customHeight="1" x14ac:dyDescent="0.35">
      <c r="A384" s="155"/>
      <c r="B384" s="547" t="s">
        <v>55</v>
      </c>
      <c r="C384" s="120" t="s">
        <v>417</v>
      </c>
      <c r="D384" s="121" t="s">
        <v>37</v>
      </c>
      <c r="E384" s="121" t="s">
        <v>71</v>
      </c>
      <c r="F384" s="129" t="s">
        <v>226</v>
      </c>
      <c r="G384" s="98" t="s">
        <v>89</v>
      </c>
      <c r="H384" s="98" t="s">
        <v>39</v>
      </c>
      <c r="I384" s="157" t="s">
        <v>105</v>
      </c>
      <c r="J384" s="158" t="s">
        <v>56</v>
      </c>
      <c r="K384" s="242">
        <f>791.9+22.4+137.8+37</f>
        <v>989.09999999999991</v>
      </c>
      <c r="L384" s="24">
        <f>M384-K384</f>
        <v>0</v>
      </c>
      <c r="M384" s="242">
        <f>791.9+22.4+137.8+37</f>
        <v>989.09999999999991</v>
      </c>
      <c r="N384" s="153"/>
    </row>
    <row r="385" spans="1:14" s="154" customFormat="1" ht="36" customHeight="1" x14ac:dyDescent="0.35">
      <c r="A385" s="155"/>
      <c r="B385" s="548" t="s">
        <v>378</v>
      </c>
      <c r="C385" s="120" t="s">
        <v>417</v>
      </c>
      <c r="D385" s="121" t="s">
        <v>37</v>
      </c>
      <c r="E385" s="121" t="s">
        <v>71</v>
      </c>
      <c r="F385" s="129" t="s">
        <v>226</v>
      </c>
      <c r="G385" s="93" t="s">
        <v>89</v>
      </c>
      <c r="H385" s="93" t="s">
        <v>63</v>
      </c>
      <c r="I385" s="94" t="s">
        <v>44</v>
      </c>
      <c r="J385" s="96"/>
      <c r="K385" s="156">
        <f t="shared" ref="K385:M386" si="54">K386</f>
        <v>78.502999999999986</v>
      </c>
      <c r="L385" s="156">
        <f t="shared" si="54"/>
        <v>0</v>
      </c>
      <c r="M385" s="156">
        <f t="shared" si="54"/>
        <v>78.502999999999986</v>
      </c>
      <c r="N385" s="153"/>
    </row>
    <row r="386" spans="1:14" s="154" customFormat="1" ht="36" customHeight="1" x14ac:dyDescent="0.35">
      <c r="A386" s="155"/>
      <c r="B386" s="548" t="s">
        <v>342</v>
      </c>
      <c r="C386" s="120" t="s">
        <v>417</v>
      </c>
      <c r="D386" s="121" t="s">
        <v>37</v>
      </c>
      <c r="E386" s="121" t="s">
        <v>71</v>
      </c>
      <c r="F386" s="97" t="s">
        <v>226</v>
      </c>
      <c r="G386" s="98" t="s">
        <v>89</v>
      </c>
      <c r="H386" s="98" t="s">
        <v>63</v>
      </c>
      <c r="I386" s="157" t="s">
        <v>341</v>
      </c>
      <c r="J386" s="96"/>
      <c r="K386" s="156">
        <f t="shared" si="54"/>
        <v>78.502999999999986</v>
      </c>
      <c r="L386" s="156">
        <f t="shared" si="54"/>
        <v>0</v>
      </c>
      <c r="M386" s="156">
        <f t="shared" si="54"/>
        <v>78.502999999999986</v>
      </c>
      <c r="N386" s="153"/>
    </row>
    <row r="387" spans="1:14" s="154" customFormat="1" ht="18" customHeight="1" x14ac:dyDescent="0.35">
      <c r="A387" s="159"/>
      <c r="B387" s="534" t="s">
        <v>57</v>
      </c>
      <c r="C387" s="160" t="s">
        <v>417</v>
      </c>
      <c r="D387" s="121" t="s">
        <v>37</v>
      </c>
      <c r="E387" s="121" t="s">
        <v>71</v>
      </c>
      <c r="F387" s="92" t="s">
        <v>226</v>
      </c>
      <c r="G387" s="93" t="s">
        <v>89</v>
      </c>
      <c r="H387" s="93" t="s">
        <v>63</v>
      </c>
      <c r="I387" s="94" t="s">
        <v>341</v>
      </c>
      <c r="J387" s="96" t="s">
        <v>58</v>
      </c>
      <c r="K387" s="242">
        <f>12.5+56.403+9.6</f>
        <v>78.502999999999986</v>
      </c>
      <c r="L387" s="24">
        <f>M387-K387</f>
        <v>0</v>
      </c>
      <c r="M387" s="242">
        <f>12.5+56.403+9.6</f>
        <v>78.502999999999986</v>
      </c>
      <c r="N387" s="153"/>
    </row>
    <row r="388" spans="1:14" s="154" customFormat="1" ht="36" customHeight="1" x14ac:dyDescent="0.35">
      <c r="A388" s="159"/>
      <c r="B388" s="549" t="s">
        <v>344</v>
      </c>
      <c r="C388" s="160" t="s">
        <v>417</v>
      </c>
      <c r="D388" s="121" t="s">
        <v>37</v>
      </c>
      <c r="E388" s="121" t="s">
        <v>71</v>
      </c>
      <c r="F388" s="92" t="s">
        <v>226</v>
      </c>
      <c r="G388" s="93" t="s">
        <v>30</v>
      </c>
      <c r="H388" s="93" t="s">
        <v>43</v>
      </c>
      <c r="I388" s="94" t="s">
        <v>44</v>
      </c>
      <c r="J388" s="96"/>
      <c r="K388" s="431">
        <f t="shared" ref="K388:M389" si="55">K389</f>
        <v>17298.31306</v>
      </c>
      <c r="L388" s="431">
        <f t="shared" si="55"/>
        <v>-28.300000000000182</v>
      </c>
      <c r="M388" s="431">
        <f t="shared" si="55"/>
        <v>17270.013059999997</v>
      </c>
      <c r="N388" s="153"/>
    </row>
    <row r="389" spans="1:14" s="154" customFormat="1" ht="36" customHeight="1" x14ac:dyDescent="0.35">
      <c r="A389" s="455"/>
      <c r="B389" s="550" t="s">
        <v>378</v>
      </c>
      <c r="C389" s="447" t="s">
        <v>417</v>
      </c>
      <c r="D389" s="456" t="s">
        <v>37</v>
      </c>
      <c r="E389" s="456" t="s">
        <v>71</v>
      </c>
      <c r="F389" s="457" t="s">
        <v>226</v>
      </c>
      <c r="G389" s="458" t="s">
        <v>30</v>
      </c>
      <c r="H389" s="458" t="s">
        <v>226</v>
      </c>
      <c r="I389" s="459" t="s">
        <v>44</v>
      </c>
      <c r="J389" s="460"/>
      <c r="K389" s="431">
        <f t="shared" si="55"/>
        <v>17298.31306</v>
      </c>
      <c r="L389" s="431">
        <f t="shared" si="55"/>
        <v>-28.300000000000182</v>
      </c>
      <c r="M389" s="431">
        <f t="shared" si="55"/>
        <v>17270.013059999997</v>
      </c>
      <c r="N389" s="153"/>
    </row>
    <row r="390" spans="1:14" s="154" customFormat="1" ht="36" customHeight="1" x14ac:dyDescent="0.35">
      <c r="A390" s="604"/>
      <c r="B390" s="605" t="s">
        <v>342</v>
      </c>
      <c r="C390" s="150" t="s">
        <v>417</v>
      </c>
      <c r="D390" s="449" t="s">
        <v>37</v>
      </c>
      <c r="E390" s="449" t="s">
        <v>71</v>
      </c>
      <c r="F390" s="450" t="s">
        <v>226</v>
      </c>
      <c r="G390" s="451" t="s">
        <v>30</v>
      </c>
      <c r="H390" s="451" t="s">
        <v>226</v>
      </c>
      <c r="I390" s="452" t="s">
        <v>341</v>
      </c>
      <c r="J390" s="453"/>
      <c r="K390" s="454">
        <f>K391+K392+K393</f>
        <v>17298.31306</v>
      </c>
      <c r="L390" s="454">
        <f>L391+L392+L393</f>
        <v>-28.300000000000182</v>
      </c>
      <c r="M390" s="454">
        <f>M391+M392+M393</f>
        <v>17270.013059999997</v>
      </c>
      <c r="N390" s="153"/>
    </row>
    <row r="391" spans="1:14" s="154" customFormat="1" ht="54" customHeight="1" x14ac:dyDescent="0.35">
      <c r="A391" s="570"/>
      <c r="B391" s="601" t="s">
        <v>55</v>
      </c>
      <c r="C391" s="336" t="s">
        <v>417</v>
      </c>
      <c r="D391" s="602" t="s">
        <v>37</v>
      </c>
      <c r="E391" s="449" t="s">
        <v>71</v>
      </c>
      <c r="F391" s="450" t="s">
        <v>226</v>
      </c>
      <c r="G391" s="451" t="s">
        <v>30</v>
      </c>
      <c r="H391" s="451" t="s">
        <v>226</v>
      </c>
      <c r="I391" s="452" t="s">
        <v>341</v>
      </c>
      <c r="J391" s="453" t="s">
        <v>56</v>
      </c>
      <c r="K391" s="454">
        <f>96+580+1270.7+98.913+1618.41+98.1-98.1+267.944-230.751-70.711+87.664</f>
        <v>3718.1690000000003</v>
      </c>
      <c r="L391" s="24">
        <f>M391-K391</f>
        <v>-28.300000000000182</v>
      </c>
      <c r="M391" s="454">
        <f>96+580+1270.7+98.913+1618.41+98.1-98.1+267.944-230.751-70.711+87.664-28.3</f>
        <v>3689.8690000000001</v>
      </c>
      <c r="N391" s="153"/>
    </row>
    <row r="392" spans="1:14" s="154" customFormat="1" ht="54" customHeight="1" x14ac:dyDescent="0.35">
      <c r="A392" s="570"/>
      <c r="B392" s="606" t="s">
        <v>203</v>
      </c>
      <c r="C392" s="607" t="s">
        <v>417</v>
      </c>
      <c r="D392" s="603" t="s">
        <v>37</v>
      </c>
      <c r="E392" s="478" t="s">
        <v>71</v>
      </c>
      <c r="F392" s="383" t="s">
        <v>226</v>
      </c>
      <c r="G392" s="385" t="s">
        <v>30</v>
      </c>
      <c r="H392" s="385" t="s">
        <v>226</v>
      </c>
      <c r="I392" s="386" t="s">
        <v>341</v>
      </c>
      <c r="J392" s="487" t="s">
        <v>204</v>
      </c>
      <c r="K392" s="454">
        <f>21000-900-6752.94294</f>
        <v>13347.057059999999</v>
      </c>
      <c r="L392" s="24">
        <f>M392-K392</f>
        <v>0</v>
      </c>
      <c r="M392" s="454">
        <f>21000-900-6752.94294</f>
        <v>13347.057059999999</v>
      </c>
      <c r="N392" s="153"/>
    </row>
    <row r="393" spans="1:14" s="154" customFormat="1" ht="18" customHeight="1" x14ac:dyDescent="0.35">
      <c r="A393" s="570"/>
      <c r="B393" s="541" t="s">
        <v>57</v>
      </c>
      <c r="C393" s="336" t="s">
        <v>417</v>
      </c>
      <c r="D393" s="608" t="s">
        <v>37</v>
      </c>
      <c r="E393" s="121" t="s">
        <v>71</v>
      </c>
      <c r="F393" s="92" t="s">
        <v>226</v>
      </c>
      <c r="G393" s="93" t="s">
        <v>30</v>
      </c>
      <c r="H393" s="93" t="s">
        <v>226</v>
      </c>
      <c r="I393" s="94" t="s">
        <v>341</v>
      </c>
      <c r="J393" s="438" t="s">
        <v>58</v>
      </c>
      <c r="K393" s="431">
        <f>91.8+17.8+98.1+25.387</f>
        <v>233.08699999999999</v>
      </c>
      <c r="L393" s="24">
        <f>M393-K393</f>
        <v>0</v>
      </c>
      <c r="M393" s="431">
        <f>91.8+17.8+98.1+25.387</f>
        <v>233.08699999999999</v>
      </c>
      <c r="N393" s="153"/>
    </row>
    <row r="394" spans="1:14" s="154" customFormat="1" ht="54" customHeight="1" x14ac:dyDescent="0.35">
      <c r="A394" s="448"/>
      <c r="B394" s="609" t="s">
        <v>230</v>
      </c>
      <c r="C394" s="610" t="s">
        <v>417</v>
      </c>
      <c r="D394" s="121" t="s">
        <v>37</v>
      </c>
      <c r="E394" s="121" t="s">
        <v>71</v>
      </c>
      <c r="F394" s="99" t="s">
        <v>79</v>
      </c>
      <c r="G394" s="100" t="s">
        <v>42</v>
      </c>
      <c r="H394" s="100" t="s">
        <v>43</v>
      </c>
      <c r="I394" s="101" t="s">
        <v>44</v>
      </c>
      <c r="J394" s="102"/>
      <c r="K394" s="431">
        <f t="shared" ref="K394:M397" si="56">K395</f>
        <v>81.324029999999993</v>
      </c>
      <c r="L394" s="431">
        <f t="shared" si="56"/>
        <v>0</v>
      </c>
      <c r="M394" s="431">
        <f t="shared" si="56"/>
        <v>81.324029999999993</v>
      </c>
      <c r="N394" s="153"/>
    </row>
    <row r="395" spans="1:14" s="154" customFormat="1" ht="36" customHeight="1" x14ac:dyDescent="0.35">
      <c r="A395" s="159"/>
      <c r="B395" s="543" t="s">
        <v>344</v>
      </c>
      <c r="C395" s="131" t="s">
        <v>417</v>
      </c>
      <c r="D395" s="121" t="s">
        <v>37</v>
      </c>
      <c r="E395" s="121" t="s">
        <v>71</v>
      </c>
      <c r="F395" s="99" t="s">
        <v>79</v>
      </c>
      <c r="G395" s="100" t="s">
        <v>45</v>
      </c>
      <c r="H395" s="100" t="s">
        <v>43</v>
      </c>
      <c r="I395" s="101" t="s">
        <v>44</v>
      </c>
      <c r="J395" s="102"/>
      <c r="K395" s="431">
        <f t="shared" si="56"/>
        <v>81.324029999999993</v>
      </c>
      <c r="L395" s="431">
        <f t="shared" si="56"/>
        <v>0</v>
      </c>
      <c r="M395" s="431">
        <f t="shared" si="56"/>
        <v>81.324029999999993</v>
      </c>
      <c r="N395" s="153"/>
    </row>
    <row r="396" spans="1:14" s="154" customFormat="1" ht="90" customHeight="1" x14ac:dyDescent="0.35">
      <c r="A396" s="159"/>
      <c r="B396" s="543" t="s">
        <v>305</v>
      </c>
      <c r="C396" s="131" t="s">
        <v>417</v>
      </c>
      <c r="D396" s="121" t="s">
        <v>37</v>
      </c>
      <c r="E396" s="121" t="s">
        <v>71</v>
      </c>
      <c r="F396" s="99" t="s">
        <v>79</v>
      </c>
      <c r="G396" s="100" t="s">
        <v>45</v>
      </c>
      <c r="H396" s="100" t="s">
        <v>39</v>
      </c>
      <c r="I396" s="101" t="s">
        <v>44</v>
      </c>
      <c r="J396" s="102"/>
      <c r="K396" s="431">
        <f t="shared" si="56"/>
        <v>81.324029999999993</v>
      </c>
      <c r="L396" s="431">
        <f t="shared" si="56"/>
        <v>0</v>
      </c>
      <c r="M396" s="431">
        <f t="shared" si="56"/>
        <v>81.324029999999993</v>
      </c>
      <c r="N396" s="153"/>
    </row>
    <row r="397" spans="1:14" s="154" customFormat="1" ht="108" customHeight="1" x14ac:dyDescent="0.35">
      <c r="A397" s="159"/>
      <c r="B397" s="534" t="s">
        <v>419</v>
      </c>
      <c r="C397" s="120" t="s">
        <v>417</v>
      </c>
      <c r="D397" s="121" t="s">
        <v>37</v>
      </c>
      <c r="E397" s="121" t="s">
        <v>71</v>
      </c>
      <c r="F397" s="81" t="s">
        <v>79</v>
      </c>
      <c r="G397" s="82" t="s">
        <v>45</v>
      </c>
      <c r="H397" s="82" t="s">
        <v>39</v>
      </c>
      <c r="I397" s="103" t="s">
        <v>420</v>
      </c>
      <c r="J397" s="84"/>
      <c r="K397" s="431">
        <f t="shared" si="56"/>
        <v>81.324029999999993</v>
      </c>
      <c r="L397" s="431">
        <f t="shared" si="56"/>
        <v>0</v>
      </c>
      <c r="M397" s="431">
        <f t="shared" si="56"/>
        <v>81.324029999999993</v>
      </c>
      <c r="N397" s="153"/>
    </row>
    <row r="398" spans="1:14" s="154" customFormat="1" ht="54" customHeight="1" x14ac:dyDescent="0.35">
      <c r="A398" s="159"/>
      <c r="B398" s="543" t="s">
        <v>55</v>
      </c>
      <c r="C398" s="120" t="s">
        <v>417</v>
      </c>
      <c r="D398" s="121" t="s">
        <v>37</v>
      </c>
      <c r="E398" s="121" t="s">
        <v>71</v>
      </c>
      <c r="F398" s="81" t="s">
        <v>79</v>
      </c>
      <c r="G398" s="82" t="s">
        <v>45</v>
      </c>
      <c r="H398" s="82" t="s">
        <v>39</v>
      </c>
      <c r="I398" s="103" t="s">
        <v>420</v>
      </c>
      <c r="J398" s="438" t="s">
        <v>56</v>
      </c>
      <c r="K398" s="431">
        <f>75.3+6.02403</f>
        <v>81.324029999999993</v>
      </c>
      <c r="L398" s="24">
        <f>M398-K398</f>
        <v>0</v>
      </c>
      <c r="M398" s="431">
        <f>75.3+6.02403</f>
        <v>81.324029999999993</v>
      </c>
      <c r="N398" s="153"/>
    </row>
    <row r="399" spans="1:14" s="124" customFormat="1" ht="54" customHeight="1" x14ac:dyDescent="0.35">
      <c r="A399" s="119"/>
      <c r="B399" s="549" t="s">
        <v>40</v>
      </c>
      <c r="C399" s="120" t="s">
        <v>417</v>
      </c>
      <c r="D399" s="121" t="s">
        <v>37</v>
      </c>
      <c r="E399" s="121" t="s">
        <v>71</v>
      </c>
      <c r="F399" s="129" t="s">
        <v>41</v>
      </c>
      <c r="G399" s="82" t="s">
        <v>42</v>
      </c>
      <c r="H399" s="82" t="s">
        <v>43</v>
      </c>
      <c r="I399" s="83" t="s">
        <v>44</v>
      </c>
      <c r="J399" s="84"/>
      <c r="K399" s="249">
        <f t="shared" ref="K399:M401" si="57">K400</f>
        <v>6227.4000000000005</v>
      </c>
      <c r="L399" s="249">
        <f t="shared" si="57"/>
        <v>349.99999999999994</v>
      </c>
      <c r="M399" s="249">
        <f t="shared" si="57"/>
        <v>6577.4</v>
      </c>
      <c r="N399" s="148"/>
    </row>
    <row r="400" spans="1:14" s="124" customFormat="1" ht="36" customHeight="1" x14ac:dyDescent="0.35">
      <c r="A400" s="119"/>
      <c r="B400" s="543" t="s">
        <v>344</v>
      </c>
      <c r="C400" s="120" t="s">
        <v>417</v>
      </c>
      <c r="D400" s="121" t="s">
        <v>37</v>
      </c>
      <c r="E400" s="121" t="s">
        <v>71</v>
      </c>
      <c r="F400" s="92" t="s">
        <v>41</v>
      </c>
      <c r="G400" s="82" t="s">
        <v>45</v>
      </c>
      <c r="H400" s="82" t="s">
        <v>43</v>
      </c>
      <c r="I400" s="83" t="s">
        <v>44</v>
      </c>
      <c r="J400" s="84"/>
      <c r="K400" s="123">
        <f t="shared" si="57"/>
        <v>6227.4000000000005</v>
      </c>
      <c r="L400" s="123">
        <f t="shared" si="57"/>
        <v>349.99999999999994</v>
      </c>
      <c r="M400" s="123">
        <f t="shared" si="57"/>
        <v>6577.4</v>
      </c>
      <c r="N400" s="148"/>
    </row>
    <row r="401" spans="1:14" s="124" customFormat="1" ht="72" customHeight="1" x14ac:dyDescent="0.35">
      <c r="A401" s="119"/>
      <c r="B401" s="534" t="s">
        <v>304</v>
      </c>
      <c r="C401" s="120" t="s">
        <v>417</v>
      </c>
      <c r="D401" s="121" t="s">
        <v>37</v>
      </c>
      <c r="E401" s="121" t="s">
        <v>71</v>
      </c>
      <c r="F401" s="92" t="s">
        <v>41</v>
      </c>
      <c r="G401" s="82" t="s">
        <v>45</v>
      </c>
      <c r="H401" s="82" t="s">
        <v>81</v>
      </c>
      <c r="I401" s="83" t="s">
        <v>44</v>
      </c>
      <c r="J401" s="84"/>
      <c r="K401" s="123">
        <f t="shared" si="57"/>
        <v>6227.4000000000005</v>
      </c>
      <c r="L401" s="123">
        <f t="shared" si="57"/>
        <v>349.99999999999994</v>
      </c>
      <c r="M401" s="123">
        <f t="shared" si="57"/>
        <v>6577.4</v>
      </c>
      <c r="N401" s="148"/>
    </row>
    <row r="402" spans="1:14" s="124" customFormat="1" ht="36" customHeight="1" x14ac:dyDescent="0.35">
      <c r="A402" s="119"/>
      <c r="B402" s="531" t="s">
        <v>466</v>
      </c>
      <c r="C402" s="120" t="s">
        <v>417</v>
      </c>
      <c r="D402" s="121" t="s">
        <v>37</v>
      </c>
      <c r="E402" s="121" t="s">
        <v>71</v>
      </c>
      <c r="F402" s="92" t="s">
        <v>41</v>
      </c>
      <c r="G402" s="82" t="s">
        <v>45</v>
      </c>
      <c r="H402" s="82" t="s">
        <v>81</v>
      </c>
      <c r="I402" s="83" t="s">
        <v>91</v>
      </c>
      <c r="J402" s="84"/>
      <c r="K402" s="260">
        <f>K403+K404</f>
        <v>6227.4000000000005</v>
      </c>
      <c r="L402" s="260">
        <f>L403+L404</f>
        <v>349.99999999999994</v>
      </c>
      <c r="M402" s="260">
        <f>M403+M404</f>
        <v>6577.4</v>
      </c>
      <c r="N402" s="148"/>
    </row>
    <row r="403" spans="1:14" s="124" customFormat="1" ht="108" customHeight="1" x14ac:dyDescent="0.35">
      <c r="A403" s="119"/>
      <c r="B403" s="534" t="s">
        <v>49</v>
      </c>
      <c r="C403" s="120" t="s">
        <v>417</v>
      </c>
      <c r="D403" s="121" t="s">
        <v>37</v>
      </c>
      <c r="E403" s="121" t="s">
        <v>71</v>
      </c>
      <c r="F403" s="92" t="s">
        <v>41</v>
      </c>
      <c r="G403" s="82" t="s">
        <v>45</v>
      </c>
      <c r="H403" s="82" t="s">
        <v>81</v>
      </c>
      <c r="I403" s="83" t="s">
        <v>91</v>
      </c>
      <c r="J403" s="84" t="s">
        <v>50</v>
      </c>
      <c r="K403" s="243">
        <v>5728.3</v>
      </c>
      <c r="L403" s="24">
        <f>M403-K403</f>
        <v>0</v>
      </c>
      <c r="M403" s="243">
        <f>5728.3-350+350</f>
        <v>5728.3</v>
      </c>
      <c r="N403" s="148"/>
    </row>
    <row r="404" spans="1:14" s="124" customFormat="1" ht="54" customHeight="1" x14ac:dyDescent="0.35">
      <c r="A404" s="119"/>
      <c r="B404" s="543" t="s">
        <v>55</v>
      </c>
      <c r="C404" s="120" t="s">
        <v>417</v>
      </c>
      <c r="D404" s="121" t="s">
        <v>37</v>
      </c>
      <c r="E404" s="121" t="s">
        <v>71</v>
      </c>
      <c r="F404" s="92" t="s">
        <v>41</v>
      </c>
      <c r="G404" s="82" t="s">
        <v>45</v>
      </c>
      <c r="H404" s="82" t="s">
        <v>81</v>
      </c>
      <c r="I404" s="83" t="s">
        <v>91</v>
      </c>
      <c r="J404" s="84" t="s">
        <v>56</v>
      </c>
      <c r="K404" s="243">
        <f>458.7+40.4</f>
        <v>499.09999999999997</v>
      </c>
      <c r="L404" s="24">
        <f>M404-K404</f>
        <v>349.99999999999994</v>
      </c>
      <c r="M404" s="243">
        <f>458.7+40.4+350</f>
        <v>849.09999999999991</v>
      </c>
      <c r="N404" s="148"/>
    </row>
    <row r="405" spans="1:14" s="124" customFormat="1" ht="108" x14ac:dyDescent="0.35">
      <c r="A405" s="119"/>
      <c r="B405" s="543" t="s">
        <v>681</v>
      </c>
      <c r="C405" s="120" t="s">
        <v>417</v>
      </c>
      <c r="D405" s="121" t="s">
        <v>37</v>
      </c>
      <c r="E405" s="121" t="s">
        <v>71</v>
      </c>
      <c r="F405" s="92" t="s">
        <v>682</v>
      </c>
      <c r="G405" s="100" t="s">
        <v>42</v>
      </c>
      <c r="H405" s="100" t="s">
        <v>43</v>
      </c>
      <c r="I405" s="101" t="s">
        <v>44</v>
      </c>
      <c r="J405" s="84"/>
      <c r="K405" s="243">
        <f t="shared" ref="K405:M408" si="58">K406</f>
        <v>614.27200000000005</v>
      </c>
      <c r="L405" s="24">
        <f t="shared" si="58"/>
        <v>0</v>
      </c>
      <c r="M405" s="243">
        <f t="shared" si="58"/>
        <v>614.27200000000005</v>
      </c>
      <c r="N405" s="148"/>
    </row>
    <row r="406" spans="1:14" s="124" customFormat="1" ht="108" x14ac:dyDescent="0.35">
      <c r="A406" s="119"/>
      <c r="B406" s="543" t="s">
        <v>683</v>
      </c>
      <c r="C406" s="120" t="s">
        <v>417</v>
      </c>
      <c r="D406" s="121" t="s">
        <v>37</v>
      </c>
      <c r="E406" s="121" t="s">
        <v>71</v>
      </c>
      <c r="F406" s="92" t="s">
        <v>682</v>
      </c>
      <c r="G406" s="82" t="s">
        <v>89</v>
      </c>
      <c r="H406" s="82" t="s">
        <v>43</v>
      </c>
      <c r="I406" s="83" t="s">
        <v>44</v>
      </c>
      <c r="J406" s="84"/>
      <c r="K406" s="243">
        <f t="shared" si="58"/>
        <v>614.27200000000005</v>
      </c>
      <c r="L406" s="24">
        <f t="shared" si="58"/>
        <v>0</v>
      </c>
      <c r="M406" s="243">
        <f t="shared" si="58"/>
        <v>614.27200000000005</v>
      </c>
      <c r="N406" s="148"/>
    </row>
    <row r="407" spans="1:14" s="124" customFormat="1" ht="90" x14ac:dyDescent="0.35">
      <c r="A407" s="119"/>
      <c r="B407" s="543" t="s">
        <v>735</v>
      </c>
      <c r="C407" s="120" t="s">
        <v>417</v>
      </c>
      <c r="D407" s="121" t="s">
        <v>37</v>
      </c>
      <c r="E407" s="121" t="s">
        <v>71</v>
      </c>
      <c r="F407" s="92" t="s">
        <v>682</v>
      </c>
      <c r="G407" s="82" t="s">
        <v>89</v>
      </c>
      <c r="H407" s="82" t="s">
        <v>81</v>
      </c>
      <c r="I407" s="83" t="s">
        <v>44</v>
      </c>
      <c r="J407" s="84"/>
      <c r="K407" s="243">
        <f t="shared" si="58"/>
        <v>614.27200000000005</v>
      </c>
      <c r="L407" s="24">
        <f t="shared" si="58"/>
        <v>0</v>
      </c>
      <c r="M407" s="243">
        <f t="shared" si="58"/>
        <v>614.27200000000005</v>
      </c>
      <c r="N407" s="148"/>
    </row>
    <row r="408" spans="1:14" s="124" customFormat="1" ht="36" x14ac:dyDescent="0.35">
      <c r="A408" s="119"/>
      <c r="B408" s="543" t="s">
        <v>449</v>
      </c>
      <c r="C408" s="120" t="s">
        <v>417</v>
      </c>
      <c r="D408" s="121" t="s">
        <v>37</v>
      </c>
      <c r="E408" s="121" t="s">
        <v>71</v>
      </c>
      <c r="F408" s="92" t="s">
        <v>682</v>
      </c>
      <c r="G408" s="82" t="s">
        <v>89</v>
      </c>
      <c r="H408" s="82" t="s">
        <v>81</v>
      </c>
      <c r="I408" s="83" t="s">
        <v>69</v>
      </c>
      <c r="J408" s="84"/>
      <c r="K408" s="243">
        <f t="shared" si="58"/>
        <v>614.27200000000005</v>
      </c>
      <c r="L408" s="24">
        <f t="shared" si="58"/>
        <v>0</v>
      </c>
      <c r="M408" s="243">
        <f t="shared" si="58"/>
        <v>614.27200000000005</v>
      </c>
      <c r="N408" s="148"/>
    </row>
    <row r="409" spans="1:14" s="124" customFormat="1" ht="54" customHeight="1" x14ac:dyDescent="0.35">
      <c r="A409" s="119"/>
      <c r="B409" s="543" t="s">
        <v>55</v>
      </c>
      <c r="C409" s="120" t="s">
        <v>417</v>
      </c>
      <c r="D409" s="121" t="s">
        <v>37</v>
      </c>
      <c r="E409" s="121" t="s">
        <v>71</v>
      </c>
      <c r="F409" s="92" t="s">
        <v>682</v>
      </c>
      <c r="G409" s="82" t="s">
        <v>89</v>
      </c>
      <c r="H409" s="82" t="s">
        <v>81</v>
      </c>
      <c r="I409" s="83" t="s">
        <v>69</v>
      </c>
      <c r="J409" s="84" t="s">
        <v>56</v>
      </c>
      <c r="K409" s="243">
        <v>614.27200000000005</v>
      </c>
      <c r="L409" s="24">
        <f>M409-K409</f>
        <v>0</v>
      </c>
      <c r="M409" s="243">
        <v>614.27200000000005</v>
      </c>
      <c r="N409" s="148"/>
    </row>
    <row r="410" spans="1:14" s="124" customFormat="1" ht="18" customHeight="1" x14ac:dyDescent="0.35">
      <c r="A410" s="119"/>
      <c r="B410" s="543" t="s">
        <v>92</v>
      </c>
      <c r="C410" s="120" t="s">
        <v>417</v>
      </c>
      <c r="D410" s="121" t="s">
        <v>52</v>
      </c>
      <c r="E410" s="121"/>
      <c r="F410" s="92"/>
      <c r="G410" s="82"/>
      <c r="H410" s="82"/>
      <c r="I410" s="83"/>
      <c r="J410" s="84"/>
      <c r="K410" s="249">
        <f t="shared" ref="K410:M415" si="59">K411</f>
        <v>1089.4000000000001</v>
      </c>
      <c r="L410" s="249">
        <f t="shared" si="59"/>
        <v>0</v>
      </c>
      <c r="M410" s="249">
        <f t="shared" si="59"/>
        <v>1089.4000000000001</v>
      </c>
      <c r="N410" s="148"/>
    </row>
    <row r="411" spans="1:14" s="124" customFormat="1" ht="36" customHeight="1" x14ac:dyDescent="0.35">
      <c r="A411" s="119"/>
      <c r="B411" s="552" t="s">
        <v>106</v>
      </c>
      <c r="C411" s="120" t="s">
        <v>417</v>
      </c>
      <c r="D411" s="121" t="s">
        <v>52</v>
      </c>
      <c r="E411" s="121" t="s">
        <v>100</v>
      </c>
      <c r="F411" s="92"/>
      <c r="G411" s="82"/>
      <c r="H411" s="82"/>
      <c r="I411" s="83"/>
      <c r="J411" s="84"/>
      <c r="K411" s="123">
        <f t="shared" si="59"/>
        <v>1089.4000000000001</v>
      </c>
      <c r="L411" s="123">
        <f t="shared" si="59"/>
        <v>0</v>
      </c>
      <c r="M411" s="123">
        <f t="shared" si="59"/>
        <v>1089.4000000000001</v>
      </c>
      <c r="N411" s="148"/>
    </row>
    <row r="412" spans="1:14" s="124" customFormat="1" ht="54" customHeight="1" x14ac:dyDescent="0.35">
      <c r="A412" s="119"/>
      <c r="B412" s="534" t="s">
        <v>225</v>
      </c>
      <c r="C412" s="120" t="s">
        <v>417</v>
      </c>
      <c r="D412" s="121" t="s">
        <v>52</v>
      </c>
      <c r="E412" s="121" t="s">
        <v>100</v>
      </c>
      <c r="F412" s="92" t="s">
        <v>226</v>
      </c>
      <c r="G412" s="82" t="s">
        <v>42</v>
      </c>
      <c r="H412" s="82" t="s">
        <v>43</v>
      </c>
      <c r="I412" s="83" t="s">
        <v>44</v>
      </c>
      <c r="J412" s="84"/>
      <c r="K412" s="123">
        <f>K413+K417</f>
        <v>1089.4000000000001</v>
      </c>
      <c r="L412" s="123">
        <f>L413+L417</f>
        <v>0</v>
      </c>
      <c r="M412" s="123">
        <f>M413+M417</f>
        <v>1089.4000000000001</v>
      </c>
      <c r="N412" s="148"/>
    </row>
    <row r="413" spans="1:14" s="124" customFormat="1" ht="36" customHeight="1" x14ac:dyDescent="0.35">
      <c r="A413" s="119"/>
      <c r="B413" s="534" t="s">
        <v>227</v>
      </c>
      <c r="C413" s="120" t="s">
        <v>417</v>
      </c>
      <c r="D413" s="121" t="s">
        <v>52</v>
      </c>
      <c r="E413" s="121" t="s">
        <v>100</v>
      </c>
      <c r="F413" s="92" t="s">
        <v>226</v>
      </c>
      <c r="G413" s="82" t="s">
        <v>45</v>
      </c>
      <c r="H413" s="82" t="s">
        <v>43</v>
      </c>
      <c r="I413" s="83" t="s">
        <v>44</v>
      </c>
      <c r="J413" s="84"/>
      <c r="K413" s="123">
        <f t="shared" si="59"/>
        <v>1078.2</v>
      </c>
      <c r="L413" s="123">
        <f t="shared" si="59"/>
        <v>0</v>
      </c>
      <c r="M413" s="123">
        <f t="shared" si="59"/>
        <v>1078.2</v>
      </c>
      <c r="N413" s="148"/>
    </row>
    <row r="414" spans="1:14" s="124" customFormat="1" ht="90" customHeight="1" x14ac:dyDescent="0.35">
      <c r="A414" s="119"/>
      <c r="B414" s="534" t="s">
        <v>302</v>
      </c>
      <c r="C414" s="120" t="s">
        <v>417</v>
      </c>
      <c r="D414" s="121" t="s">
        <v>52</v>
      </c>
      <c r="E414" s="121" t="s">
        <v>100</v>
      </c>
      <c r="F414" s="92" t="s">
        <v>226</v>
      </c>
      <c r="G414" s="82" t="s">
        <v>45</v>
      </c>
      <c r="H414" s="82" t="s">
        <v>37</v>
      </c>
      <c r="I414" s="83" t="s">
        <v>44</v>
      </c>
      <c r="J414" s="84"/>
      <c r="K414" s="123">
        <f t="shared" si="59"/>
        <v>1078.2</v>
      </c>
      <c r="L414" s="123">
        <f t="shared" si="59"/>
        <v>0</v>
      </c>
      <c r="M414" s="123">
        <f t="shared" si="59"/>
        <v>1078.2</v>
      </c>
      <c r="N414" s="148"/>
    </row>
    <row r="415" spans="1:14" s="124" customFormat="1" ht="36" customHeight="1" x14ac:dyDescent="0.35">
      <c r="A415" s="119"/>
      <c r="B415" s="534" t="s">
        <v>376</v>
      </c>
      <c r="C415" s="120" t="s">
        <v>417</v>
      </c>
      <c r="D415" s="121" t="s">
        <v>52</v>
      </c>
      <c r="E415" s="121" t="s">
        <v>100</v>
      </c>
      <c r="F415" s="92" t="s">
        <v>226</v>
      </c>
      <c r="G415" s="82" t="s">
        <v>45</v>
      </c>
      <c r="H415" s="82" t="s">
        <v>37</v>
      </c>
      <c r="I415" s="83" t="s">
        <v>375</v>
      </c>
      <c r="J415" s="84"/>
      <c r="K415" s="123">
        <f t="shared" si="59"/>
        <v>1078.2</v>
      </c>
      <c r="L415" s="123">
        <f t="shared" si="59"/>
        <v>0</v>
      </c>
      <c r="M415" s="123">
        <f t="shared" si="59"/>
        <v>1078.2</v>
      </c>
      <c r="N415" s="148"/>
    </row>
    <row r="416" spans="1:14" s="124" customFormat="1" ht="54" customHeight="1" x14ac:dyDescent="0.35">
      <c r="A416" s="119"/>
      <c r="B416" s="630" t="s">
        <v>55</v>
      </c>
      <c r="C416" s="120" t="s">
        <v>417</v>
      </c>
      <c r="D416" s="121" t="s">
        <v>52</v>
      </c>
      <c r="E416" s="121" t="s">
        <v>100</v>
      </c>
      <c r="F416" s="92" t="s">
        <v>226</v>
      </c>
      <c r="G416" s="82" t="s">
        <v>45</v>
      </c>
      <c r="H416" s="82" t="s">
        <v>37</v>
      </c>
      <c r="I416" s="83" t="s">
        <v>375</v>
      </c>
      <c r="J416" s="84" t="s">
        <v>56</v>
      </c>
      <c r="K416" s="123">
        <f>1074+4.2</f>
        <v>1078.2</v>
      </c>
      <c r="L416" s="24">
        <f>M416-K416</f>
        <v>0</v>
      </c>
      <c r="M416" s="123">
        <f>1074+4.2</f>
        <v>1078.2</v>
      </c>
      <c r="N416" s="148"/>
    </row>
    <row r="417" spans="1:14" s="124" customFormat="1" ht="36" x14ac:dyDescent="0.35">
      <c r="A417" s="629"/>
      <c r="B417" s="541" t="s">
        <v>344</v>
      </c>
      <c r="C417" s="633" t="s">
        <v>417</v>
      </c>
      <c r="D417" s="121" t="s">
        <v>52</v>
      </c>
      <c r="E417" s="121" t="s">
        <v>100</v>
      </c>
      <c r="F417" s="92" t="s">
        <v>226</v>
      </c>
      <c r="G417" s="93" t="s">
        <v>30</v>
      </c>
      <c r="H417" s="93" t="s">
        <v>43</v>
      </c>
      <c r="I417" s="94" t="s">
        <v>44</v>
      </c>
      <c r="J417" s="634"/>
      <c r="K417" s="255">
        <f t="shared" ref="K417:M419" si="60">K418</f>
        <v>11.2</v>
      </c>
      <c r="L417" s="24">
        <f t="shared" si="60"/>
        <v>0</v>
      </c>
      <c r="M417" s="255">
        <f t="shared" si="60"/>
        <v>11.2</v>
      </c>
      <c r="N417" s="148"/>
    </row>
    <row r="418" spans="1:14" s="124" customFormat="1" ht="36" x14ac:dyDescent="0.35">
      <c r="A418" s="629"/>
      <c r="B418" s="541" t="s">
        <v>378</v>
      </c>
      <c r="C418" s="635" t="s">
        <v>417</v>
      </c>
      <c r="D418" s="121" t="s">
        <v>52</v>
      </c>
      <c r="E418" s="121" t="s">
        <v>100</v>
      </c>
      <c r="F418" s="457" t="s">
        <v>226</v>
      </c>
      <c r="G418" s="458" t="s">
        <v>30</v>
      </c>
      <c r="H418" s="458" t="s">
        <v>226</v>
      </c>
      <c r="I418" s="459" t="s">
        <v>44</v>
      </c>
      <c r="J418" s="634"/>
      <c r="K418" s="255">
        <f t="shared" si="60"/>
        <v>11.2</v>
      </c>
      <c r="L418" s="24">
        <f t="shared" si="60"/>
        <v>0</v>
      </c>
      <c r="M418" s="255">
        <f t="shared" si="60"/>
        <v>11.2</v>
      </c>
      <c r="N418" s="148"/>
    </row>
    <row r="419" spans="1:14" s="124" customFormat="1" ht="36" x14ac:dyDescent="0.35">
      <c r="A419" s="119"/>
      <c r="B419" s="605" t="s">
        <v>342</v>
      </c>
      <c r="C419" s="150" t="s">
        <v>417</v>
      </c>
      <c r="D419" s="449" t="s">
        <v>52</v>
      </c>
      <c r="E419" s="449" t="s">
        <v>100</v>
      </c>
      <c r="F419" s="450" t="s">
        <v>226</v>
      </c>
      <c r="G419" s="451" t="s">
        <v>30</v>
      </c>
      <c r="H419" s="451" t="s">
        <v>226</v>
      </c>
      <c r="I419" s="452" t="s">
        <v>341</v>
      </c>
      <c r="J419" s="453"/>
      <c r="K419" s="255">
        <f t="shared" si="60"/>
        <v>11.2</v>
      </c>
      <c r="L419" s="24">
        <f t="shared" si="60"/>
        <v>0</v>
      </c>
      <c r="M419" s="255">
        <f t="shared" si="60"/>
        <v>11.2</v>
      </c>
      <c r="N419" s="148"/>
    </row>
    <row r="420" spans="1:14" s="124" customFormat="1" ht="54" customHeight="1" x14ac:dyDescent="0.35">
      <c r="A420" s="119"/>
      <c r="B420" s="601" t="s">
        <v>55</v>
      </c>
      <c r="C420" s="336" t="s">
        <v>417</v>
      </c>
      <c r="D420" s="602" t="s">
        <v>52</v>
      </c>
      <c r="E420" s="449" t="s">
        <v>100</v>
      </c>
      <c r="F420" s="450" t="s">
        <v>226</v>
      </c>
      <c r="G420" s="451" t="s">
        <v>30</v>
      </c>
      <c r="H420" s="451" t="s">
        <v>226</v>
      </c>
      <c r="I420" s="452" t="s">
        <v>341</v>
      </c>
      <c r="J420" s="453" t="s">
        <v>56</v>
      </c>
      <c r="K420" s="255">
        <v>11.2</v>
      </c>
      <c r="L420" s="24">
        <f>M420-K420</f>
        <v>0</v>
      </c>
      <c r="M420" s="255">
        <v>11.2</v>
      </c>
      <c r="N420" s="148"/>
    </row>
    <row r="421" spans="1:14" s="124" customFormat="1" ht="18" customHeight="1" x14ac:dyDescent="0.35">
      <c r="A421" s="119"/>
      <c r="B421" s="534" t="s">
        <v>177</v>
      </c>
      <c r="C421" s="120" t="s">
        <v>417</v>
      </c>
      <c r="D421" s="121" t="s">
        <v>65</v>
      </c>
      <c r="E421" s="121"/>
      <c r="F421" s="81"/>
      <c r="G421" s="82"/>
      <c r="H421" s="82"/>
      <c r="I421" s="103"/>
      <c r="J421" s="84"/>
      <c r="K421" s="123">
        <f t="shared" ref="K421:M424" si="61">K422</f>
        <v>79683.3</v>
      </c>
      <c r="L421" s="249">
        <f t="shared" si="61"/>
        <v>-31889.800000000003</v>
      </c>
      <c r="M421" s="123">
        <f t="shared" si="61"/>
        <v>47793.5</v>
      </c>
      <c r="N421" s="148"/>
    </row>
    <row r="422" spans="1:14" s="124" customFormat="1" ht="18" customHeight="1" x14ac:dyDescent="0.35">
      <c r="A422" s="119"/>
      <c r="B422" s="534" t="s">
        <v>338</v>
      </c>
      <c r="C422" s="120" t="s">
        <v>417</v>
      </c>
      <c r="D422" s="121" t="s">
        <v>65</v>
      </c>
      <c r="E422" s="121" t="s">
        <v>39</v>
      </c>
      <c r="F422" s="81"/>
      <c r="G422" s="82"/>
      <c r="H422" s="82"/>
      <c r="I422" s="103"/>
      <c r="J422" s="84"/>
      <c r="K422" s="123">
        <f t="shared" ref="K422:M423" si="62">K423</f>
        <v>79683.3</v>
      </c>
      <c r="L422" s="123">
        <f t="shared" si="62"/>
        <v>-31889.800000000003</v>
      </c>
      <c r="M422" s="123">
        <f t="shared" si="62"/>
        <v>47793.5</v>
      </c>
      <c r="N422" s="148"/>
    </row>
    <row r="423" spans="1:14" s="124" customFormat="1" ht="72" customHeight="1" x14ac:dyDescent="0.35">
      <c r="A423" s="119"/>
      <c r="B423" s="553" t="s">
        <v>337</v>
      </c>
      <c r="C423" s="120" t="s">
        <v>417</v>
      </c>
      <c r="D423" s="121" t="s">
        <v>65</v>
      </c>
      <c r="E423" s="121" t="s">
        <v>39</v>
      </c>
      <c r="F423" s="81" t="s">
        <v>104</v>
      </c>
      <c r="G423" s="82" t="s">
        <v>42</v>
      </c>
      <c r="H423" s="82" t="s">
        <v>43</v>
      </c>
      <c r="I423" s="103" t="s">
        <v>44</v>
      </c>
      <c r="J423" s="84"/>
      <c r="K423" s="123">
        <f t="shared" si="62"/>
        <v>79683.3</v>
      </c>
      <c r="L423" s="123">
        <f t="shared" si="62"/>
        <v>-31889.800000000003</v>
      </c>
      <c r="M423" s="123">
        <f t="shared" si="62"/>
        <v>47793.5</v>
      </c>
      <c r="N423" s="148"/>
    </row>
    <row r="424" spans="1:14" s="124" customFormat="1" ht="54" customHeight="1" x14ac:dyDescent="0.35">
      <c r="A424" s="119"/>
      <c r="B424" s="543" t="s">
        <v>339</v>
      </c>
      <c r="C424" s="120" t="s">
        <v>417</v>
      </c>
      <c r="D424" s="121" t="s">
        <v>65</v>
      </c>
      <c r="E424" s="121" t="s">
        <v>39</v>
      </c>
      <c r="F424" s="81" t="s">
        <v>104</v>
      </c>
      <c r="G424" s="82" t="s">
        <v>45</v>
      </c>
      <c r="H424" s="82" t="s">
        <v>43</v>
      </c>
      <c r="I424" s="103" t="s">
        <v>44</v>
      </c>
      <c r="J424" s="84"/>
      <c r="K424" s="123">
        <f t="shared" si="61"/>
        <v>79683.3</v>
      </c>
      <c r="L424" s="123">
        <f>L425</f>
        <v>-31889.800000000003</v>
      </c>
      <c r="M424" s="123">
        <f t="shared" si="61"/>
        <v>47793.5</v>
      </c>
      <c r="N424" s="148"/>
    </row>
    <row r="425" spans="1:14" s="124" customFormat="1" ht="54" customHeight="1" x14ac:dyDescent="0.35">
      <c r="A425" s="119"/>
      <c r="B425" s="543" t="s">
        <v>377</v>
      </c>
      <c r="C425" s="120" t="s">
        <v>417</v>
      </c>
      <c r="D425" s="121" t="s">
        <v>65</v>
      </c>
      <c r="E425" s="121" t="s">
        <v>39</v>
      </c>
      <c r="F425" s="81" t="s">
        <v>104</v>
      </c>
      <c r="G425" s="82" t="s">
        <v>45</v>
      </c>
      <c r="H425" s="82" t="s">
        <v>37</v>
      </c>
      <c r="I425" s="103" t="s">
        <v>44</v>
      </c>
      <c r="J425" s="84"/>
      <c r="K425" s="123">
        <f>K428</f>
        <v>79683.3</v>
      </c>
      <c r="L425" s="123">
        <f>L428+L426</f>
        <v>-31889.800000000003</v>
      </c>
      <c r="M425" s="123">
        <f>M428+M426</f>
        <v>47793.5</v>
      </c>
      <c r="N425" s="148"/>
    </row>
    <row r="426" spans="1:14" s="124" customFormat="1" ht="54" customHeight="1" x14ac:dyDescent="0.35">
      <c r="A426" s="119"/>
      <c r="B426" s="543" t="s">
        <v>798</v>
      </c>
      <c r="C426" s="120" t="s">
        <v>417</v>
      </c>
      <c r="D426" s="121" t="s">
        <v>65</v>
      </c>
      <c r="E426" s="121" t="s">
        <v>39</v>
      </c>
      <c r="F426" s="81" t="s">
        <v>104</v>
      </c>
      <c r="G426" s="82" t="s">
        <v>45</v>
      </c>
      <c r="H426" s="82" t="s">
        <v>37</v>
      </c>
      <c r="I426" s="103" t="s">
        <v>797</v>
      </c>
      <c r="J426" s="84"/>
      <c r="K426" s="123"/>
      <c r="L426" s="656">
        <f>L427</f>
        <v>1678.4</v>
      </c>
      <c r="M426" s="123">
        <f>M427</f>
        <v>1678.4</v>
      </c>
      <c r="N426" s="148"/>
    </row>
    <row r="427" spans="1:14" s="124" customFormat="1" ht="54" customHeight="1" x14ac:dyDescent="0.35">
      <c r="A427" s="119"/>
      <c r="B427" s="543" t="s">
        <v>203</v>
      </c>
      <c r="C427" s="120" t="s">
        <v>417</v>
      </c>
      <c r="D427" s="121" t="s">
        <v>65</v>
      </c>
      <c r="E427" s="121" t="s">
        <v>39</v>
      </c>
      <c r="F427" s="81" t="s">
        <v>104</v>
      </c>
      <c r="G427" s="82" t="s">
        <v>45</v>
      </c>
      <c r="H427" s="82" t="s">
        <v>37</v>
      </c>
      <c r="I427" s="103" t="s">
        <v>797</v>
      </c>
      <c r="J427" s="84" t="s">
        <v>204</v>
      </c>
      <c r="K427" s="123"/>
      <c r="L427" s="24">
        <f>M427-K427</f>
        <v>1678.4</v>
      </c>
      <c r="M427" s="123">
        <v>1678.4</v>
      </c>
      <c r="N427" s="148"/>
    </row>
    <row r="428" spans="1:14" s="124" customFormat="1" ht="72" customHeight="1" x14ac:dyDescent="0.35">
      <c r="A428" s="119"/>
      <c r="B428" s="543" t="s">
        <v>504</v>
      </c>
      <c r="C428" s="120" t="s">
        <v>417</v>
      </c>
      <c r="D428" s="121" t="s">
        <v>65</v>
      </c>
      <c r="E428" s="121" t="s">
        <v>39</v>
      </c>
      <c r="F428" s="81" t="s">
        <v>104</v>
      </c>
      <c r="G428" s="82" t="s">
        <v>45</v>
      </c>
      <c r="H428" s="82" t="s">
        <v>37</v>
      </c>
      <c r="I428" s="103" t="s">
        <v>418</v>
      </c>
      <c r="J428" s="84"/>
      <c r="K428" s="123">
        <f t="shared" ref="K428:M428" si="63">K429</f>
        <v>79683.3</v>
      </c>
      <c r="L428" s="123">
        <f t="shared" si="63"/>
        <v>-33568.200000000004</v>
      </c>
      <c r="M428" s="123">
        <f t="shared" si="63"/>
        <v>46115.1</v>
      </c>
      <c r="N428" s="148"/>
    </row>
    <row r="429" spans="1:14" s="124" customFormat="1" ht="54" customHeight="1" x14ac:dyDescent="0.35">
      <c r="A429" s="119"/>
      <c r="B429" s="543" t="s">
        <v>203</v>
      </c>
      <c r="C429" s="120" t="s">
        <v>417</v>
      </c>
      <c r="D429" s="121" t="s">
        <v>65</v>
      </c>
      <c r="E429" s="121" t="s">
        <v>39</v>
      </c>
      <c r="F429" s="81" t="s">
        <v>104</v>
      </c>
      <c r="G429" s="82" t="s">
        <v>45</v>
      </c>
      <c r="H429" s="82" t="s">
        <v>37</v>
      </c>
      <c r="I429" s="103" t="s">
        <v>418</v>
      </c>
      <c r="J429" s="84" t="s">
        <v>204</v>
      </c>
      <c r="K429" s="123">
        <f>75699.1+2894.8+1089.4</f>
        <v>79683.3</v>
      </c>
      <c r="L429" s="24">
        <f>M429-K429</f>
        <v>-33568.200000000004</v>
      </c>
      <c r="M429" s="123">
        <f>75699.1+2894.8+1089.4-31889.8-1678.4</f>
        <v>46115.1</v>
      </c>
      <c r="N429" s="148"/>
    </row>
    <row r="430" spans="1:14" s="124" customFormat="1" ht="18" customHeight="1" x14ac:dyDescent="0.35">
      <c r="A430" s="119"/>
      <c r="B430" s="554" t="s">
        <v>179</v>
      </c>
      <c r="C430" s="120" t="s">
        <v>417</v>
      </c>
      <c r="D430" s="121" t="s">
        <v>224</v>
      </c>
      <c r="E430" s="121"/>
      <c r="F430" s="81"/>
      <c r="G430" s="82"/>
      <c r="H430" s="82"/>
      <c r="I430" s="103"/>
      <c r="J430" s="84"/>
      <c r="K430" s="123">
        <f>K439+K431+K447</f>
        <v>138991.78000000003</v>
      </c>
      <c r="L430" s="123">
        <f>L439+L431+L447</f>
        <v>-2817.2</v>
      </c>
      <c r="M430" s="123">
        <f>M439+M431+M447</f>
        <v>136174.58000000002</v>
      </c>
      <c r="N430" s="148"/>
    </row>
    <row r="431" spans="1:14" s="124" customFormat="1" ht="18" customHeight="1" x14ac:dyDescent="0.35">
      <c r="A431" s="119"/>
      <c r="B431" s="554" t="s">
        <v>181</v>
      </c>
      <c r="C431" s="120" t="s">
        <v>417</v>
      </c>
      <c r="D431" s="121" t="s">
        <v>224</v>
      </c>
      <c r="E431" s="121" t="s">
        <v>37</v>
      </c>
      <c r="F431" s="81"/>
      <c r="G431" s="82"/>
      <c r="H431" s="82"/>
      <c r="I431" s="83"/>
      <c r="J431" s="84"/>
      <c r="K431" s="123">
        <f t="shared" ref="K431:M435" si="64">K432</f>
        <v>88315.680000000008</v>
      </c>
      <c r="L431" s="123">
        <f t="shared" si="64"/>
        <v>-635.39999999999964</v>
      </c>
      <c r="M431" s="123">
        <f t="shared" si="64"/>
        <v>87680.280000000013</v>
      </c>
      <c r="N431" s="148"/>
    </row>
    <row r="432" spans="1:14" s="124" customFormat="1" ht="54" customHeight="1" x14ac:dyDescent="0.35">
      <c r="A432" s="119"/>
      <c r="B432" s="554" t="s">
        <v>441</v>
      </c>
      <c r="C432" s="120" t="s">
        <v>417</v>
      </c>
      <c r="D432" s="121" t="s">
        <v>224</v>
      </c>
      <c r="E432" s="121" t="s">
        <v>37</v>
      </c>
      <c r="F432" s="81" t="s">
        <v>39</v>
      </c>
      <c r="G432" s="82" t="s">
        <v>42</v>
      </c>
      <c r="H432" s="82" t="s">
        <v>43</v>
      </c>
      <c r="I432" s="83" t="s">
        <v>44</v>
      </c>
      <c r="J432" s="84"/>
      <c r="K432" s="123">
        <f t="shared" si="64"/>
        <v>88315.680000000008</v>
      </c>
      <c r="L432" s="123">
        <f t="shared" si="64"/>
        <v>-635.39999999999964</v>
      </c>
      <c r="M432" s="123">
        <f t="shared" si="64"/>
        <v>87680.280000000013</v>
      </c>
      <c r="N432" s="148"/>
    </row>
    <row r="433" spans="1:14" s="124" customFormat="1" ht="36" customHeight="1" x14ac:dyDescent="0.35">
      <c r="A433" s="119"/>
      <c r="B433" s="554" t="s">
        <v>206</v>
      </c>
      <c r="C433" s="120" t="s">
        <v>417</v>
      </c>
      <c r="D433" s="121" t="s">
        <v>224</v>
      </c>
      <c r="E433" s="121" t="s">
        <v>37</v>
      </c>
      <c r="F433" s="81" t="s">
        <v>39</v>
      </c>
      <c r="G433" s="82" t="s">
        <v>45</v>
      </c>
      <c r="H433" s="82" t="s">
        <v>43</v>
      </c>
      <c r="I433" s="83" t="s">
        <v>44</v>
      </c>
      <c r="J433" s="84"/>
      <c r="K433" s="123">
        <f t="shared" si="64"/>
        <v>88315.680000000008</v>
      </c>
      <c r="L433" s="123">
        <f t="shared" si="64"/>
        <v>-635.39999999999964</v>
      </c>
      <c r="M433" s="123">
        <f t="shared" si="64"/>
        <v>87680.280000000013</v>
      </c>
      <c r="N433" s="148"/>
    </row>
    <row r="434" spans="1:14" s="124" customFormat="1" ht="36" customHeight="1" x14ac:dyDescent="0.35">
      <c r="A434" s="119"/>
      <c r="B434" s="554" t="s">
        <v>272</v>
      </c>
      <c r="C434" s="120" t="s">
        <v>417</v>
      </c>
      <c r="D434" s="121" t="s">
        <v>224</v>
      </c>
      <c r="E434" s="121" t="s">
        <v>37</v>
      </c>
      <c r="F434" s="81" t="s">
        <v>39</v>
      </c>
      <c r="G434" s="82" t="s">
        <v>45</v>
      </c>
      <c r="H434" s="82" t="s">
        <v>37</v>
      </c>
      <c r="I434" s="103" t="s">
        <v>44</v>
      </c>
      <c r="J434" s="84"/>
      <c r="K434" s="123">
        <f>K435+K437</f>
        <v>88315.680000000008</v>
      </c>
      <c r="L434" s="123">
        <f>L435+L437</f>
        <v>-635.39999999999964</v>
      </c>
      <c r="M434" s="123">
        <f>M435+M437</f>
        <v>87680.280000000013</v>
      </c>
      <c r="N434" s="148"/>
    </row>
    <row r="435" spans="1:14" s="124" customFormat="1" ht="36" customHeight="1" x14ac:dyDescent="0.35">
      <c r="A435" s="119"/>
      <c r="B435" s="498" t="s">
        <v>208</v>
      </c>
      <c r="C435" s="120" t="s">
        <v>417</v>
      </c>
      <c r="D435" s="121" t="s">
        <v>224</v>
      </c>
      <c r="E435" s="121" t="s">
        <v>37</v>
      </c>
      <c r="F435" s="81" t="s">
        <v>39</v>
      </c>
      <c r="G435" s="82" t="s">
        <v>45</v>
      </c>
      <c r="H435" s="82" t="s">
        <v>37</v>
      </c>
      <c r="I435" s="103" t="s">
        <v>279</v>
      </c>
      <c r="J435" s="84"/>
      <c r="K435" s="123">
        <f t="shared" si="64"/>
        <v>3231.2799999999997</v>
      </c>
      <c r="L435" s="123">
        <f t="shared" si="64"/>
        <v>-635.39999999999964</v>
      </c>
      <c r="M435" s="123">
        <f t="shared" si="64"/>
        <v>2595.88</v>
      </c>
      <c r="N435" s="148"/>
    </row>
    <row r="436" spans="1:14" s="124" customFormat="1" ht="54" customHeight="1" x14ac:dyDescent="0.35">
      <c r="A436" s="611"/>
      <c r="B436" s="612" t="s">
        <v>203</v>
      </c>
      <c r="C436" s="160" t="s">
        <v>417</v>
      </c>
      <c r="D436" s="258" t="s">
        <v>224</v>
      </c>
      <c r="E436" s="258" t="s">
        <v>37</v>
      </c>
      <c r="F436" s="125" t="s">
        <v>39</v>
      </c>
      <c r="G436" s="126" t="s">
        <v>45</v>
      </c>
      <c r="H436" s="126" t="s">
        <v>37</v>
      </c>
      <c r="I436" s="476" t="s">
        <v>279</v>
      </c>
      <c r="J436" s="477" t="s">
        <v>204</v>
      </c>
      <c r="K436" s="180">
        <f>2721.5+509.78</f>
        <v>3231.2799999999997</v>
      </c>
      <c r="L436" s="613">
        <f>M436-K436</f>
        <v>-635.39999999999964</v>
      </c>
      <c r="M436" s="180">
        <f>2721.5+509.78-281.7-353.7</f>
        <v>2595.88</v>
      </c>
      <c r="N436" s="148"/>
    </row>
    <row r="437" spans="1:14" s="124" customFormat="1" ht="108" customHeight="1" x14ac:dyDescent="0.35">
      <c r="A437" s="197"/>
      <c r="B437" s="619" t="s">
        <v>507</v>
      </c>
      <c r="C437" s="336" t="s">
        <v>417</v>
      </c>
      <c r="D437" s="337" t="s">
        <v>224</v>
      </c>
      <c r="E437" s="620" t="s">
        <v>37</v>
      </c>
      <c r="F437" s="620" t="s">
        <v>39</v>
      </c>
      <c r="G437" s="622" t="s">
        <v>45</v>
      </c>
      <c r="H437" s="622" t="s">
        <v>37</v>
      </c>
      <c r="I437" s="623" t="s">
        <v>506</v>
      </c>
      <c r="J437" s="621"/>
      <c r="K437" s="243">
        <f>K438</f>
        <v>85084.400000000009</v>
      </c>
      <c r="L437" s="243">
        <f>L438</f>
        <v>0</v>
      </c>
      <c r="M437" s="243">
        <f>M438</f>
        <v>85084.400000000009</v>
      </c>
      <c r="N437" s="148"/>
    </row>
    <row r="438" spans="1:14" s="124" customFormat="1" ht="54" customHeight="1" x14ac:dyDescent="0.35">
      <c r="A438" s="599"/>
      <c r="B438" s="614" t="s">
        <v>203</v>
      </c>
      <c r="C438" s="615" t="s">
        <v>417</v>
      </c>
      <c r="D438" s="449" t="s">
        <v>224</v>
      </c>
      <c r="E438" s="449" t="s">
        <v>37</v>
      </c>
      <c r="F438" s="616" t="s">
        <v>39</v>
      </c>
      <c r="G438" s="617" t="s">
        <v>45</v>
      </c>
      <c r="H438" s="617" t="s">
        <v>37</v>
      </c>
      <c r="I438" s="618" t="s">
        <v>506</v>
      </c>
      <c r="J438" s="565" t="s">
        <v>204</v>
      </c>
      <c r="K438" s="439">
        <f>82531.8+2552.6</f>
        <v>85084.400000000009</v>
      </c>
      <c r="L438" s="454">
        <f>M438-K438</f>
        <v>0</v>
      </c>
      <c r="M438" s="439">
        <f>82531.8+2552.6</f>
        <v>85084.400000000009</v>
      </c>
      <c r="N438" s="148"/>
    </row>
    <row r="439" spans="1:14" s="124" customFormat="1" ht="18" customHeight="1" x14ac:dyDescent="0.35">
      <c r="A439" s="119"/>
      <c r="B439" s="554" t="s">
        <v>183</v>
      </c>
      <c r="C439" s="120" t="s">
        <v>417</v>
      </c>
      <c r="D439" s="121" t="s">
        <v>224</v>
      </c>
      <c r="E439" s="121" t="s">
        <v>39</v>
      </c>
      <c r="F439" s="81"/>
      <c r="G439" s="82"/>
      <c r="H439" s="82"/>
      <c r="I439" s="103"/>
      <c r="J439" s="84"/>
      <c r="K439" s="123">
        <f t="shared" ref="K439:M443" si="65">K440</f>
        <v>50668.9</v>
      </c>
      <c r="L439" s="123">
        <f t="shared" si="65"/>
        <v>-2181.8000000000002</v>
      </c>
      <c r="M439" s="123">
        <f t="shared" si="65"/>
        <v>48487.1</v>
      </c>
      <c r="N439" s="148"/>
    </row>
    <row r="440" spans="1:14" s="124" customFormat="1" ht="54" customHeight="1" x14ac:dyDescent="0.35">
      <c r="A440" s="119"/>
      <c r="B440" s="554" t="s">
        <v>205</v>
      </c>
      <c r="C440" s="120" t="s">
        <v>417</v>
      </c>
      <c r="D440" s="121" t="s">
        <v>224</v>
      </c>
      <c r="E440" s="121" t="s">
        <v>39</v>
      </c>
      <c r="F440" s="81" t="s">
        <v>39</v>
      </c>
      <c r="G440" s="82" t="s">
        <v>42</v>
      </c>
      <c r="H440" s="82" t="s">
        <v>43</v>
      </c>
      <c r="I440" s="83" t="s">
        <v>44</v>
      </c>
      <c r="J440" s="84"/>
      <c r="K440" s="123">
        <f t="shared" si="65"/>
        <v>50668.9</v>
      </c>
      <c r="L440" s="123">
        <f t="shared" si="65"/>
        <v>-2181.8000000000002</v>
      </c>
      <c r="M440" s="123">
        <f t="shared" si="65"/>
        <v>48487.1</v>
      </c>
      <c r="N440" s="148"/>
    </row>
    <row r="441" spans="1:14" s="124" customFormat="1" ht="36" customHeight="1" x14ac:dyDescent="0.35">
      <c r="A441" s="119"/>
      <c r="B441" s="554" t="s">
        <v>206</v>
      </c>
      <c r="C441" s="120" t="s">
        <v>417</v>
      </c>
      <c r="D441" s="121" t="s">
        <v>224</v>
      </c>
      <c r="E441" s="121" t="s">
        <v>39</v>
      </c>
      <c r="F441" s="81" t="s">
        <v>39</v>
      </c>
      <c r="G441" s="82" t="s">
        <v>45</v>
      </c>
      <c r="H441" s="82" t="s">
        <v>43</v>
      </c>
      <c r="I441" s="83" t="s">
        <v>44</v>
      </c>
      <c r="J441" s="84"/>
      <c r="K441" s="123">
        <f t="shared" si="65"/>
        <v>50668.9</v>
      </c>
      <c r="L441" s="123">
        <f t="shared" si="65"/>
        <v>-2181.8000000000002</v>
      </c>
      <c r="M441" s="123">
        <f t="shared" si="65"/>
        <v>48487.1</v>
      </c>
      <c r="N441" s="148"/>
    </row>
    <row r="442" spans="1:14" s="124" customFormat="1" ht="18" customHeight="1" x14ac:dyDescent="0.35">
      <c r="A442" s="119"/>
      <c r="B442" s="554" t="s">
        <v>277</v>
      </c>
      <c r="C442" s="120" t="s">
        <v>417</v>
      </c>
      <c r="D442" s="121" t="s">
        <v>224</v>
      </c>
      <c r="E442" s="121" t="s">
        <v>39</v>
      </c>
      <c r="F442" s="81" t="s">
        <v>39</v>
      </c>
      <c r="G442" s="82" t="s">
        <v>45</v>
      </c>
      <c r="H442" s="82" t="s">
        <v>39</v>
      </c>
      <c r="I442" s="83" t="s">
        <v>44</v>
      </c>
      <c r="J442" s="84"/>
      <c r="K442" s="123">
        <f>K443+K445</f>
        <v>50668.9</v>
      </c>
      <c r="L442" s="123">
        <f>L443+L445</f>
        <v>-2181.8000000000002</v>
      </c>
      <c r="M442" s="123">
        <f>M443+M445</f>
        <v>48487.1</v>
      </c>
      <c r="N442" s="148"/>
    </row>
    <row r="443" spans="1:14" s="124" customFormat="1" ht="36" customHeight="1" x14ac:dyDescent="0.35">
      <c r="A443" s="119"/>
      <c r="B443" s="554" t="s">
        <v>208</v>
      </c>
      <c r="C443" s="120" t="s">
        <v>417</v>
      </c>
      <c r="D443" s="121" t="s">
        <v>224</v>
      </c>
      <c r="E443" s="121" t="s">
        <v>39</v>
      </c>
      <c r="F443" s="81" t="s">
        <v>39</v>
      </c>
      <c r="G443" s="82" t="s">
        <v>45</v>
      </c>
      <c r="H443" s="82" t="s">
        <v>39</v>
      </c>
      <c r="I443" s="83" t="s">
        <v>279</v>
      </c>
      <c r="J443" s="84"/>
      <c r="K443" s="123">
        <f t="shared" si="65"/>
        <v>2966.8999999999996</v>
      </c>
      <c r="L443" s="123">
        <f t="shared" si="65"/>
        <v>-2181.8000000000002</v>
      </c>
      <c r="M443" s="123">
        <f t="shared" si="65"/>
        <v>785.09999999999968</v>
      </c>
      <c r="N443" s="148"/>
    </row>
    <row r="444" spans="1:14" s="124" customFormat="1" ht="54" customHeight="1" x14ac:dyDescent="0.35">
      <c r="A444" s="119"/>
      <c r="B444" s="554" t="s">
        <v>203</v>
      </c>
      <c r="C444" s="120" t="s">
        <v>417</v>
      </c>
      <c r="D444" s="121" t="s">
        <v>224</v>
      </c>
      <c r="E444" s="121" t="s">
        <v>39</v>
      </c>
      <c r="F444" s="81" t="s">
        <v>39</v>
      </c>
      <c r="G444" s="82" t="s">
        <v>45</v>
      </c>
      <c r="H444" s="82" t="s">
        <v>39</v>
      </c>
      <c r="I444" s="83" t="s">
        <v>279</v>
      </c>
      <c r="J444" s="84" t="s">
        <v>204</v>
      </c>
      <c r="K444" s="180">
        <f>1891.3-1317.4+1769.3+330.1+87.9+205.7</f>
        <v>2966.8999999999996</v>
      </c>
      <c r="L444" s="24">
        <f>M444-K444</f>
        <v>-2181.8000000000002</v>
      </c>
      <c r="M444" s="180">
        <f>1891.3-1317.4+1769.3+330.1+87.9+205.7-211-87.9-277.9-205.7-1399.3</f>
        <v>785.09999999999968</v>
      </c>
      <c r="N444" s="148"/>
    </row>
    <row r="445" spans="1:14" s="124" customFormat="1" ht="108" customHeight="1" x14ac:dyDescent="0.35">
      <c r="A445" s="119"/>
      <c r="B445" s="571" t="s">
        <v>507</v>
      </c>
      <c r="C445" s="572" t="s">
        <v>417</v>
      </c>
      <c r="D445" s="573" t="s">
        <v>224</v>
      </c>
      <c r="E445" s="573" t="s">
        <v>39</v>
      </c>
      <c r="F445" s="374" t="s">
        <v>39</v>
      </c>
      <c r="G445" s="375" t="s">
        <v>45</v>
      </c>
      <c r="H445" s="375" t="s">
        <v>39</v>
      </c>
      <c r="I445" s="376" t="s">
        <v>506</v>
      </c>
      <c r="J445" s="427"/>
      <c r="K445" s="574">
        <f>K446</f>
        <v>47702</v>
      </c>
      <c r="L445" s="574">
        <f>L446</f>
        <v>0</v>
      </c>
      <c r="M445" s="574">
        <f>M446</f>
        <v>47702</v>
      </c>
      <c r="N445" s="148"/>
    </row>
    <row r="446" spans="1:14" s="124" customFormat="1" ht="54" customHeight="1" x14ac:dyDescent="0.35">
      <c r="A446" s="119"/>
      <c r="B446" s="571" t="s">
        <v>203</v>
      </c>
      <c r="C446" s="586" t="s">
        <v>417</v>
      </c>
      <c r="D446" s="587" t="s">
        <v>224</v>
      </c>
      <c r="E446" s="587" t="s">
        <v>39</v>
      </c>
      <c r="F446" s="579" t="s">
        <v>39</v>
      </c>
      <c r="G446" s="580" t="s">
        <v>45</v>
      </c>
      <c r="H446" s="580" t="s">
        <v>39</v>
      </c>
      <c r="I446" s="581" t="s">
        <v>506</v>
      </c>
      <c r="J446" s="427" t="s">
        <v>204</v>
      </c>
      <c r="K446" s="574">
        <f>46270.9+1431.1</f>
        <v>47702</v>
      </c>
      <c r="L446" s="24">
        <f>M446-K446</f>
        <v>0</v>
      </c>
      <c r="M446" s="574">
        <f>46270.9+1431.1</f>
        <v>47702</v>
      </c>
      <c r="N446" s="148"/>
    </row>
    <row r="447" spans="1:14" s="124" customFormat="1" ht="36" customHeight="1" x14ac:dyDescent="0.35">
      <c r="A447" s="119"/>
      <c r="B447" s="498" t="s">
        <v>538</v>
      </c>
      <c r="C447" s="120" t="s">
        <v>417</v>
      </c>
      <c r="D447" s="10" t="s">
        <v>224</v>
      </c>
      <c r="E447" s="10" t="s">
        <v>65</v>
      </c>
      <c r="F447" s="81"/>
      <c r="G447" s="82"/>
      <c r="H447" s="82"/>
      <c r="I447" s="83"/>
      <c r="J447" s="84"/>
      <c r="K447" s="243">
        <f t="shared" ref="K447:M451" si="66">K448</f>
        <v>7.2</v>
      </c>
      <c r="L447" s="243">
        <f t="shared" si="66"/>
        <v>0</v>
      </c>
      <c r="M447" s="243">
        <f t="shared" si="66"/>
        <v>7.2</v>
      </c>
      <c r="N447" s="148"/>
    </row>
    <row r="448" spans="1:14" s="124" customFormat="1" ht="54" customHeight="1" x14ac:dyDescent="0.35">
      <c r="A448" s="119"/>
      <c r="B448" s="534" t="s">
        <v>225</v>
      </c>
      <c r="C448" s="120" t="s">
        <v>417</v>
      </c>
      <c r="D448" s="10" t="s">
        <v>224</v>
      </c>
      <c r="E448" s="10" t="s">
        <v>65</v>
      </c>
      <c r="F448" s="92" t="s">
        <v>226</v>
      </c>
      <c r="G448" s="82" t="s">
        <v>42</v>
      </c>
      <c r="H448" s="82" t="s">
        <v>43</v>
      </c>
      <c r="I448" s="83" t="s">
        <v>44</v>
      </c>
      <c r="J448" s="84"/>
      <c r="K448" s="243">
        <f t="shared" si="66"/>
        <v>7.2</v>
      </c>
      <c r="L448" s="243">
        <f t="shared" si="66"/>
        <v>0</v>
      </c>
      <c r="M448" s="243">
        <f t="shared" si="66"/>
        <v>7.2</v>
      </c>
      <c r="N448" s="148"/>
    </row>
    <row r="449" spans="1:14" s="124" customFormat="1" ht="36" customHeight="1" x14ac:dyDescent="0.35">
      <c r="A449" s="119"/>
      <c r="B449" s="554" t="s">
        <v>229</v>
      </c>
      <c r="C449" s="120" t="s">
        <v>417</v>
      </c>
      <c r="D449" s="10" t="s">
        <v>224</v>
      </c>
      <c r="E449" s="10" t="s">
        <v>65</v>
      </c>
      <c r="F449" s="92" t="s">
        <v>226</v>
      </c>
      <c r="G449" s="82" t="s">
        <v>89</v>
      </c>
      <c r="H449" s="82" t="s">
        <v>43</v>
      </c>
      <c r="I449" s="83" t="s">
        <v>44</v>
      </c>
      <c r="J449" s="84"/>
      <c r="K449" s="243">
        <f t="shared" si="66"/>
        <v>7.2</v>
      </c>
      <c r="L449" s="243">
        <f t="shared" si="66"/>
        <v>0</v>
      </c>
      <c r="M449" s="243">
        <f t="shared" si="66"/>
        <v>7.2</v>
      </c>
      <c r="N449" s="148"/>
    </row>
    <row r="450" spans="1:14" s="124" customFormat="1" ht="72" customHeight="1" x14ac:dyDescent="0.35">
      <c r="A450" s="119"/>
      <c r="B450" s="554" t="s">
        <v>306</v>
      </c>
      <c r="C450" s="120" t="s">
        <v>417</v>
      </c>
      <c r="D450" s="10" t="s">
        <v>224</v>
      </c>
      <c r="E450" s="10" t="s">
        <v>65</v>
      </c>
      <c r="F450" s="92" t="s">
        <v>226</v>
      </c>
      <c r="G450" s="82" t="s">
        <v>89</v>
      </c>
      <c r="H450" s="82" t="s">
        <v>37</v>
      </c>
      <c r="I450" s="83" t="s">
        <v>44</v>
      </c>
      <c r="J450" s="84"/>
      <c r="K450" s="243">
        <f t="shared" si="66"/>
        <v>7.2</v>
      </c>
      <c r="L450" s="243">
        <f t="shared" si="66"/>
        <v>0</v>
      </c>
      <c r="M450" s="243">
        <f t="shared" si="66"/>
        <v>7.2</v>
      </c>
      <c r="N450" s="148"/>
    </row>
    <row r="451" spans="1:14" s="124" customFormat="1" ht="36" customHeight="1" x14ac:dyDescent="0.35">
      <c r="A451" s="119"/>
      <c r="B451" s="498" t="s">
        <v>540</v>
      </c>
      <c r="C451" s="120" t="s">
        <v>417</v>
      </c>
      <c r="D451" s="10" t="s">
        <v>224</v>
      </c>
      <c r="E451" s="10" t="s">
        <v>65</v>
      </c>
      <c r="F451" s="92" t="s">
        <v>226</v>
      </c>
      <c r="G451" s="82" t="s">
        <v>89</v>
      </c>
      <c r="H451" s="82" t="s">
        <v>37</v>
      </c>
      <c r="I451" s="83" t="s">
        <v>539</v>
      </c>
      <c r="J451" s="84"/>
      <c r="K451" s="243">
        <f t="shared" si="66"/>
        <v>7.2</v>
      </c>
      <c r="L451" s="243">
        <f t="shared" si="66"/>
        <v>0</v>
      </c>
      <c r="M451" s="243">
        <f t="shared" si="66"/>
        <v>7.2</v>
      </c>
      <c r="N451" s="148"/>
    </row>
    <row r="452" spans="1:14" s="124" customFormat="1" ht="54" customHeight="1" x14ac:dyDescent="0.35">
      <c r="A452" s="119"/>
      <c r="B452" s="498" t="s">
        <v>55</v>
      </c>
      <c r="C452" s="120" t="s">
        <v>417</v>
      </c>
      <c r="D452" s="10" t="s">
        <v>224</v>
      </c>
      <c r="E452" s="10" t="s">
        <v>65</v>
      </c>
      <c r="F452" s="92" t="s">
        <v>226</v>
      </c>
      <c r="G452" s="82" t="s">
        <v>89</v>
      </c>
      <c r="H452" s="82" t="s">
        <v>37</v>
      </c>
      <c r="I452" s="83" t="s">
        <v>539</v>
      </c>
      <c r="J452" s="84" t="s">
        <v>56</v>
      </c>
      <c r="K452" s="437">
        <v>7.2</v>
      </c>
      <c r="L452" s="24">
        <f>M452-K452</f>
        <v>0</v>
      </c>
      <c r="M452" s="437">
        <v>7.2</v>
      </c>
      <c r="N452" s="148"/>
    </row>
    <row r="453" spans="1:14" s="132" customFormat="1" ht="18" customHeight="1" x14ac:dyDescent="0.35">
      <c r="A453" s="130"/>
      <c r="B453" s="555" t="s">
        <v>119</v>
      </c>
      <c r="C453" s="131" t="s">
        <v>417</v>
      </c>
      <c r="D453" s="102" t="s">
        <v>104</v>
      </c>
      <c r="E453" s="121"/>
      <c r="F453" s="99"/>
      <c r="G453" s="100"/>
      <c r="H453" s="100"/>
      <c r="I453" s="101"/>
      <c r="J453" s="102"/>
      <c r="K453" s="161">
        <f t="shared" ref="K453:M454" si="67">K454</f>
        <v>84099.375970000008</v>
      </c>
      <c r="L453" s="161">
        <f t="shared" si="67"/>
        <v>0</v>
      </c>
      <c r="M453" s="161">
        <f t="shared" si="67"/>
        <v>84099.375970000008</v>
      </c>
    </row>
    <row r="454" spans="1:14" s="132" customFormat="1" ht="18" customHeight="1" x14ac:dyDescent="0.35">
      <c r="A454" s="130"/>
      <c r="B454" s="543" t="s">
        <v>193</v>
      </c>
      <c r="C454" s="131" t="s">
        <v>417</v>
      </c>
      <c r="D454" s="102" t="s">
        <v>104</v>
      </c>
      <c r="E454" s="102" t="s">
        <v>52</v>
      </c>
      <c r="F454" s="99"/>
      <c r="G454" s="100"/>
      <c r="H454" s="100"/>
      <c r="I454" s="101"/>
      <c r="J454" s="102"/>
      <c r="K454" s="161">
        <f t="shared" si="67"/>
        <v>84099.375970000008</v>
      </c>
      <c r="L454" s="161">
        <f t="shared" si="67"/>
        <v>0</v>
      </c>
      <c r="M454" s="161">
        <f t="shared" si="67"/>
        <v>84099.375970000008</v>
      </c>
    </row>
    <row r="455" spans="1:14" s="132" customFormat="1" ht="54" customHeight="1" x14ac:dyDescent="0.35">
      <c r="A455" s="130"/>
      <c r="B455" s="551" t="s">
        <v>230</v>
      </c>
      <c r="C455" s="131" t="s">
        <v>417</v>
      </c>
      <c r="D455" s="102" t="s">
        <v>104</v>
      </c>
      <c r="E455" s="102" t="s">
        <v>52</v>
      </c>
      <c r="F455" s="99" t="s">
        <v>79</v>
      </c>
      <c r="G455" s="100" t="s">
        <v>42</v>
      </c>
      <c r="H455" s="100" t="s">
        <v>43</v>
      </c>
      <c r="I455" s="101" t="s">
        <v>44</v>
      </c>
      <c r="J455" s="102"/>
      <c r="K455" s="161">
        <f t="shared" ref="K455:M457" si="68">K456</f>
        <v>84099.375970000008</v>
      </c>
      <c r="L455" s="161">
        <f t="shared" si="68"/>
        <v>0</v>
      </c>
      <c r="M455" s="161">
        <f t="shared" si="68"/>
        <v>84099.375970000008</v>
      </c>
    </row>
    <row r="456" spans="1:14" s="132" customFormat="1" ht="36" customHeight="1" x14ac:dyDescent="0.35">
      <c r="A456" s="130"/>
      <c r="B456" s="543" t="s">
        <v>344</v>
      </c>
      <c r="C456" s="131" t="s">
        <v>417</v>
      </c>
      <c r="D456" s="102" t="s">
        <v>104</v>
      </c>
      <c r="E456" s="102" t="s">
        <v>52</v>
      </c>
      <c r="F456" s="99" t="s">
        <v>79</v>
      </c>
      <c r="G456" s="100" t="s">
        <v>45</v>
      </c>
      <c r="H456" s="100" t="s">
        <v>43</v>
      </c>
      <c r="I456" s="101" t="s">
        <v>44</v>
      </c>
      <c r="J456" s="102"/>
      <c r="K456" s="161">
        <f t="shared" si="68"/>
        <v>84099.375970000008</v>
      </c>
      <c r="L456" s="161">
        <f t="shared" si="68"/>
        <v>0</v>
      </c>
      <c r="M456" s="161">
        <f t="shared" si="68"/>
        <v>84099.375970000008</v>
      </c>
    </row>
    <row r="457" spans="1:14" s="133" customFormat="1" ht="90" customHeight="1" x14ac:dyDescent="0.35">
      <c r="A457" s="130"/>
      <c r="B457" s="543" t="s">
        <v>305</v>
      </c>
      <c r="C457" s="131" t="s">
        <v>417</v>
      </c>
      <c r="D457" s="102" t="s">
        <v>104</v>
      </c>
      <c r="E457" s="102" t="s">
        <v>52</v>
      </c>
      <c r="F457" s="99" t="s">
        <v>79</v>
      </c>
      <c r="G457" s="100" t="s">
        <v>45</v>
      </c>
      <c r="H457" s="100" t="s">
        <v>39</v>
      </c>
      <c r="I457" s="101" t="s">
        <v>44</v>
      </c>
      <c r="J457" s="102"/>
      <c r="K457" s="161">
        <f t="shared" si="68"/>
        <v>84099.375970000008</v>
      </c>
      <c r="L457" s="161">
        <f t="shared" si="68"/>
        <v>0</v>
      </c>
      <c r="M457" s="161">
        <f t="shared" si="68"/>
        <v>84099.375970000008</v>
      </c>
    </row>
    <row r="458" spans="1:14" s="124" customFormat="1" ht="108" customHeight="1" x14ac:dyDescent="0.35">
      <c r="A458" s="119"/>
      <c r="B458" s="534" t="s">
        <v>419</v>
      </c>
      <c r="C458" s="120" t="s">
        <v>417</v>
      </c>
      <c r="D458" s="121" t="s">
        <v>104</v>
      </c>
      <c r="E458" s="121" t="s">
        <v>52</v>
      </c>
      <c r="F458" s="81" t="s">
        <v>79</v>
      </c>
      <c r="G458" s="82" t="s">
        <v>45</v>
      </c>
      <c r="H458" s="82" t="s">
        <v>39</v>
      </c>
      <c r="I458" s="103" t="s">
        <v>420</v>
      </c>
      <c r="J458" s="84"/>
      <c r="K458" s="123">
        <f t="shared" ref="K458:M458" si="69">K459</f>
        <v>84099.375970000008</v>
      </c>
      <c r="L458" s="123">
        <f t="shared" si="69"/>
        <v>0</v>
      </c>
      <c r="M458" s="123">
        <f t="shared" si="69"/>
        <v>84099.375970000008</v>
      </c>
      <c r="N458" s="148"/>
    </row>
    <row r="459" spans="1:14" s="124" customFormat="1" ht="54" customHeight="1" x14ac:dyDescent="0.35">
      <c r="A459" s="119"/>
      <c r="B459" s="504" t="s">
        <v>203</v>
      </c>
      <c r="C459" s="120" t="s">
        <v>417</v>
      </c>
      <c r="D459" s="258" t="s">
        <v>104</v>
      </c>
      <c r="E459" s="258" t="s">
        <v>52</v>
      </c>
      <c r="F459" s="125" t="s">
        <v>79</v>
      </c>
      <c r="G459" s="126" t="s">
        <v>45</v>
      </c>
      <c r="H459" s="126" t="s">
        <v>39</v>
      </c>
      <c r="I459" s="476" t="s">
        <v>420</v>
      </c>
      <c r="J459" s="477" t="s">
        <v>204</v>
      </c>
      <c r="K459" s="123">
        <f>77846.8+7421.1-6.02403-1162.5</f>
        <v>84099.375970000008</v>
      </c>
      <c r="L459" s="24">
        <f>M459-K459</f>
        <v>0</v>
      </c>
      <c r="M459" s="123">
        <f>77846.8+7421.1-6.02403-1162.5</f>
        <v>84099.375970000008</v>
      </c>
      <c r="N459" s="148"/>
    </row>
    <row r="460" spans="1:14" s="124" customFormat="1" ht="18" customHeight="1" x14ac:dyDescent="0.35">
      <c r="A460" s="575"/>
      <c r="B460" s="502" t="s">
        <v>327</v>
      </c>
      <c r="C460" s="576" t="s">
        <v>417</v>
      </c>
      <c r="D460" s="28" t="s">
        <v>67</v>
      </c>
      <c r="E460" s="28"/>
      <c r="F460" s="191"/>
      <c r="G460" s="192"/>
      <c r="H460" s="192"/>
      <c r="I460" s="193"/>
      <c r="J460" s="578"/>
      <c r="K460" s="439">
        <f t="shared" ref="K460:M465" si="70">K461</f>
        <v>74276.5</v>
      </c>
      <c r="L460" s="439">
        <f t="shared" si="70"/>
        <v>-334.3</v>
      </c>
      <c r="M460" s="439">
        <f t="shared" si="70"/>
        <v>73942.2</v>
      </c>
      <c r="N460" s="148"/>
    </row>
    <row r="461" spans="1:14" s="124" customFormat="1" ht="18" customHeight="1" x14ac:dyDescent="0.35">
      <c r="A461" s="119"/>
      <c r="B461" s="538" t="s">
        <v>365</v>
      </c>
      <c r="C461" s="120" t="s">
        <v>417</v>
      </c>
      <c r="D461" s="486" t="s">
        <v>67</v>
      </c>
      <c r="E461" s="486" t="s">
        <v>37</v>
      </c>
      <c r="F461" s="25"/>
      <c r="G461" s="26"/>
      <c r="H461" s="26"/>
      <c r="I461" s="577"/>
      <c r="J461" s="565"/>
      <c r="K461" s="255">
        <f t="shared" si="70"/>
        <v>74276.5</v>
      </c>
      <c r="L461" s="255">
        <f t="shared" si="70"/>
        <v>-334.3</v>
      </c>
      <c r="M461" s="255">
        <f t="shared" si="70"/>
        <v>73942.2</v>
      </c>
      <c r="N461" s="148"/>
    </row>
    <row r="462" spans="1:14" s="124" customFormat="1" ht="54" customHeight="1" x14ac:dyDescent="0.35">
      <c r="A462" s="119"/>
      <c r="B462" s="498" t="s">
        <v>217</v>
      </c>
      <c r="C462" s="120" t="s">
        <v>417</v>
      </c>
      <c r="D462" s="10" t="s">
        <v>67</v>
      </c>
      <c r="E462" s="10" t="s">
        <v>37</v>
      </c>
      <c r="F462" s="661" t="s">
        <v>52</v>
      </c>
      <c r="G462" s="662" t="s">
        <v>42</v>
      </c>
      <c r="H462" s="662" t="s">
        <v>43</v>
      </c>
      <c r="I462" s="663" t="s">
        <v>44</v>
      </c>
      <c r="J462" s="84"/>
      <c r="K462" s="255">
        <f t="shared" si="70"/>
        <v>74276.5</v>
      </c>
      <c r="L462" s="255">
        <f t="shared" si="70"/>
        <v>-334.3</v>
      </c>
      <c r="M462" s="255">
        <f t="shared" si="70"/>
        <v>73942.2</v>
      </c>
      <c r="N462" s="148"/>
    </row>
    <row r="463" spans="1:14" s="124" customFormat="1" ht="36" customHeight="1" x14ac:dyDescent="0.35">
      <c r="A463" s="119"/>
      <c r="B463" s="538" t="s">
        <v>344</v>
      </c>
      <c r="C463" s="120" t="s">
        <v>417</v>
      </c>
      <c r="D463" s="10" t="s">
        <v>67</v>
      </c>
      <c r="E463" s="10" t="s">
        <v>37</v>
      </c>
      <c r="F463" s="661" t="s">
        <v>52</v>
      </c>
      <c r="G463" s="662" t="s">
        <v>31</v>
      </c>
      <c r="H463" s="662" t="s">
        <v>43</v>
      </c>
      <c r="I463" s="663" t="s">
        <v>44</v>
      </c>
      <c r="J463" s="84"/>
      <c r="K463" s="255">
        <f t="shared" si="70"/>
        <v>74276.5</v>
      </c>
      <c r="L463" s="255">
        <f t="shared" si="70"/>
        <v>-334.3</v>
      </c>
      <c r="M463" s="255">
        <f t="shared" si="70"/>
        <v>73942.2</v>
      </c>
      <c r="N463" s="148"/>
    </row>
    <row r="464" spans="1:14" s="124" customFormat="1" ht="72" customHeight="1" x14ac:dyDescent="0.35">
      <c r="A464" s="119"/>
      <c r="B464" s="498" t="s">
        <v>414</v>
      </c>
      <c r="C464" s="120" t="s">
        <v>417</v>
      </c>
      <c r="D464" s="10" t="s">
        <v>67</v>
      </c>
      <c r="E464" s="10" t="s">
        <v>37</v>
      </c>
      <c r="F464" s="661" t="s">
        <v>52</v>
      </c>
      <c r="G464" s="662" t="s">
        <v>31</v>
      </c>
      <c r="H464" s="662" t="s">
        <v>63</v>
      </c>
      <c r="I464" s="663" t="s">
        <v>44</v>
      </c>
      <c r="J464" s="84"/>
      <c r="K464" s="255">
        <f>K465+K467</f>
        <v>74276.5</v>
      </c>
      <c r="L464" s="255">
        <f>L465+L467</f>
        <v>-334.3</v>
      </c>
      <c r="M464" s="255">
        <f>M465+M467</f>
        <v>73942.2</v>
      </c>
      <c r="N464" s="148"/>
    </row>
    <row r="465" spans="1:16" s="124" customFormat="1" ht="54" customHeight="1" x14ac:dyDescent="0.35">
      <c r="A465" s="119"/>
      <c r="B465" s="498" t="s">
        <v>219</v>
      </c>
      <c r="C465" s="120" t="s">
        <v>417</v>
      </c>
      <c r="D465" s="10" t="s">
        <v>67</v>
      </c>
      <c r="E465" s="10" t="s">
        <v>37</v>
      </c>
      <c r="F465" s="661" t="s">
        <v>52</v>
      </c>
      <c r="G465" s="662" t="s">
        <v>31</v>
      </c>
      <c r="H465" s="662" t="s">
        <v>63</v>
      </c>
      <c r="I465" s="663" t="s">
        <v>297</v>
      </c>
      <c r="J465" s="84"/>
      <c r="K465" s="255">
        <f t="shared" si="70"/>
        <v>695.20000000000016</v>
      </c>
      <c r="L465" s="255">
        <f t="shared" si="70"/>
        <v>-334.3</v>
      </c>
      <c r="M465" s="255">
        <f t="shared" si="70"/>
        <v>360.90000000000015</v>
      </c>
      <c r="N465" s="148"/>
    </row>
    <row r="466" spans="1:16" s="124" customFormat="1" ht="54" customHeight="1" x14ac:dyDescent="0.35">
      <c r="A466" s="119"/>
      <c r="B466" s="534" t="s">
        <v>203</v>
      </c>
      <c r="C466" s="120" t="s">
        <v>417</v>
      </c>
      <c r="D466" s="10" t="s">
        <v>67</v>
      </c>
      <c r="E466" s="10" t="s">
        <v>37</v>
      </c>
      <c r="F466" s="661" t="s">
        <v>52</v>
      </c>
      <c r="G466" s="662" t="s">
        <v>31</v>
      </c>
      <c r="H466" s="662" t="s">
        <v>63</v>
      </c>
      <c r="I466" s="663" t="s">
        <v>297</v>
      </c>
      <c r="J466" s="84" t="s">
        <v>204</v>
      </c>
      <c r="K466" s="123">
        <f>7338.7-4166.4-630.5-2207.5+360.9</f>
        <v>695.20000000000016</v>
      </c>
      <c r="L466" s="24">
        <f>M466-K466</f>
        <v>-334.3</v>
      </c>
      <c r="M466" s="123">
        <f>7338.7-4166.4-630.5-2207.5+360.9-334.3</f>
        <v>360.90000000000015</v>
      </c>
      <c r="N466" s="148"/>
    </row>
    <row r="467" spans="1:16" s="124" customFormat="1" ht="108" customHeight="1" x14ac:dyDescent="0.35">
      <c r="A467" s="119"/>
      <c r="B467" s="534" t="s">
        <v>507</v>
      </c>
      <c r="C467" s="120" t="s">
        <v>417</v>
      </c>
      <c r="D467" s="10" t="s">
        <v>67</v>
      </c>
      <c r="E467" s="10" t="s">
        <v>37</v>
      </c>
      <c r="F467" s="661" t="s">
        <v>52</v>
      </c>
      <c r="G467" s="662" t="s">
        <v>31</v>
      </c>
      <c r="H467" s="662" t="s">
        <v>63</v>
      </c>
      <c r="I467" s="663" t="s">
        <v>506</v>
      </c>
      <c r="J467" s="83"/>
      <c r="K467" s="123">
        <f>K468</f>
        <v>73581.3</v>
      </c>
      <c r="L467" s="166">
        <f>L468</f>
        <v>0</v>
      </c>
      <c r="M467" s="123">
        <f>M468</f>
        <v>73581.3</v>
      </c>
      <c r="N467" s="148"/>
    </row>
    <row r="468" spans="1:16" s="124" customFormat="1" ht="54" customHeight="1" x14ac:dyDescent="0.35">
      <c r="A468" s="119"/>
      <c r="B468" s="534" t="s">
        <v>203</v>
      </c>
      <c r="C468" s="120" t="s">
        <v>417</v>
      </c>
      <c r="D468" s="10" t="s">
        <v>67</v>
      </c>
      <c r="E468" s="10" t="s">
        <v>37</v>
      </c>
      <c r="F468" s="661" t="s">
        <v>52</v>
      </c>
      <c r="G468" s="662" t="s">
        <v>31</v>
      </c>
      <c r="H468" s="662" t="s">
        <v>63</v>
      </c>
      <c r="I468" s="663" t="s">
        <v>506</v>
      </c>
      <c r="J468" s="83" t="s">
        <v>204</v>
      </c>
      <c r="K468" s="255">
        <f>71373.8+2207.5</f>
        <v>73581.3</v>
      </c>
      <c r="L468" s="24">
        <f>M468-K468</f>
        <v>0</v>
      </c>
      <c r="M468" s="255">
        <f>71373.8+2207.5</f>
        <v>73581.3</v>
      </c>
      <c r="N468" s="148"/>
    </row>
    <row r="469" spans="1:16" s="124" customFormat="1" ht="18" customHeight="1" x14ac:dyDescent="0.35">
      <c r="A469" s="119"/>
      <c r="B469" s="534"/>
      <c r="C469" s="143"/>
      <c r="D469" s="144"/>
      <c r="E469" s="144"/>
      <c r="F469" s="145"/>
      <c r="G469" s="146"/>
      <c r="H469" s="146"/>
      <c r="I469" s="147"/>
      <c r="J469" s="144"/>
      <c r="K469" s="123"/>
      <c r="L469" s="249"/>
      <c r="M469" s="123"/>
    </row>
    <row r="470" spans="1:16" s="112" customFormat="1" ht="52.2" customHeight="1" x14ac:dyDescent="0.3">
      <c r="A470" s="110">
        <v>5</v>
      </c>
      <c r="B470" s="535" t="s">
        <v>7</v>
      </c>
      <c r="C470" s="18" t="s">
        <v>427</v>
      </c>
      <c r="D470" s="19"/>
      <c r="E470" s="19"/>
      <c r="F470" s="20"/>
      <c r="G470" s="21"/>
      <c r="H470" s="21"/>
      <c r="I470" s="22"/>
      <c r="J470" s="19"/>
      <c r="K470" s="32">
        <f>K484+K653+K471</f>
        <v>1480941.5053000001</v>
      </c>
      <c r="L470" s="32">
        <f>L484+L653+L471</f>
        <v>1772.7730000000033</v>
      </c>
      <c r="M470" s="32">
        <f>M484+M653+M471</f>
        <v>1482714.2782999999</v>
      </c>
      <c r="N470" s="134"/>
      <c r="O470" s="134"/>
      <c r="P470" s="134"/>
    </row>
    <row r="471" spans="1:16" s="112" customFormat="1" ht="18" customHeight="1" x14ac:dyDescent="0.35">
      <c r="A471" s="110"/>
      <c r="B471" s="500" t="s">
        <v>36</v>
      </c>
      <c r="C471" s="224" t="s">
        <v>427</v>
      </c>
      <c r="D471" s="222" t="s">
        <v>37</v>
      </c>
      <c r="E471" s="80"/>
      <c r="F471" s="225"/>
      <c r="G471" s="86"/>
      <c r="H471" s="86"/>
      <c r="I471" s="87"/>
      <c r="J471" s="80"/>
      <c r="K471" s="194">
        <f t="shared" ref="K471:M472" si="71">K472</f>
        <v>910.6</v>
      </c>
      <c r="L471" s="194">
        <f t="shared" si="71"/>
        <v>0</v>
      </c>
      <c r="M471" s="194">
        <f t="shared" si="71"/>
        <v>910.6</v>
      </c>
      <c r="N471" s="134"/>
      <c r="O471" s="134"/>
    </row>
    <row r="472" spans="1:16" s="112" customFormat="1" ht="18" customHeight="1" x14ac:dyDescent="0.35">
      <c r="A472" s="110"/>
      <c r="B472" s="500" t="s">
        <v>70</v>
      </c>
      <c r="C472" s="226" t="s">
        <v>427</v>
      </c>
      <c r="D472" s="222" t="s">
        <v>37</v>
      </c>
      <c r="E472" s="222" t="s">
        <v>71</v>
      </c>
      <c r="F472" s="225"/>
      <c r="G472" s="86"/>
      <c r="H472" s="86"/>
      <c r="I472" s="87"/>
      <c r="J472" s="80"/>
      <c r="K472" s="194">
        <f t="shared" si="71"/>
        <v>910.6</v>
      </c>
      <c r="L472" s="194">
        <f t="shared" si="71"/>
        <v>0</v>
      </c>
      <c r="M472" s="194">
        <f t="shared" si="71"/>
        <v>910.6</v>
      </c>
      <c r="N472" s="134"/>
      <c r="O472" s="134"/>
    </row>
    <row r="473" spans="1:16" s="112" customFormat="1" ht="54" customHeight="1" x14ac:dyDescent="0.35">
      <c r="A473" s="110"/>
      <c r="B473" s="500" t="s">
        <v>205</v>
      </c>
      <c r="C473" s="224" t="s">
        <v>427</v>
      </c>
      <c r="D473" s="222" t="s">
        <v>37</v>
      </c>
      <c r="E473" s="222" t="s">
        <v>71</v>
      </c>
      <c r="F473" s="657" t="s">
        <v>39</v>
      </c>
      <c r="G473" s="658" t="s">
        <v>42</v>
      </c>
      <c r="H473" s="658" t="s">
        <v>43</v>
      </c>
      <c r="I473" s="659" t="s">
        <v>44</v>
      </c>
      <c r="J473" s="222"/>
      <c r="K473" s="194">
        <f>K474</f>
        <v>910.6</v>
      </c>
      <c r="L473" s="194">
        <f>L474</f>
        <v>0</v>
      </c>
      <c r="M473" s="194">
        <f>M474</f>
        <v>910.6</v>
      </c>
      <c r="N473" s="134"/>
      <c r="O473" s="134"/>
    </row>
    <row r="474" spans="1:16" s="112" customFormat="1" ht="54" customHeight="1" x14ac:dyDescent="0.35">
      <c r="A474" s="110"/>
      <c r="B474" s="556" t="s">
        <v>212</v>
      </c>
      <c r="C474" s="224" t="s">
        <v>427</v>
      </c>
      <c r="D474" s="222" t="s">
        <v>37</v>
      </c>
      <c r="E474" s="222" t="s">
        <v>71</v>
      </c>
      <c r="F474" s="657" t="s">
        <v>39</v>
      </c>
      <c r="G474" s="658" t="s">
        <v>30</v>
      </c>
      <c r="H474" s="658" t="s">
        <v>43</v>
      </c>
      <c r="I474" s="659" t="s">
        <v>44</v>
      </c>
      <c r="J474" s="222"/>
      <c r="K474" s="194">
        <f>K475+K478+K481</f>
        <v>910.6</v>
      </c>
      <c r="L474" s="194">
        <f>L475+L478+L481</f>
        <v>0</v>
      </c>
      <c r="M474" s="194">
        <f>M475+M478+M481</f>
        <v>910.6</v>
      </c>
      <c r="N474" s="134"/>
      <c r="O474" s="134"/>
    </row>
    <row r="475" spans="1:16" s="112" customFormat="1" ht="36" customHeight="1" x14ac:dyDescent="0.35">
      <c r="A475" s="110"/>
      <c r="B475" s="500" t="s">
        <v>356</v>
      </c>
      <c r="C475" s="224" t="s">
        <v>427</v>
      </c>
      <c r="D475" s="222" t="s">
        <v>37</v>
      </c>
      <c r="E475" s="222" t="s">
        <v>71</v>
      </c>
      <c r="F475" s="657" t="s">
        <v>39</v>
      </c>
      <c r="G475" s="658" t="s">
        <v>30</v>
      </c>
      <c r="H475" s="658" t="s">
        <v>63</v>
      </c>
      <c r="I475" s="659" t="s">
        <v>44</v>
      </c>
      <c r="J475" s="222"/>
      <c r="K475" s="194">
        <f t="shared" ref="K475:M476" si="72">K476</f>
        <v>552.6</v>
      </c>
      <c r="L475" s="194">
        <f t="shared" si="72"/>
        <v>0</v>
      </c>
      <c r="M475" s="194">
        <f t="shared" si="72"/>
        <v>552.6</v>
      </c>
      <c r="N475" s="134"/>
      <c r="O475" s="134"/>
    </row>
    <row r="476" spans="1:16" s="112" customFormat="1" ht="54" customHeight="1" x14ac:dyDescent="0.35">
      <c r="A476" s="110"/>
      <c r="B476" s="556" t="s">
        <v>474</v>
      </c>
      <c r="C476" s="226" t="s">
        <v>427</v>
      </c>
      <c r="D476" s="222" t="s">
        <v>37</v>
      </c>
      <c r="E476" s="222" t="s">
        <v>71</v>
      </c>
      <c r="F476" s="657" t="s">
        <v>39</v>
      </c>
      <c r="G476" s="658" t="s">
        <v>30</v>
      </c>
      <c r="H476" s="658" t="s">
        <v>63</v>
      </c>
      <c r="I476" s="659" t="s">
        <v>105</v>
      </c>
      <c r="J476" s="222"/>
      <c r="K476" s="194">
        <f t="shared" si="72"/>
        <v>552.6</v>
      </c>
      <c r="L476" s="194">
        <f t="shared" si="72"/>
        <v>0</v>
      </c>
      <c r="M476" s="194">
        <f t="shared" si="72"/>
        <v>552.6</v>
      </c>
      <c r="N476" s="134"/>
      <c r="O476" s="134"/>
    </row>
    <row r="477" spans="1:16" s="112" customFormat="1" ht="54" customHeight="1" x14ac:dyDescent="0.35">
      <c r="A477" s="110"/>
      <c r="B477" s="556" t="s">
        <v>55</v>
      </c>
      <c r="C477" s="226" t="s">
        <v>427</v>
      </c>
      <c r="D477" s="222" t="s">
        <v>37</v>
      </c>
      <c r="E477" s="222" t="s">
        <v>71</v>
      </c>
      <c r="F477" s="657" t="s">
        <v>39</v>
      </c>
      <c r="G477" s="658" t="s">
        <v>30</v>
      </c>
      <c r="H477" s="658" t="s">
        <v>63</v>
      </c>
      <c r="I477" s="659" t="s">
        <v>105</v>
      </c>
      <c r="J477" s="222" t="s">
        <v>56</v>
      </c>
      <c r="K477" s="194">
        <f>436.7+98.9+17</f>
        <v>552.6</v>
      </c>
      <c r="L477" s="24">
        <f>M477-K477</f>
        <v>0</v>
      </c>
      <c r="M477" s="194">
        <f>436.7+98.9+17</f>
        <v>552.6</v>
      </c>
      <c r="N477" s="134"/>
      <c r="O477" s="134"/>
    </row>
    <row r="478" spans="1:16" s="112" customFormat="1" ht="36" customHeight="1" x14ac:dyDescent="0.35">
      <c r="A478" s="110"/>
      <c r="B478" s="556" t="s">
        <v>470</v>
      </c>
      <c r="C478" s="224" t="s">
        <v>427</v>
      </c>
      <c r="D478" s="222" t="s">
        <v>37</v>
      </c>
      <c r="E478" s="222" t="s">
        <v>71</v>
      </c>
      <c r="F478" s="657" t="s">
        <v>39</v>
      </c>
      <c r="G478" s="658" t="s">
        <v>30</v>
      </c>
      <c r="H478" s="658" t="s">
        <v>52</v>
      </c>
      <c r="I478" s="659" t="s">
        <v>44</v>
      </c>
      <c r="J478" s="222"/>
      <c r="K478" s="194">
        <f t="shared" ref="K478:M479" si="73">K479</f>
        <v>24</v>
      </c>
      <c r="L478" s="194">
        <f t="shared" si="73"/>
        <v>0</v>
      </c>
      <c r="M478" s="194">
        <f t="shared" si="73"/>
        <v>24</v>
      </c>
      <c r="N478" s="134"/>
      <c r="O478" s="134"/>
    </row>
    <row r="479" spans="1:16" s="112" customFormat="1" ht="18" customHeight="1" x14ac:dyDescent="0.35">
      <c r="A479" s="110"/>
      <c r="B479" s="556" t="s">
        <v>475</v>
      </c>
      <c r="C479" s="226" t="s">
        <v>427</v>
      </c>
      <c r="D479" s="222" t="s">
        <v>37</v>
      </c>
      <c r="E479" s="222" t="s">
        <v>71</v>
      </c>
      <c r="F479" s="657" t="s">
        <v>39</v>
      </c>
      <c r="G479" s="658" t="s">
        <v>30</v>
      </c>
      <c r="H479" s="658" t="s">
        <v>52</v>
      </c>
      <c r="I479" s="659" t="s">
        <v>469</v>
      </c>
      <c r="J479" s="222"/>
      <c r="K479" s="194">
        <f t="shared" si="73"/>
        <v>24</v>
      </c>
      <c r="L479" s="194">
        <f t="shared" si="73"/>
        <v>0</v>
      </c>
      <c r="M479" s="194">
        <f t="shared" si="73"/>
        <v>24</v>
      </c>
      <c r="N479" s="134"/>
      <c r="O479" s="134"/>
    </row>
    <row r="480" spans="1:16" s="112" customFormat="1" ht="54" customHeight="1" x14ac:dyDescent="0.35">
      <c r="A480" s="110"/>
      <c r="B480" s="556" t="s">
        <v>55</v>
      </c>
      <c r="C480" s="226" t="s">
        <v>427</v>
      </c>
      <c r="D480" s="222" t="s">
        <v>37</v>
      </c>
      <c r="E480" s="222" t="s">
        <v>71</v>
      </c>
      <c r="F480" s="657" t="s">
        <v>39</v>
      </c>
      <c r="G480" s="658" t="s">
        <v>30</v>
      </c>
      <c r="H480" s="658" t="s">
        <v>52</v>
      </c>
      <c r="I480" s="659" t="s">
        <v>469</v>
      </c>
      <c r="J480" s="222" t="s">
        <v>56</v>
      </c>
      <c r="K480" s="194">
        <v>24</v>
      </c>
      <c r="L480" s="24">
        <f>M480-K480</f>
        <v>0</v>
      </c>
      <c r="M480" s="194">
        <v>24</v>
      </c>
      <c r="N480" s="134"/>
      <c r="O480" s="134"/>
    </row>
    <row r="481" spans="1:15" s="112" customFormat="1" ht="36" customHeight="1" x14ac:dyDescent="0.35">
      <c r="A481" s="110"/>
      <c r="B481" s="556" t="s">
        <v>473</v>
      </c>
      <c r="C481" s="226" t="s">
        <v>427</v>
      </c>
      <c r="D481" s="222" t="s">
        <v>37</v>
      </c>
      <c r="E481" s="222" t="s">
        <v>71</v>
      </c>
      <c r="F481" s="657" t="s">
        <v>39</v>
      </c>
      <c r="G481" s="658" t="s">
        <v>30</v>
      </c>
      <c r="H481" s="658" t="s">
        <v>65</v>
      </c>
      <c r="I481" s="403" t="s">
        <v>44</v>
      </c>
      <c r="J481" s="78"/>
      <c r="K481" s="194">
        <f t="shared" ref="K481:M482" si="74">K482</f>
        <v>334</v>
      </c>
      <c r="L481" s="194">
        <f t="shared" si="74"/>
        <v>0</v>
      </c>
      <c r="M481" s="194">
        <f t="shared" si="74"/>
        <v>334</v>
      </c>
      <c r="N481" s="134"/>
      <c r="O481" s="134"/>
    </row>
    <row r="482" spans="1:15" s="112" customFormat="1" ht="36" customHeight="1" x14ac:dyDescent="0.35">
      <c r="A482" s="110"/>
      <c r="B482" s="556" t="s">
        <v>127</v>
      </c>
      <c r="C482" s="226" t="s">
        <v>427</v>
      </c>
      <c r="D482" s="222" t="s">
        <v>37</v>
      </c>
      <c r="E482" s="222" t="s">
        <v>71</v>
      </c>
      <c r="F482" s="657" t="s">
        <v>39</v>
      </c>
      <c r="G482" s="658" t="s">
        <v>30</v>
      </c>
      <c r="H482" s="658" t="s">
        <v>65</v>
      </c>
      <c r="I482" s="403" t="s">
        <v>90</v>
      </c>
      <c r="J482" s="78"/>
      <c r="K482" s="194">
        <f t="shared" si="74"/>
        <v>334</v>
      </c>
      <c r="L482" s="194">
        <f t="shared" si="74"/>
        <v>0</v>
      </c>
      <c r="M482" s="194">
        <f t="shared" si="74"/>
        <v>334</v>
      </c>
      <c r="N482" s="134"/>
      <c r="O482" s="134"/>
    </row>
    <row r="483" spans="1:15" s="112" customFormat="1" ht="54" customHeight="1" x14ac:dyDescent="0.35">
      <c r="A483" s="110"/>
      <c r="B483" s="556" t="s">
        <v>55</v>
      </c>
      <c r="C483" s="226" t="s">
        <v>427</v>
      </c>
      <c r="D483" s="222" t="s">
        <v>37</v>
      </c>
      <c r="E483" s="222" t="s">
        <v>71</v>
      </c>
      <c r="F483" s="657" t="s">
        <v>39</v>
      </c>
      <c r="G483" s="658" t="s">
        <v>30</v>
      </c>
      <c r="H483" s="658" t="s">
        <v>65</v>
      </c>
      <c r="I483" s="403" t="s">
        <v>90</v>
      </c>
      <c r="J483" s="78" t="s">
        <v>56</v>
      </c>
      <c r="K483" s="194">
        <f>296.5+37.5</f>
        <v>334</v>
      </c>
      <c r="L483" s="24">
        <f>M483-K483</f>
        <v>0</v>
      </c>
      <c r="M483" s="194">
        <f>296.5+37.5</f>
        <v>334</v>
      </c>
      <c r="N483" s="134"/>
      <c r="O483" s="134"/>
    </row>
    <row r="484" spans="1:15" s="113" customFormat="1" ht="18" customHeight="1" x14ac:dyDescent="0.35">
      <c r="A484" s="11"/>
      <c r="B484" s="498" t="s">
        <v>179</v>
      </c>
      <c r="C484" s="23" t="s">
        <v>427</v>
      </c>
      <c r="D484" s="10" t="s">
        <v>224</v>
      </c>
      <c r="E484" s="10"/>
      <c r="F484" s="661"/>
      <c r="G484" s="662"/>
      <c r="H484" s="662"/>
      <c r="I484" s="663"/>
      <c r="J484" s="10"/>
      <c r="K484" s="24">
        <f>K485+K521+K623+K581+K613</f>
        <v>1472425.7053</v>
      </c>
      <c r="L484" s="24">
        <f>L485+L521+L623+L581+L613</f>
        <v>1772.7730000000033</v>
      </c>
      <c r="M484" s="24">
        <f>M485+M521+M623+M581+M613</f>
        <v>1474198.4782999998</v>
      </c>
      <c r="N484" s="135"/>
      <c r="O484" s="135"/>
    </row>
    <row r="485" spans="1:15" s="112" customFormat="1" ht="18" customHeight="1" x14ac:dyDescent="0.35">
      <c r="A485" s="11"/>
      <c r="B485" s="498" t="s">
        <v>181</v>
      </c>
      <c r="C485" s="23" t="s">
        <v>427</v>
      </c>
      <c r="D485" s="10" t="s">
        <v>224</v>
      </c>
      <c r="E485" s="10" t="s">
        <v>37</v>
      </c>
      <c r="F485" s="661"/>
      <c r="G485" s="662"/>
      <c r="H485" s="662"/>
      <c r="I485" s="663"/>
      <c r="J485" s="10"/>
      <c r="K485" s="24">
        <f>K486+K507+K516</f>
        <v>422411.80000000005</v>
      </c>
      <c r="L485" s="24">
        <f>L486+L507+L516</f>
        <v>2924.1999999999957</v>
      </c>
      <c r="M485" s="24">
        <f>M486+M507+M516</f>
        <v>425335.99999999994</v>
      </c>
    </row>
    <row r="486" spans="1:15" s="112" customFormat="1" ht="54" customHeight="1" x14ac:dyDescent="0.35">
      <c r="A486" s="11"/>
      <c r="B486" s="498" t="s">
        <v>205</v>
      </c>
      <c r="C486" s="23" t="s">
        <v>427</v>
      </c>
      <c r="D486" s="10" t="s">
        <v>224</v>
      </c>
      <c r="E486" s="10" t="s">
        <v>37</v>
      </c>
      <c r="F486" s="661" t="s">
        <v>39</v>
      </c>
      <c r="G486" s="662" t="s">
        <v>42</v>
      </c>
      <c r="H486" s="662" t="s">
        <v>43</v>
      </c>
      <c r="I486" s="663" t="s">
        <v>44</v>
      </c>
      <c r="J486" s="10"/>
      <c r="K486" s="24">
        <f t="shared" ref="K486:M487" si="75">K487</f>
        <v>421001.9</v>
      </c>
      <c r="L486" s="24">
        <f t="shared" si="75"/>
        <v>3237.2999999999956</v>
      </c>
      <c r="M486" s="24">
        <f t="shared" si="75"/>
        <v>424239.19999999995</v>
      </c>
    </row>
    <row r="487" spans="1:15" s="112" customFormat="1" ht="36" customHeight="1" x14ac:dyDescent="0.35">
      <c r="A487" s="11"/>
      <c r="B487" s="498" t="s">
        <v>206</v>
      </c>
      <c r="C487" s="23" t="s">
        <v>427</v>
      </c>
      <c r="D487" s="10" t="s">
        <v>224</v>
      </c>
      <c r="E487" s="10" t="s">
        <v>37</v>
      </c>
      <c r="F487" s="661" t="s">
        <v>39</v>
      </c>
      <c r="G487" s="662" t="s">
        <v>45</v>
      </c>
      <c r="H487" s="662" t="s">
        <v>43</v>
      </c>
      <c r="I487" s="663" t="s">
        <v>44</v>
      </c>
      <c r="J487" s="10"/>
      <c r="K487" s="24">
        <f t="shared" si="75"/>
        <v>421001.9</v>
      </c>
      <c r="L487" s="24">
        <f t="shared" si="75"/>
        <v>3237.2999999999956</v>
      </c>
      <c r="M487" s="24">
        <f t="shared" si="75"/>
        <v>424239.19999999995</v>
      </c>
    </row>
    <row r="488" spans="1:15" s="112" customFormat="1" ht="36" customHeight="1" x14ac:dyDescent="0.35">
      <c r="A488" s="11"/>
      <c r="B488" s="498" t="s">
        <v>272</v>
      </c>
      <c r="C488" s="23" t="s">
        <v>427</v>
      </c>
      <c r="D488" s="10" t="s">
        <v>224</v>
      </c>
      <c r="E488" s="10" t="s">
        <v>37</v>
      </c>
      <c r="F488" s="661" t="s">
        <v>39</v>
      </c>
      <c r="G488" s="662" t="s">
        <v>45</v>
      </c>
      <c r="H488" s="662" t="s">
        <v>37</v>
      </c>
      <c r="I488" s="663" t="s">
        <v>44</v>
      </c>
      <c r="J488" s="10"/>
      <c r="K488" s="24">
        <f>K497+K499+K489+K493+K491+K495+K503+K501+K505</f>
        <v>421001.9</v>
      </c>
      <c r="L488" s="24">
        <f>L497+L499+L489+L493+L491+L495+L503+L501+L505</f>
        <v>3237.2999999999956</v>
      </c>
      <c r="M488" s="24">
        <f>M497+M499+M489+M493+M491+M495+M503+M501+M505</f>
        <v>424239.19999999995</v>
      </c>
      <c r="N488" s="162"/>
    </row>
    <row r="489" spans="1:15" s="111" customFormat="1" ht="36" customHeight="1" x14ac:dyDescent="0.35">
      <c r="A489" s="11"/>
      <c r="B489" s="531" t="s">
        <v>466</v>
      </c>
      <c r="C489" s="23" t="s">
        <v>427</v>
      </c>
      <c r="D489" s="10" t="s">
        <v>224</v>
      </c>
      <c r="E489" s="10" t="s">
        <v>37</v>
      </c>
      <c r="F489" s="661" t="s">
        <v>39</v>
      </c>
      <c r="G489" s="662" t="s">
        <v>45</v>
      </c>
      <c r="H489" s="662" t="s">
        <v>37</v>
      </c>
      <c r="I489" s="663" t="s">
        <v>91</v>
      </c>
      <c r="J489" s="10"/>
      <c r="K489" s="24">
        <f>K490</f>
        <v>105963.19999999998</v>
      </c>
      <c r="L489" s="24">
        <f>L490</f>
        <v>2847.1999999999971</v>
      </c>
      <c r="M489" s="24">
        <f>M490</f>
        <v>108810.39999999998</v>
      </c>
      <c r="N489" s="163"/>
    </row>
    <row r="490" spans="1:15" s="111" customFormat="1" ht="54" customHeight="1" x14ac:dyDescent="0.35">
      <c r="A490" s="11"/>
      <c r="B490" s="498" t="s">
        <v>76</v>
      </c>
      <c r="C490" s="23" t="s">
        <v>427</v>
      </c>
      <c r="D490" s="10" t="s">
        <v>224</v>
      </c>
      <c r="E490" s="10" t="s">
        <v>37</v>
      </c>
      <c r="F490" s="661" t="s">
        <v>39</v>
      </c>
      <c r="G490" s="662" t="s">
        <v>45</v>
      </c>
      <c r="H490" s="662" t="s">
        <v>37</v>
      </c>
      <c r="I490" s="663" t="s">
        <v>91</v>
      </c>
      <c r="J490" s="10" t="s">
        <v>77</v>
      </c>
      <c r="K490" s="24">
        <f>101810-0.1+50+322.9+1877.9+1880+22.5</f>
        <v>105963.19999999998</v>
      </c>
      <c r="L490" s="24">
        <f>M490-K490</f>
        <v>2847.1999999999971</v>
      </c>
      <c r="M490" s="24">
        <f>101810-0.1+50+322.9+1877.9+1880+22.5+1980.9+866.3</f>
        <v>108810.39999999998</v>
      </c>
      <c r="N490" s="163"/>
    </row>
    <row r="491" spans="1:15" s="111" customFormat="1" ht="18" customHeight="1" x14ac:dyDescent="0.35">
      <c r="A491" s="11"/>
      <c r="B491" s="498" t="s">
        <v>467</v>
      </c>
      <c r="C491" s="23" t="s">
        <v>427</v>
      </c>
      <c r="D491" s="10" t="s">
        <v>224</v>
      </c>
      <c r="E491" s="10" t="s">
        <v>37</v>
      </c>
      <c r="F491" s="661" t="s">
        <v>39</v>
      </c>
      <c r="G491" s="662" t="s">
        <v>45</v>
      </c>
      <c r="H491" s="662" t="s">
        <v>37</v>
      </c>
      <c r="I491" s="663" t="s">
        <v>384</v>
      </c>
      <c r="J491" s="10"/>
      <c r="K491" s="24">
        <f>K492</f>
        <v>14681.199999999999</v>
      </c>
      <c r="L491" s="24">
        <f>L492</f>
        <v>790.09999999999854</v>
      </c>
      <c r="M491" s="24">
        <f>M492</f>
        <v>15471.299999999997</v>
      </c>
      <c r="N491" s="163"/>
    </row>
    <row r="492" spans="1:15" s="111" customFormat="1" ht="54" customHeight="1" x14ac:dyDescent="0.35">
      <c r="A492" s="11"/>
      <c r="B492" s="498" t="s">
        <v>76</v>
      </c>
      <c r="C492" s="23" t="s">
        <v>427</v>
      </c>
      <c r="D492" s="10" t="s">
        <v>224</v>
      </c>
      <c r="E492" s="10" t="s">
        <v>37</v>
      </c>
      <c r="F492" s="661" t="s">
        <v>39</v>
      </c>
      <c r="G492" s="662" t="s">
        <v>45</v>
      </c>
      <c r="H492" s="662" t="s">
        <v>37</v>
      </c>
      <c r="I492" s="663" t="s">
        <v>384</v>
      </c>
      <c r="J492" s="10" t="s">
        <v>77</v>
      </c>
      <c r="K492" s="24">
        <f>10239.7+473.772+460.884+473.844+319.1+529.5+653.4+9.035+563.1+100.4+141.3+160.9+111.331+56.634+566.5+367.2+817-73.5-15-284.557-228.843-68.3-300.95-249.95-141.3</f>
        <v>14681.199999999999</v>
      </c>
      <c r="L492" s="24">
        <f>M492-K492</f>
        <v>790.09999999999854</v>
      </c>
      <c r="M492" s="24">
        <f>10239.7+473.772+460.884+473.844+319.1+529.5+653.4+9.035+563.1+100.4+141.3+160.9+111.331+56.634+566.5+367.2+817-73.5-15-284.557-228.843-68.3-300.95-249.95-141.3-452.75766+644.25766+272.8+325.8</f>
        <v>15471.299999999997</v>
      </c>
      <c r="N492" s="163"/>
    </row>
    <row r="493" spans="1:15" s="112" customFormat="1" ht="54" customHeight="1" x14ac:dyDescent="0.35">
      <c r="A493" s="11"/>
      <c r="B493" s="498" t="s">
        <v>207</v>
      </c>
      <c r="C493" s="23" t="s">
        <v>427</v>
      </c>
      <c r="D493" s="10" t="s">
        <v>224</v>
      </c>
      <c r="E493" s="10" t="s">
        <v>37</v>
      </c>
      <c r="F493" s="661" t="s">
        <v>39</v>
      </c>
      <c r="G493" s="662" t="s">
        <v>45</v>
      </c>
      <c r="H493" s="662" t="s">
        <v>37</v>
      </c>
      <c r="I493" s="663" t="s">
        <v>278</v>
      </c>
      <c r="J493" s="10"/>
      <c r="K493" s="24">
        <f>K494</f>
        <v>31159.599999999999</v>
      </c>
      <c r="L493" s="24">
        <f>L494</f>
        <v>0</v>
      </c>
      <c r="M493" s="24">
        <f>M494</f>
        <v>31159.599999999999</v>
      </c>
      <c r="N493" s="162"/>
    </row>
    <row r="494" spans="1:15" s="112" customFormat="1" ht="54" customHeight="1" x14ac:dyDescent="0.35">
      <c r="A494" s="11"/>
      <c r="B494" s="498" t="s">
        <v>76</v>
      </c>
      <c r="C494" s="23" t="s">
        <v>427</v>
      </c>
      <c r="D494" s="10" t="s">
        <v>224</v>
      </c>
      <c r="E494" s="10" t="s">
        <v>37</v>
      </c>
      <c r="F494" s="661" t="s">
        <v>39</v>
      </c>
      <c r="G494" s="662" t="s">
        <v>45</v>
      </c>
      <c r="H494" s="662" t="s">
        <v>37</v>
      </c>
      <c r="I494" s="663" t="s">
        <v>278</v>
      </c>
      <c r="J494" s="10" t="s">
        <v>77</v>
      </c>
      <c r="K494" s="24">
        <f>28269.9+735.9+362+724+36+81.5+50+46.6+98.4+82.1+85+247.3+5.2+45+36+82.7+12.3+12+20.3+56.8+70.6</f>
        <v>31159.599999999999</v>
      </c>
      <c r="L494" s="24">
        <f>M494-K494</f>
        <v>0</v>
      </c>
      <c r="M494" s="24">
        <f>28269.9+735.9+362+724+36+81.5+50+46.6+98.4+82.1+85+247.3+5.2+45+36+82.7+12.3+12+20.3+56.8+70.6</f>
        <v>31159.599999999999</v>
      </c>
      <c r="N494" s="162"/>
    </row>
    <row r="495" spans="1:15" s="112" customFormat="1" ht="36" customHeight="1" x14ac:dyDescent="0.35">
      <c r="A495" s="11"/>
      <c r="B495" s="498" t="s">
        <v>208</v>
      </c>
      <c r="C495" s="23" t="s">
        <v>427</v>
      </c>
      <c r="D495" s="10" t="s">
        <v>224</v>
      </c>
      <c r="E495" s="10" t="s">
        <v>37</v>
      </c>
      <c r="F495" s="661" t="s">
        <v>39</v>
      </c>
      <c r="G495" s="662" t="s">
        <v>45</v>
      </c>
      <c r="H495" s="662" t="s">
        <v>37</v>
      </c>
      <c r="I495" s="663" t="s">
        <v>279</v>
      </c>
      <c r="J495" s="10"/>
      <c r="K495" s="24">
        <f>K496</f>
        <v>1698.3999999999999</v>
      </c>
      <c r="L495" s="24">
        <f>L496</f>
        <v>-400</v>
      </c>
      <c r="M495" s="24">
        <f>M496</f>
        <v>1298.3999999999999</v>
      </c>
      <c r="N495" s="162"/>
    </row>
    <row r="496" spans="1:15" s="111" customFormat="1" ht="54" customHeight="1" x14ac:dyDescent="0.35">
      <c r="A496" s="11"/>
      <c r="B496" s="498" t="s">
        <v>76</v>
      </c>
      <c r="C496" s="23" t="s">
        <v>427</v>
      </c>
      <c r="D496" s="10" t="s">
        <v>224</v>
      </c>
      <c r="E496" s="10" t="s">
        <v>37</v>
      </c>
      <c r="F496" s="661" t="s">
        <v>39</v>
      </c>
      <c r="G496" s="662" t="s">
        <v>45</v>
      </c>
      <c r="H496" s="662" t="s">
        <v>37</v>
      </c>
      <c r="I496" s="663" t="s">
        <v>279</v>
      </c>
      <c r="J496" s="10" t="s">
        <v>77</v>
      </c>
      <c r="K496" s="24">
        <f>80.8+400+300+159.9+269-269+214+402.4+141.3</f>
        <v>1698.3999999999999</v>
      </c>
      <c r="L496" s="24">
        <f>M496-K496</f>
        <v>-400</v>
      </c>
      <c r="M496" s="24">
        <f>80.8+400+300+159.9+269-269+214+402.4+141.3-400</f>
        <v>1298.3999999999999</v>
      </c>
      <c r="N496" s="163"/>
    </row>
    <row r="497" spans="1:14" s="112" customFormat="1" ht="180" customHeight="1" x14ac:dyDescent="0.35">
      <c r="A497" s="11"/>
      <c r="B497" s="498" t="s">
        <v>273</v>
      </c>
      <c r="C497" s="23" t="s">
        <v>427</v>
      </c>
      <c r="D497" s="10" t="s">
        <v>224</v>
      </c>
      <c r="E497" s="10" t="s">
        <v>37</v>
      </c>
      <c r="F497" s="661" t="s">
        <v>39</v>
      </c>
      <c r="G497" s="662" t="s">
        <v>45</v>
      </c>
      <c r="H497" s="662" t="s">
        <v>37</v>
      </c>
      <c r="I497" s="663" t="s">
        <v>274</v>
      </c>
      <c r="J497" s="10"/>
      <c r="K497" s="24">
        <f>K498</f>
        <v>580.4</v>
      </c>
      <c r="L497" s="24">
        <f>L498</f>
        <v>0</v>
      </c>
      <c r="M497" s="24">
        <f>M498</f>
        <v>580.4</v>
      </c>
      <c r="N497" s="162"/>
    </row>
    <row r="498" spans="1:14" s="112" customFormat="1" ht="54" customHeight="1" x14ac:dyDescent="0.35">
      <c r="A498" s="11"/>
      <c r="B498" s="498" t="s">
        <v>76</v>
      </c>
      <c r="C498" s="23" t="s">
        <v>427</v>
      </c>
      <c r="D498" s="10" t="s">
        <v>224</v>
      </c>
      <c r="E498" s="10" t="s">
        <v>37</v>
      </c>
      <c r="F498" s="661" t="s">
        <v>39</v>
      </c>
      <c r="G498" s="662" t="s">
        <v>45</v>
      </c>
      <c r="H498" s="662" t="s">
        <v>37</v>
      </c>
      <c r="I498" s="663" t="s">
        <v>274</v>
      </c>
      <c r="J498" s="10" t="s">
        <v>77</v>
      </c>
      <c r="K498" s="24">
        <f>536.4+44</f>
        <v>580.4</v>
      </c>
      <c r="L498" s="24">
        <f>M498-K498</f>
        <v>0</v>
      </c>
      <c r="M498" s="24">
        <f>536.4+44</f>
        <v>580.4</v>
      </c>
    </row>
    <row r="499" spans="1:14" s="112" customFormat="1" ht="108" customHeight="1" x14ac:dyDescent="0.35">
      <c r="A499" s="11"/>
      <c r="B499" s="498" t="s">
        <v>350</v>
      </c>
      <c r="C499" s="23" t="s">
        <v>427</v>
      </c>
      <c r="D499" s="10" t="s">
        <v>224</v>
      </c>
      <c r="E499" s="10" t="s">
        <v>37</v>
      </c>
      <c r="F499" s="661" t="s">
        <v>39</v>
      </c>
      <c r="G499" s="662" t="s">
        <v>45</v>
      </c>
      <c r="H499" s="662" t="s">
        <v>37</v>
      </c>
      <c r="I499" s="663" t="s">
        <v>275</v>
      </c>
      <c r="J499" s="10"/>
      <c r="K499" s="24">
        <f>K500</f>
        <v>251582.4</v>
      </c>
      <c r="L499" s="24">
        <f>L500</f>
        <v>0</v>
      </c>
      <c r="M499" s="24">
        <f>M500</f>
        <v>251582.4</v>
      </c>
    </row>
    <row r="500" spans="1:14" s="112" customFormat="1" ht="54" customHeight="1" x14ac:dyDescent="0.35">
      <c r="A500" s="11"/>
      <c r="B500" s="498" t="s">
        <v>76</v>
      </c>
      <c r="C500" s="23" t="s">
        <v>427</v>
      </c>
      <c r="D500" s="10" t="s">
        <v>224</v>
      </c>
      <c r="E500" s="10" t="s">
        <v>37</v>
      </c>
      <c r="F500" s="661" t="s">
        <v>39</v>
      </c>
      <c r="G500" s="662" t="s">
        <v>45</v>
      </c>
      <c r="H500" s="662" t="s">
        <v>37</v>
      </c>
      <c r="I500" s="663" t="s">
        <v>275</v>
      </c>
      <c r="J500" s="10" t="s">
        <v>77</v>
      </c>
      <c r="K500" s="24">
        <f>249099.8+2482.6</f>
        <v>251582.4</v>
      </c>
      <c r="L500" s="24">
        <f>M500-K500</f>
        <v>0</v>
      </c>
      <c r="M500" s="24">
        <f>249099.8+2482.6</f>
        <v>251582.4</v>
      </c>
    </row>
    <row r="501" spans="1:14" s="112" customFormat="1" ht="54" customHeight="1" x14ac:dyDescent="0.35">
      <c r="A501" s="11"/>
      <c r="B501" s="566" t="s">
        <v>696</v>
      </c>
      <c r="C501" s="23" t="s">
        <v>427</v>
      </c>
      <c r="D501" s="10" t="s">
        <v>224</v>
      </c>
      <c r="E501" s="10" t="s">
        <v>37</v>
      </c>
      <c r="F501" s="661" t="s">
        <v>39</v>
      </c>
      <c r="G501" s="662" t="s">
        <v>45</v>
      </c>
      <c r="H501" s="662" t="s">
        <v>37</v>
      </c>
      <c r="I501" s="663" t="s">
        <v>695</v>
      </c>
      <c r="J501" s="10"/>
      <c r="K501" s="24">
        <f>K502</f>
        <v>4901.7</v>
      </c>
      <c r="L501" s="24">
        <f>L502</f>
        <v>0</v>
      </c>
      <c r="M501" s="24">
        <f>M502</f>
        <v>4901.7</v>
      </c>
    </row>
    <row r="502" spans="1:14" s="112" customFormat="1" ht="54" customHeight="1" x14ac:dyDescent="0.35">
      <c r="A502" s="11"/>
      <c r="B502" s="566" t="s">
        <v>76</v>
      </c>
      <c r="C502" s="23" t="s">
        <v>427</v>
      </c>
      <c r="D502" s="10" t="s">
        <v>224</v>
      </c>
      <c r="E502" s="10" t="s">
        <v>37</v>
      </c>
      <c r="F502" s="661" t="s">
        <v>39</v>
      </c>
      <c r="G502" s="662" t="s">
        <v>45</v>
      </c>
      <c r="H502" s="662" t="s">
        <v>37</v>
      </c>
      <c r="I502" s="663" t="s">
        <v>695</v>
      </c>
      <c r="J502" s="10" t="s">
        <v>77</v>
      </c>
      <c r="K502" s="24">
        <v>4901.7</v>
      </c>
      <c r="L502" s="24">
        <f>M502-K502</f>
        <v>0</v>
      </c>
      <c r="M502" s="24">
        <v>4901.7</v>
      </c>
    </row>
    <row r="503" spans="1:14" s="112" customFormat="1" ht="205.8" customHeight="1" x14ac:dyDescent="0.35">
      <c r="A503" s="11"/>
      <c r="B503" s="498" t="s">
        <v>559</v>
      </c>
      <c r="C503" s="23" t="s">
        <v>427</v>
      </c>
      <c r="D503" s="10" t="s">
        <v>224</v>
      </c>
      <c r="E503" s="10" t="s">
        <v>37</v>
      </c>
      <c r="F503" s="661" t="s">
        <v>39</v>
      </c>
      <c r="G503" s="662" t="s">
        <v>45</v>
      </c>
      <c r="H503" s="662" t="s">
        <v>37</v>
      </c>
      <c r="I503" s="663" t="s">
        <v>560</v>
      </c>
      <c r="J503" s="10"/>
      <c r="K503" s="24">
        <f>K504</f>
        <v>1469.3</v>
      </c>
      <c r="L503" s="24">
        <f>L504</f>
        <v>0</v>
      </c>
      <c r="M503" s="24">
        <f>M504</f>
        <v>1469.3</v>
      </c>
    </row>
    <row r="504" spans="1:14" s="112" customFormat="1" ht="54" customHeight="1" x14ac:dyDescent="0.35">
      <c r="A504" s="11"/>
      <c r="B504" s="498" t="s">
        <v>76</v>
      </c>
      <c r="C504" s="23" t="s">
        <v>427</v>
      </c>
      <c r="D504" s="10" t="s">
        <v>224</v>
      </c>
      <c r="E504" s="10" t="s">
        <v>37</v>
      </c>
      <c r="F504" s="661" t="s">
        <v>39</v>
      </c>
      <c r="G504" s="662" t="s">
        <v>45</v>
      </c>
      <c r="H504" s="662" t="s">
        <v>37</v>
      </c>
      <c r="I504" s="663" t="s">
        <v>560</v>
      </c>
      <c r="J504" s="10" t="s">
        <v>77</v>
      </c>
      <c r="K504" s="24">
        <v>1469.3</v>
      </c>
      <c r="L504" s="24">
        <f>M504-K504</f>
        <v>0</v>
      </c>
      <c r="M504" s="24">
        <v>1469.3</v>
      </c>
    </row>
    <row r="505" spans="1:14" s="112" customFormat="1" ht="162" x14ac:dyDescent="0.35">
      <c r="A505" s="11"/>
      <c r="B505" s="498" t="s">
        <v>753</v>
      </c>
      <c r="C505" s="23" t="s">
        <v>427</v>
      </c>
      <c r="D505" s="10" t="s">
        <v>224</v>
      </c>
      <c r="E505" s="10" t="s">
        <v>37</v>
      </c>
      <c r="F505" s="661" t="s">
        <v>39</v>
      </c>
      <c r="G505" s="662" t="s">
        <v>45</v>
      </c>
      <c r="H505" s="662" t="s">
        <v>37</v>
      </c>
      <c r="I505" s="663" t="s">
        <v>752</v>
      </c>
      <c r="J505" s="10"/>
      <c r="K505" s="24">
        <f>K506</f>
        <v>8965.7000000000007</v>
      </c>
      <c r="L505" s="24">
        <f>L506</f>
        <v>0</v>
      </c>
      <c r="M505" s="24">
        <f>M506</f>
        <v>8965.7000000000007</v>
      </c>
    </row>
    <row r="506" spans="1:14" s="112" customFormat="1" ht="54" customHeight="1" x14ac:dyDescent="0.35">
      <c r="A506" s="11"/>
      <c r="B506" s="498" t="s">
        <v>76</v>
      </c>
      <c r="C506" s="23" t="s">
        <v>427</v>
      </c>
      <c r="D506" s="10" t="s">
        <v>224</v>
      </c>
      <c r="E506" s="10" t="s">
        <v>37</v>
      </c>
      <c r="F506" s="661" t="s">
        <v>39</v>
      </c>
      <c r="G506" s="662" t="s">
        <v>45</v>
      </c>
      <c r="H506" s="662" t="s">
        <v>37</v>
      </c>
      <c r="I506" s="663" t="s">
        <v>752</v>
      </c>
      <c r="J506" s="10" t="s">
        <v>77</v>
      </c>
      <c r="K506" s="24">
        <v>8965.7000000000007</v>
      </c>
      <c r="L506" s="24">
        <f>M506-K506</f>
        <v>0</v>
      </c>
      <c r="M506" s="24">
        <v>8965.7000000000007</v>
      </c>
    </row>
    <row r="507" spans="1:14" s="111" customFormat="1" ht="54" customHeight="1" x14ac:dyDescent="0.35">
      <c r="A507" s="11"/>
      <c r="B507" s="498" t="s">
        <v>80</v>
      </c>
      <c r="C507" s="23" t="s">
        <v>427</v>
      </c>
      <c r="D507" s="10" t="s">
        <v>224</v>
      </c>
      <c r="E507" s="10" t="s">
        <v>37</v>
      </c>
      <c r="F507" s="661" t="s">
        <v>81</v>
      </c>
      <c r="G507" s="662" t="s">
        <v>42</v>
      </c>
      <c r="H507" s="662" t="s">
        <v>43</v>
      </c>
      <c r="I507" s="663" t="s">
        <v>44</v>
      </c>
      <c r="J507" s="10"/>
      <c r="K507" s="24">
        <f t="shared" ref="K507:M508" si="76">K508</f>
        <v>1356.5</v>
      </c>
      <c r="L507" s="24">
        <f t="shared" si="76"/>
        <v>-259.7</v>
      </c>
      <c r="M507" s="24">
        <f t="shared" si="76"/>
        <v>1096.8</v>
      </c>
    </row>
    <row r="508" spans="1:14" s="112" customFormat="1" ht="36" customHeight="1" x14ac:dyDescent="0.35">
      <c r="A508" s="11"/>
      <c r="B508" s="498" t="s">
        <v>125</v>
      </c>
      <c r="C508" s="23" t="s">
        <v>427</v>
      </c>
      <c r="D508" s="10" t="s">
        <v>224</v>
      </c>
      <c r="E508" s="10" t="s">
        <v>37</v>
      </c>
      <c r="F508" s="661" t="s">
        <v>81</v>
      </c>
      <c r="G508" s="662" t="s">
        <v>89</v>
      </c>
      <c r="H508" s="662" t="s">
        <v>43</v>
      </c>
      <c r="I508" s="663" t="s">
        <v>44</v>
      </c>
      <c r="J508" s="10"/>
      <c r="K508" s="24">
        <f t="shared" si="76"/>
        <v>1356.5</v>
      </c>
      <c r="L508" s="24">
        <f>L509</f>
        <v>-259.7</v>
      </c>
      <c r="M508" s="24">
        <f t="shared" si="76"/>
        <v>1096.8</v>
      </c>
    </row>
    <row r="509" spans="1:14" s="112" customFormat="1" ht="36" customHeight="1" x14ac:dyDescent="0.35">
      <c r="A509" s="11"/>
      <c r="B509" s="498" t="s">
        <v>276</v>
      </c>
      <c r="C509" s="23" t="s">
        <v>427</v>
      </c>
      <c r="D509" s="10" t="s">
        <v>224</v>
      </c>
      <c r="E509" s="10" t="s">
        <v>37</v>
      </c>
      <c r="F509" s="661" t="s">
        <v>81</v>
      </c>
      <c r="G509" s="662" t="s">
        <v>89</v>
      </c>
      <c r="H509" s="662" t="s">
        <v>37</v>
      </c>
      <c r="I509" s="663" t="s">
        <v>44</v>
      </c>
      <c r="J509" s="10"/>
      <c r="K509" s="24">
        <f>K510+K514+K512</f>
        <v>1356.5</v>
      </c>
      <c r="L509" s="24">
        <f>L510+L514+L512</f>
        <v>-259.7</v>
      </c>
      <c r="M509" s="24">
        <f>M510+M514+M512</f>
        <v>1096.8</v>
      </c>
    </row>
    <row r="510" spans="1:14" s="112" customFormat="1" ht="18" customHeight="1" x14ac:dyDescent="0.35">
      <c r="A510" s="11"/>
      <c r="B510" s="498" t="s">
        <v>467</v>
      </c>
      <c r="C510" s="23" t="s">
        <v>427</v>
      </c>
      <c r="D510" s="10" t="s">
        <v>224</v>
      </c>
      <c r="E510" s="10" t="s">
        <v>37</v>
      </c>
      <c r="F510" s="661" t="s">
        <v>81</v>
      </c>
      <c r="G510" s="662" t="s">
        <v>89</v>
      </c>
      <c r="H510" s="662" t="s">
        <v>37</v>
      </c>
      <c r="I510" s="663" t="s">
        <v>384</v>
      </c>
      <c r="J510" s="10"/>
      <c r="K510" s="24">
        <f>K511</f>
        <v>518.29999999999995</v>
      </c>
      <c r="L510" s="24">
        <f>L511</f>
        <v>-259.7</v>
      </c>
      <c r="M510" s="24">
        <f>M511</f>
        <v>258.59999999999997</v>
      </c>
    </row>
    <row r="511" spans="1:14" s="112" customFormat="1" ht="54" customHeight="1" x14ac:dyDescent="0.35">
      <c r="A511" s="11"/>
      <c r="B511" s="498" t="s">
        <v>76</v>
      </c>
      <c r="C511" s="23" t="s">
        <v>427</v>
      </c>
      <c r="D511" s="10" t="s">
        <v>224</v>
      </c>
      <c r="E511" s="10" t="s">
        <v>37</v>
      </c>
      <c r="F511" s="661" t="s">
        <v>81</v>
      </c>
      <c r="G511" s="662" t="s">
        <v>89</v>
      </c>
      <c r="H511" s="662" t="s">
        <v>37</v>
      </c>
      <c r="I511" s="663" t="s">
        <v>384</v>
      </c>
      <c r="J511" s="10" t="s">
        <v>77</v>
      </c>
      <c r="K511" s="24">
        <v>518.29999999999995</v>
      </c>
      <c r="L511" s="24">
        <f>M511-K511</f>
        <v>-259.7</v>
      </c>
      <c r="M511" s="24">
        <f>518.3-68.2-191.5</f>
        <v>258.59999999999997</v>
      </c>
    </row>
    <row r="512" spans="1:14" s="112" customFormat="1" ht="46.2" customHeight="1" x14ac:dyDescent="0.35">
      <c r="A512" s="11"/>
      <c r="B512" s="498" t="s">
        <v>127</v>
      </c>
      <c r="C512" s="23" t="s">
        <v>427</v>
      </c>
      <c r="D512" s="10" t="s">
        <v>224</v>
      </c>
      <c r="E512" s="10" t="s">
        <v>37</v>
      </c>
      <c r="F512" s="661" t="s">
        <v>81</v>
      </c>
      <c r="G512" s="662" t="s">
        <v>89</v>
      </c>
      <c r="H512" s="662" t="s">
        <v>37</v>
      </c>
      <c r="I512" s="663" t="s">
        <v>90</v>
      </c>
      <c r="J512" s="10"/>
      <c r="K512" s="24">
        <f>K513</f>
        <v>209.9</v>
      </c>
      <c r="L512" s="24">
        <f>L513</f>
        <v>0</v>
      </c>
      <c r="M512" s="24">
        <f>M513</f>
        <v>209.9</v>
      </c>
    </row>
    <row r="513" spans="1:13" s="112" customFormat="1" ht="54" customHeight="1" x14ac:dyDescent="0.35">
      <c r="A513" s="11"/>
      <c r="B513" s="498" t="s">
        <v>76</v>
      </c>
      <c r="C513" s="23" t="s">
        <v>427</v>
      </c>
      <c r="D513" s="10" t="s">
        <v>224</v>
      </c>
      <c r="E513" s="10" t="s">
        <v>37</v>
      </c>
      <c r="F513" s="661" t="s">
        <v>81</v>
      </c>
      <c r="G513" s="662" t="s">
        <v>89</v>
      </c>
      <c r="H513" s="662" t="s">
        <v>37</v>
      </c>
      <c r="I513" s="663" t="s">
        <v>90</v>
      </c>
      <c r="J513" s="10" t="s">
        <v>77</v>
      </c>
      <c r="K513" s="24">
        <f>209.9</f>
        <v>209.9</v>
      </c>
      <c r="L513" s="24">
        <f>M513-K513</f>
        <v>0</v>
      </c>
      <c r="M513" s="24">
        <f>209.9</f>
        <v>209.9</v>
      </c>
    </row>
    <row r="514" spans="1:13" s="112" customFormat="1" ht="18" customHeight="1" x14ac:dyDescent="0.35">
      <c r="A514" s="11"/>
      <c r="B514" s="498" t="s">
        <v>432</v>
      </c>
      <c r="C514" s="23" t="s">
        <v>427</v>
      </c>
      <c r="D514" s="10" t="s">
        <v>224</v>
      </c>
      <c r="E514" s="10" t="s">
        <v>37</v>
      </c>
      <c r="F514" s="661" t="s">
        <v>81</v>
      </c>
      <c r="G514" s="662" t="s">
        <v>89</v>
      </c>
      <c r="H514" s="662" t="s">
        <v>37</v>
      </c>
      <c r="I514" s="663" t="s">
        <v>433</v>
      </c>
      <c r="J514" s="10"/>
      <c r="K514" s="24">
        <f t="shared" ref="K514:M514" si="77">K515</f>
        <v>628.29999999999995</v>
      </c>
      <c r="L514" s="24">
        <f t="shared" si="77"/>
        <v>0</v>
      </c>
      <c r="M514" s="24">
        <f t="shared" si="77"/>
        <v>628.29999999999995</v>
      </c>
    </row>
    <row r="515" spans="1:13" s="112" customFormat="1" ht="54" customHeight="1" x14ac:dyDescent="0.35">
      <c r="A515" s="11"/>
      <c r="B515" s="498" t="s">
        <v>76</v>
      </c>
      <c r="C515" s="23" t="s">
        <v>427</v>
      </c>
      <c r="D515" s="10" t="s">
        <v>224</v>
      </c>
      <c r="E515" s="10" t="s">
        <v>37</v>
      </c>
      <c r="F515" s="661" t="s">
        <v>81</v>
      </c>
      <c r="G515" s="662" t="s">
        <v>89</v>
      </c>
      <c r="H515" s="662" t="s">
        <v>37</v>
      </c>
      <c r="I515" s="663" t="s">
        <v>433</v>
      </c>
      <c r="J515" s="10" t="s">
        <v>77</v>
      </c>
      <c r="K515" s="24">
        <v>628.29999999999995</v>
      </c>
      <c r="L515" s="24">
        <f>M515-K515</f>
        <v>0</v>
      </c>
      <c r="M515" s="24">
        <v>628.29999999999995</v>
      </c>
    </row>
    <row r="516" spans="1:13" s="112" customFormat="1" ht="54" customHeight="1" x14ac:dyDescent="0.35">
      <c r="A516" s="11"/>
      <c r="B516" s="498" t="s">
        <v>233</v>
      </c>
      <c r="C516" s="23" t="s">
        <v>427</v>
      </c>
      <c r="D516" s="10" t="s">
        <v>224</v>
      </c>
      <c r="E516" s="10" t="s">
        <v>37</v>
      </c>
      <c r="F516" s="661" t="s">
        <v>234</v>
      </c>
      <c r="G516" s="662" t="s">
        <v>42</v>
      </c>
      <c r="H516" s="662" t="s">
        <v>43</v>
      </c>
      <c r="I516" s="663" t="s">
        <v>44</v>
      </c>
      <c r="J516" s="10"/>
      <c r="K516" s="24">
        <f t="shared" ref="K516:M519" si="78">K517</f>
        <v>53.4</v>
      </c>
      <c r="L516" s="24">
        <f t="shared" si="78"/>
        <v>-53.4</v>
      </c>
      <c r="M516" s="24">
        <f t="shared" si="78"/>
        <v>0</v>
      </c>
    </row>
    <row r="517" spans="1:13" s="112" customFormat="1" ht="36" customHeight="1" x14ac:dyDescent="0.35">
      <c r="A517" s="11"/>
      <c r="B517" s="498" t="s">
        <v>344</v>
      </c>
      <c r="C517" s="23" t="s">
        <v>427</v>
      </c>
      <c r="D517" s="10" t="s">
        <v>224</v>
      </c>
      <c r="E517" s="10" t="s">
        <v>37</v>
      </c>
      <c r="F517" s="661" t="s">
        <v>234</v>
      </c>
      <c r="G517" s="662" t="s">
        <v>45</v>
      </c>
      <c r="H517" s="662" t="s">
        <v>43</v>
      </c>
      <c r="I517" s="663" t="s">
        <v>44</v>
      </c>
      <c r="J517" s="10"/>
      <c r="K517" s="24">
        <f t="shared" si="78"/>
        <v>53.4</v>
      </c>
      <c r="L517" s="24">
        <f t="shared" si="78"/>
        <v>-53.4</v>
      </c>
      <c r="M517" s="24">
        <f t="shared" si="78"/>
        <v>0</v>
      </c>
    </row>
    <row r="518" spans="1:13" s="112" customFormat="1" ht="144" x14ac:dyDescent="0.35">
      <c r="A518" s="11"/>
      <c r="B518" s="498" t="s">
        <v>741</v>
      </c>
      <c r="C518" s="23" t="s">
        <v>427</v>
      </c>
      <c r="D518" s="10" t="s">
        <v>224</v>
      </c>
      <c r="E518" s="10" t="s">
        <v>37</v>
      </c>
      <c r="F518" s="661" t="s">
        <v>234</v>
      </c>
      <c r="G518" s="662" t="s">
        <v>45</v>
      </c>
      <c r="H518" s="662" t="s">
        <v>37</v>
      </c>
      <c r="I518" s="663" t="s">
        <v>44</v>
      </c>
      <c r="J518" s="10"/>
      <c r="K518" s="24">
        <f>K519</f>
        <v>53.4</v>
      </c>
      <c r="L518" s="24">
        <f>L519</f>
        <v>-53.4</v>
      </c>
      <c r="M518" s="24">
        <f>M519</f>
        <v>0</v>
      </c>
    </row>
    <row r="519" spans="1:13" s="112" customFormat="1" ht="36" customHeight="1" x14ac:dyDescent="0.35">
      <c r="A519" s="11"/>
      <c r="B519" s="498" t="s">
        <v>235</v>
      </c>
      <c r="C519" s="23" t="s">
        <v>427</v>
      </c>
      <c r="D519" s="10" t="s">
        <v>224</v>
      </c>
      <c r="E519" s="10" t="s">
        <v>37</v>
      </c>
      <c r="F519" s="661" t="s">
        <v>234</v>
      </c>
      <c r="G519" s="662" t="s">
        <v>45</v>
      </c>
      <c r="H519" s="662" t="s">
        <v>37</v>
      </c>
      <c r="I519" s="663" t="s">
        <v>285</v>
      </c>
      <c r="J519" s="10"/>
      <c r="K519" s="24">
        <f t="shared" si="78"/>
        <v>53.4</v>
      </c>
      <c r="L519" s="24">
        <f t="shared" si="78"/>
        <v>-53.4</v>
      </c>
      <c r="M519" s="24">
        <f t="shared" si="78"/>
        <v>0</v>
      </c>
    </row>
    <row r="520" spans="1:13" s="112" customFormat="1" ht="54" customHeight="1" x14ac:dyDescent="0.35">
      <c r="A520" s="11"/>
      <c r="B520" s="498" t="s">
        <v>76</v>
      </c>
      <c r="C520" s="23" t="s">
        <v>427</v>
      </c>
      <c r="D520" s="10" t="s">
        <v>224</v>
      </c>
      <c r="E520" s="10" t="s">
        <v>37</v>
      </c>
      <c r="F520" s="661" t="s">
        <v>234</v>
      </c>
      <c r="G520" s="662" t="s">
        <v>45</v>
      </c>
      <c r="H520" s="662" t="s">
        <v>37</v>
      </c>
      <c r="I520" s="663" t="s">
        <v>285</v>
      </c>
      <c r="J520" s="10" t="s">
        <v>77</v>
      </c>
      <c r="K520" s="24">
        <v>53.4</v>
      </c>
      <c r="L520" s="24">
        <f>M520-K520</f>
        <v>-53.4</v>
      </c>
      <c r="M520" s="24">
        <f>53.4-3.5-49.9</f>
        <v>0</v>
      </c>
    </row>
    <row r="521" spans="1:13" s="112" customFormat="1" ht="18" customHeight="1" x14ac:dyDescent="0.35">
      <c r="A521" s="11"/>
      <c r="B521" s="498" t="s">
        <v>183</v>
      </c>
      <c r="C521" s="23" t="s">
        <v>427</v>
      </c>
      <c r="D521" s="10" t="s">
        <v>224</v>
      </c>
      <c r="E521" s="10" t="s">
        <v>39</v>
      </c>
      <c r="F521" s="661"/>
      <c r="G521" s="662"/>
      <c r="H521" s="662"/>
      <c r="I521" s="663"/>
      <c r="J521" s="10"/>
      <c r="K521" s="24">
        <f>K522</f>
        <v>878126.01530000009</v>
      </c>
      <c r="L521" s="24">
        <f>L522</f>
        <v>-2154.2269999999917</v>
      </c>
      <c r="M521" s="24">
        <f>M522</f>
        <v>875971.78830000001</v>
      </c>
    </row>
    <row r="522" spans="1:13" s="112" customFormat="1" ht="54" customHeight="1" x14ac:dyDescent="0.35">
      <c r="A522" s="11"/>
      <c r="B522" s="498" t="s">
        <v>205</v>
      </c>
      <c r="C522" s="23" t="s">
        <v>427</v>
      </c>
      <c r="D522" s="10" t="s">
        <v>224</v>
      </c>
      <c r="E522" s="10" t="s">
        <v>39</v>
      </c>
      <c r="F522" s="661" t="s">
        <v>39</v>
      </c>
      <c r="G522" s="662" t="s">
        <v>42</v>
      </c>
      <c r="H522" s="662" t="s">
        <v>43</v>
      </c>
      <c r="I522" s="663" t="s">
        <v>44</v>
      </c>
      <c r="J522" s="10"/>
      <c r="K522" s="24">
        <f>K523+K577</f>
        <v>878126.01530000009</v>
      </c>
      <c r="L522" s="24">
        <f>L523+L577</f>
        <v>-2154.2269999999917</v>
      </c>
      <c r="M522" s="24">
        <f>M523+M577</f>
        <v>875971.78830000001</v>
      </c>
    </row>
    <row r="523" spans="1:13" s="112" customFormat="1" ht="36" customHeight="1" x14ac:dyDescent="0.35">
      <c r="A523" s="11"/>
      <c r="B523" s="498" t="s">
        <v>206</v>
      </c>
      <c r="C523" s="23" t="s">
        <v>427</v>
      </c>
      <c r="D523" s="10" t="s">
        <v>224</v>
      </c>
      <c r="E523" s="10" t="s">
        <v>39</v>
      </c>
      <c r="F523" s="661" t="s">
        <v>39</v>
      </c>
      <c r="G523" s="662" t="s">
        <v>45</v>
      </c>
      <c r="H523" s="662" t="s">
        <v>43</v>
      </c>
      <c r="I523" s="663" t="s">
        <v>44</v>
      </c>
      <c r="J523" s="10"/>
      <c r="K523" s="24">
        <f>K524+K571</f>
        <v>875903.81530000013</v>
      </c>
      <c r="L523" s="24">
        <f>L524+L571</f>
        <v>-2154.2269999999917</v>
      </c>
      <c r="M523" s="24">
        <f>M524+M571</f>
        <v>873749.58830000006</v>
      </c>
    </row>
    <row r="524" spans="1:13" s="112" customFormat="1" ht="18" customHeight="1" x14ac:dyDescent="0.35">
      <c r="A524" s="11"/>
      <c r="B524" s="498" t="s">
        <v>277</v>
      </c>
      <c r="C524" s="23" t="s">
        <v>427</v>
      </c>
      <c r="D524" s="10" t="s">
        <v>224</v>
      </c>
      <c r="E524" s="10" t="s">
        <v>39</v>
      </c>
      <c r="F524" s="661" t="s">
        <v>39</v>
      </c>
      <c r="G524" s="662" t="s">
        <v>45</v>
      </c>
      <c r="H524" s="662" t="s">
        <v>39</v>
      </c>
      <c r="I524" s="663" t="s">
        <v>44</v>
      </c>
      <c r="J524" s="10"/>
      <c r="K524" s="24">
        <f>K533+K536+K546+K550+K554+K525+K530+K562+K543+K541+K567+K559+K565+K557</f>
        <v>870246.91530000011</v>
      </c>
      <c r="L524" s="24">
        <f>L533+L536+L546+L550+L554+L525+L530+L562+L543+L541+L567+L559+L565+L557</f>
        <v>-2154.2269999999917</v>
      </c>
      <c r="M524" s="24">
        <f>M533+M536+M546+M550+M554+M525+M530+M562+M543+M541+M567+M559+M565+M557</f>
        <v>868092.68830000004</v>
      </c>
    </row>
    <row r="525" spans="1:13" s="111" customFormat="1" ht="36" customHeight="1" x14ac:dyDescent="0.35">
      <c r="A525" s="11"/>
      <c r="B525" s="531" t="s">
        <v>466</v>
      </c>
      <c r="C525" s="23" t="s">
        <v>427</v>
      </c>
      <c r="D525" s="10" t="s">
        <v>224</v>
      </c>
      <c r="E525" s="10" t="s">
        <v>39</v>
      </c>
      <c r="F525" s="661" t="s">
        <v>39</v>
      </c>
      <c r="G525" s="662" t="s">
        <v>45</v>
      </c>
      <c r="H525" s="662" t="s">
        <v>39</v>
      </c>
      <c r="I525" s="663" t="s">
        <v>91</v>
      </c>
      <c r="J525" s="10"/>
      <c r="K525" s="24">
        <f>K528+K529+K527+K526</f>
        <v>78980.639999999999</v>
      </c>
      <c r="L525" s="24">
        <f>L528+L529+L527+L526</f>
        <v>5455.2999999999965</v>
      </c>
      <c r="M525" s="24">
        <f>M528+M529+M527+M526</f>
        <v>84435.939999999988</v>
      </c>
    </row>
    <row r="526" spans="1:13" s="111" customFormat="1" ht="108" customHeight="1" x14ac:dyDescent="0.35">
      <c r="A526" s="11"/>
      <c r="B526" s="498" t="s">
        <v>49</v>
      </c>
      <c r="C526" s="23" t="s">
        <v>427</v>
      </c>
      <c r="D526" s="10" t="s">
        <v>224</v>
      </c>
      <c r="E526" s="10" t="s">
        <v>39</v>
      </c>
      <c r="F526" s="661" t="s">
        <v>39</v>
      </c>
      <c r="G526" s="662" t="s">
        <v>45</v>
      </c>
      <c r="H526" s="662" t="s">
        <v>39</v>
      </c>
      <c r="I526" s="663" t="s">
        <v>91</v>
      </c>
      <c r="J526" s="10" t="s">
        <v>50</v>
      </c>
      <c r="K526" s="24">
        <v>361.1</v>
      </c>
      <c r="L526" s="24">
        <f>M526-K526</f>
        <v>0</v>
      </c>
      <c r="M526" s="24">
        <v>361.1</v>
      </c>
    </row>
    <row r="527" spans="1:13" s="111" customFormat="1" ht="54" customHeight="1" x14ac:dyDescent="0.35">
      <c r="A527" s="11"/>
      <c r="B527" s="498" t="s">
        <v>55</v>
      </c>
      <c r="C527" s="23" t="s">
        <v>427</v>
      </c>
      <c r="D527" s="10" t="s">
        <v>224</v>
      </c>
      <c r="E527" s="10" t="s">
        <v>39</v>
      </c>
      <c r="F527" s="661" t="s">
        <v>39</v>
      </c>
      <c r="G527" s="662" t="s">
        <v>45</v>
      </c>
      <c r="H527" s="662" t="s">
        <v>39</v>
      </c>
      <c r="I527" s="663" t="s">
        <v>91</v>
      </c>
      <c r="J527" s="10" t="s">
        <v>56</v>
      </c>
      <c r="K527" s="24">
        <f>7042.1+141+187.14-100+100</f>
        <v>7370.2400000000007</v>
      </c>
      <c r="L527" s="24">
        <f>M527-K527</f>
        <v>1442.5999999999995</v>
      </c>
      <c r="M527" s="24">
        <f>7042.1+141+187.14-100+100+893.6+549</f>
        <v>8812.84</v>
      </c>
    </row>
    <row r="528" spans="1:13" s="111" customFormat="1" ht="54" customHeight="1" x14ac:dyDescent="0.35">
      <c r="A528" s="11"/>
      <c r="B528" s="498" t="s">
        <v>76</v>
      </c>
      <c r="C528" s="23" t="s">
        <v>427</v>
      </c>
      <c r="D528" s="10" t="s">
        <v>224</v>
      </c>
      <c r="E528" s="10" t="s">
        <v>39</v>
      </c>
      <c r="F528" s="661" t="s">
        <v>39</v>
      </c>
      <c r="G528" s="662" t="s">
        <v>45</v>
      </c>
      <c r="H528" s="662" t="s">
        <v>39</v>
      </c>
      <c r="I528" s="663" t="s">
        <v>91</v>
      </c>
      <c r="J528" s="10" t="s">
        <v>77</v>
      </c>
      <c r="K528" s="24">
        <f>68725.9+510.4+1514.5</f>
        <v>70750.799999999988</v>
      </c>
      <c r="L528" s="24">
        <f>M528-K528</f>
        <v>4012.6999999999971</v>
      </c>
      <c r="M528" s="24">
        <f>68725.9+510.4+1514.5+411.7+3601</f>
        <v>74763.499999999985</v>
      </c>
    </row>
    <row r="529" spans="1:13" s="111" customFormat="1" ht="18" customHeight="1" x14ac:dyDescent="0.35">
      <c r="A529" s="11"/>
      <c r="B529" s="498" t="s">
        <v>57</v>
      </c>
      <c r="C529" s="23" t="s">
        <v>427</v>
      </c>
      <c r="D529" s="10" t="s">
        <v>224</v>
      </c>
      <c r="E529" s="10" t="s">
        <v>39</v>
      </c>
      <c r="F529" s="661" t="s">
        <v>39</v>
      </c>
      <c r="G529" s="662" t="s">
        <v>45</v>
      </c>
      <c r="H529" s="662" t="s">
        <v>39</v>
      </c>
      <c r="I529" s="663" t="s">
        <v>91</v>
      </c>
      <c r="J529" s="10" t="s">
        <v>58</v>
      </c>
      <c r="K529" s="24">
        <f>398.5+100</f>
        <v>498.5</v>
      </c>
      <c r="L529" s="24">
        <f>M529-K529</f>
        <v>0</v>
      </c>
      <c r="M529" s="24">
        <f>398.5+100</f>
        <v>498.5</v>
      </c>
    </row>
    <row r="530" spans="1:13" s="111" customFormat="1" ht="18" customHeight="1" x14ac:dyDescent="0.35">
      <c r="A530" s="11"/>
      <c r="B530" s="498" t="s">
        <v>467</v>
      </c>
      <c r="C530" s="23" t="s">
        <v>427</v>
      </c>
      <c r="D530" s="10" t="s">
        <v>224</v>
      </c>
      <c r="E530" s="10" t="s">
        <v>39</v>
      </c>
      <c r="F530" s="661" t="s">
        <v>39</v>
      </c>
      <c r="G530" s="662" t="s">
        <v>45</v>
      </c>
      <c r="H530" s="662" t="s">
        <v>39</v>
      </c>
      <c r="I530" s="663" t="s">
        <v>384</v>
      </c>
      <c r="J530" s="10"/>
      <c r="K530" s="24">
        <f>K532+K531</f>
        <v>24167.165159999997</v>
      </c>
      <c r="L530" s="24">
        <f>L532+L531</f>
        <v>-776.91686000000027</v>
      </c>
      <c r="M530" s="24">
        <f>M532+M531</f>
        <v>23390.248299999996</v>
      </c>
    </row>
    <row r="531" spans="1:13" s="111" customFormat="1" ht="54" customHeight="1" x14ac:dyDescent="0.35">
      <c r="A531" s="11"/>
      <c r="B531" s="498" t="s">
        <v>55</v>
      </c>
      <c r="C531" s="23" t="s">
        <v>427</v>
      </c>
      <c r="D531" s="10" t="s">
        <v>224</v>
      </c>
      <c r="E531" s="10" t="s">
        <v>39</v>
      </c>
      <c r="F531" s="661" t="s">
        <v>39</v>
      </c>
      <c r="G531" s="662" t="s">
        <v>45</v>
      </c>
      <c r="H531" s="662" t="s">
        <v>39</v>
      </c>
      <c r="I531" s="663" t="s">
        <v>384</v>
      </c>
      <c r="J531" s="10" t="s">
        <v>56</v>
      </c>
      <c r="K531" s="24">
        <f>5086.49016+300+68.3</f>
        <v>5454.7901600000005</v>
      </c>
      <c r="L531" s="24">
        <f>M531-K531</f>
        <v>-776.91686000000027</v>
      </c>
      <c r="M531" s="24">
        <f>5086.49016+300+68.3-776.91686</f>
        <v>4677.8733000000002</v>
      </c>
    </row>
    <row r="532" spans="1:13" s="111" customFormat="1" ht="54" customHeight="1" x14ac:dyDescent="0.35">
      <c r="A532" s="11"/>
      <c r="B532" s="498" t="s">
        <v>76</v>
      </c>
      <c r="C532" s="23" t="s">
        <v>427</v>
      </c>
      <c r="D532" s="10" t="s">
        <v>224</v>
      </c>
      <c r="E532" s="10" t="s">
        <v>39</v>
      </c>
      <c r="F532" s="661" t="s">
        <v>39</v>
      </c>
      <c r="G532" s="662" t="s">
        <v>45</v>
      </c>
      <c r="H532" s="662" t="s">
        <v>39</v>
      </c>
      <c r="I532" s="663" t="s">
        <v>384</v>
      </c>
      <c r="J532" s="10" t="s">
        <v>77</v>
      </c>
      <c r="K532" s="24">
        <f>8758.9+950.4+2759.3+102.89+247.598+255.56+261.552+195.6+228.154+240.551+341.23+240.04+1183.5+353.5+119.2+298.2+959.5+438.3+400.3+153.6-297+230.3-176.8+513.4-45.4</f>
        <v>18712.374999999996</v>
      </c>
      <c r="L532" s="24">
        <f>M532-K532</f>
        <v>0</v>
      </c>
      <c r="M532" s="24">
        <f>8758.9+950.4+2759.3+102.89+247.598+255.56+261.552+195.6+228.154+240.551+341.23+240.04+1183.5+353.5+119.2+298.2+959.5+438.3+400.3+153.6-297+230.3-176.8+513.4-45.4</f>
        <v>18712.374999999996</v>
      </c>
    </row>
    <row r="533" spans="1:13" s="112" customFormat="1" ht="54" customHeight="1" x14ac:dyDescent="0.35">
      <c r="A533" s="11"/>
      <c r="B533" s="498" t="s">
        <v>207</v>
      </c>
      <c r="C533" s="23" t="s">
        <v>427</v>
      </c>
      <c r="D533" s="10" t="s">
        <v>224</v>
      </c>
      <c r="E533" s="10" t="s">
        <v>39</v>
      </c>
      <c r="F533" s="661" t="s">
        <v>39</v>
      </c>
      <c r="G533" s="662" t="s">
        <v>45</v>
      </c>
      <c r="H533" s="662" t="s">
        <v>39</v>
      </c>
      <c r="I533" s="663" t="s">
        <v>278</v>
      </c>
      <c r="J533" s="10"/>
      <c r="K533" s="24">
        <f>SUM(K534:K535)</f>
        <v>31093.599999999999</v>
      </c>
      <c r="L533" s="24">
        <f>SUM(L534:L535)</f>
        <v>0</v>
      </c>
      <c r="M533" s="24">
        <f>SUM(M534:M535)</f>
        <v>31093.599999999999</v>
      </c>
    </row>
    <row r="534" spans="1:13" s="112" customFormat="1" ht="54" customHeight="1" x14ac:dyDescent="0.35">
      <c r="A534" s="11"/>
      <c r="B534" s="498" t="s">
        <v>55</v>
      </c>
      <c r="C534" s="23" t="s">
        <v>427</v>
      </c>
      <c r="D534" s="10" t="s">
        <v>224</v>
      </c>
      <c r="E534" s="10" t="s">
        <v>39</v>
      </c>
      <c r="F534" s="661" t="s">
        <v>39</v>
      </c>
      <c r="G534" s="662" t="s">
        <v>45</v>
      </c>
      <c r="H534" s="662" t="s">
        <v>39</v>
      </c>
      <c r="I534" s="663" t="s">
        <v>278</v>
      </c>
      <c r="J534" s="10" t="s">
        <v>56</v>
      </c>
      <c r="K534" s="24">
        <f>4029.6+105.2+37.4+174.4+35.3</f>
        <v>4381.8999999999996</v>
      </c>
      <c r="L534" s="24">
        <f>M534-K534</f>
        <v>0</v>
      </c>
      <c r="M534" s="24">
        <f>4029.6+105.2+37.4+174.4+35.3</f>
        <v>4381.8999999999996</v>
      </c>
    </row>
    <row r="535" spans="1:13" s="112" customFormat="1" ht="54" customHeight="1" x14ac:dyDescent="0.35">
      <c r="A535" s="11"/>
      <c r="B535" s="498" t="s">
        <v>76</v>
      </c>
      <c r="C535" s="23" t="s">
        <v>427</v>
      </c>
      <c r="D535" s="10" t="s">
        <v>224</v>
      </c>
      <c r="E535" s="10" t="s">
        <v>39</v>
      </c>
      <c r="F535" s="661" t="s">
        <v>39</v>
      </c>
      <c r="G535" s="662" t="s">
        <v>45</v>
      </c>
      <c r="H535" s="662" t="s">
        <v>39</v>
      </c>
      <c r="I535" s="663" t="s">
        <v>278</v>
      </c>
      <c r="J535" s="10" t="s">
        <v>77</v>
      </c>
      <c r="K535" s="24">
        <f>24177.6+630.8+47+118.6+148.4+120+600+138.3+20.8+50+211.9+7+169.7+11.8+18+65+176.8</f>
        <v>26711.699999999997</v>
      </c>
      <c r="L535" s="24">
        <f>M535-K535</f>
        <v>0</v>
      </c>
      <c r="M535" s="24">
        <f>24177.6+630.8+47+118.6+148.4+120+600+138.3+20.8+50+211.9+7+169.7+11.8+18+65+176.8</f>
        <v>26711.699999999997</v>
      </c>
    </row>
    <row r="536" spans="1:13" s="112" customFormat="1" ht="36" customHeight="1" x14ac:dyDescent="0.35">
      <c r="A536" s="11"/>
      <c r="B536" s="498" t="s">
        <v>208</v>
      </c>
      <c r="C536" s="23" t="s">
        <v>427</v>
      </c>
      <c r="D536" s="10" t="s">
        <v>224</v>
      </c>
      <c r="E536" s="10" t="s">
        <v>39</v>
      </c>
      <c r="F536" s="661" t="s">
        <v>39</v>
      </c>
      <c r="G536" s="662" t="s">
        <v>45</v>
      </c>
      <c r="H536" s="662" t="s">
        <v>39</v>
      </c>
      <c r="I536" s="663" t="s">
        <v>279</v>
      </c>
      <c r="J536" s="10"/>
      <c r="K536" s="24">
        <f>SUM(K537:K540)</f>
        <v>59683.210139999996</v>
      </c>
      <c r="L536" s="24">
        <f>SUM(L537:L540)</f>
        <v>9490.6898600000004</v>
      </c>
      <c r="M536" s="24">
        <f>SUM(M537:M540)</f>
        <v>69173.899999999994</v>
      </c>
    </row>
    <row r="537" spans="1:13" s="112" customFormat="1" ht="108" customHeight="1" x14ac:dyDescent="0.35">
      <c r="A537" s="11"/>
      <c r="B537" s="498" t="s">
        <v>49</v>
      </c>
      <c r="C537" s="23" t="s">
        <v>427</v>
      </c>
      <c r="D537" s="10" t="s">
        <v>224</v>
      </c>
      <c r="E537" s="10" t="s">
        <v>39</v>
      </c>
      <c r="F537" s="661" t="s">
        <v>39</v>
      </c>
      <c r="G537" s="662" t="s">
        <v>45</v>
      </c>
      <c r="H537" s="662" t="s">
        <v>39</v>
      </c>
      <c r="I537" s="663" t="s">
        <v>279</v>
      </c>
      <c r="J537" s="10" t="s">
        <v>50</v>
      </c>
      <c r="K537" s="24">
        <v>93.8</v>
      </c>
      <c r="L537" s="24">
        <f>M537-K537</f>
        <v>0</v>
      </c>
      <c r="M537" s="24">
        <v>93.8</v>
      </c>
    </row>
    <row r="538" spans="1:13" s="112" customFormat="1" ht="54" customHeight="1" x14ac:dyDescent="0.35">
      <c r="A538" s="11"/>
      <c r="B538" s="498" t="s">
        <v>55</v>
      </c>
      <c r="C538" s="23" t="s">
        <v>427</v>
      </c>
      <c r="D538" s="10" t="s">
        <v>224</v>
      </c>
      <c r="E538" s="10" t="s">
        <v>39</v>
      </c>
      <c r="F538" s="661" t="s">
        <v>39</v>
      </c>
      <c r="G538" s="662" t="s">
        <v>45</v>
      </c>
      <c r="H538" s="662" t="s">
        <v>39</v>
      </c>
      <c r="I538" s="663" t="s">
        <v>279</v>
      </c>
      <c r="J538" s="10" t="s">
        <v>56</v>
      </c>
      <c r="K538" s="24">
        <f>546.2+142.9+20.2+25644.3633+854.54684+139.8+276.3+40.2</f>
        <v>27664.510139999999</v>
      </c>
      <c r="L538" s="24">
        <f>M538-K538</f>
        <v>9601.08986</v>
      </c>
      <c r="M538" s="24">
        <f>546.2+142.9+20.2+25644.3633+854.54684+139.8+276.3+40.2+9601.08986</f>
        <v>37265.599999999999</v>
      </c>
    </row>
    <row r="539" spans="1:13" s="112" customFormat="1" ht="54" customHeight="1" x14ac:dyDescent="0.35">
      <c r="A539" s="11"/>
      <c r="B539" s="534" t="s">
        <v>203</v>
      </c>
      <c r="C539" s="23" t="s">
        <v>427</v>
      </c>
      <c r="D539" s="10" t="s">
        <v>224</v>
      </c>
      <c r="E539" s="10" t="s">
        <v>39</v>
      </c>
      <c r="F539" s="661" t="s">
        <v>39</v>
      </c>
      <c r="G539" s="662" t="s">
        <v>45</v>
      </c>
      <c r="H539" s="662" t="s">
        <v>39</v>
      </c>
      <c r="I539" s="663" t="s">
        <v>279</v>
      </c>
      <c r="J539" s="10" t="s">
        <v>204</v>
      </c>
      <c r="K539" s="24">
        <f>53.4+1120</f>
        <v>1173.4000000000001</v>
      </c>
      <c r="L539" s="24">
        <f>M539-K539</f>
        <v>-757.40000000000009</v>
      </c>
      <c r="M539" s="24">
        <f>53.4+1120-304.1-426.5-26.8</f>
        <v>416.00000000000006</v>
      </c>
    </row>
    <row r="540" spans="1:13" s="112" customFormat="1" ht="54" customHeight="1" x14ac:dyDescent="0.35">
      <c r="A540" s="11"/>
      <c r="B540" s="498" t="s">
        <v>76</v>
      </c>
      <c r="C540" s="23" t="s">
        <v>427</v>
      </c>
      <c r="D540" s="10" t="s">
        <v>224</v>
      </c>
      <c r="E540" s="10" t="s">
        <v>39</v>
      </c>
      <c r="F540" s="661" t="s">
        <v>39</v>
      </c>
      <c r="G540" s="662" t="s">
        <v>45</v>
      </c>
      <c r="H540" s="662" t="s">
        <v>39</v>
      </c>
      <c r="I540" s="663" t="s">
        <v>279</v>
      </c>
      <c r="J540" s="10" t="s">
        <v>77</v>
      </c>
      <c r="K540" s="24">
        <f>16084.9+4550.5+918.9-20.2+1870.8+830+1729.9+34.8+371.4-959.5-12.2+108.6+1511.8+2990.3-40.2+297+249.8+108.2+81.3+45.4</f>
        <v>30751.5</v>
      </c>
      <c r="L540" s="24">
        <f>M540-K540</f>
        <v>647</v>
      </c>
      <c r="M540" s="24">
        <f>16084.9+4550.5+918.9-20.2+1870.8+830+1729.9+34.8+371.4-959.5-12.2+108.6+1511.8+2990.3-40.2+297+249.8+108.2+81.3+45.4+68.2+426.5+26.8-23.5+149</f>
        <v>31398.5</v>
      </c>
    </row>
    <row r="541" spans="1:13" s="112" customFormat="1" ht="54" customHeight="1" x14ac:dyDescent="0.35">
      <c r="A541" s="11"/>
      <c r="B541" s="498" t="s">
        <v>524</v>
      </c>
      <c r="C541" s="23" t="s">
        <v>427</v>
      </c>
      <c r="D541" s="10" t="s">
        <v>224</v>
      </c>
      <c r="E541" s="10" t="s">
        <v>39</v>
      </c>
      <c r="F541" s="661" t="s">
        <v>39</v>
      </c>
      <c r="G541" s="662" t="s">
        <v>45</v>
      </c>
      <c r="H541" s="662" t="s">
        <v>39</v>
      </c>
      <c r="I541" s="663" t="s">
        <v>525</v>
      </c>
      <c r="J541" s="10"/>
      <c r="K541" s="24">
        <f>K542</f>
        <v>30</v>
      </c>
      <c r="L541" s="24">
        <f>L542</f>
        <v>0</v>
      </c>
      <c r="M541" s="24">
        <f>M542</f>
        <v>30</v>
      </c>
    </row>
    <row r="542" spans="1:13" s="112" customFormat="1" ht="54" customHeight="1" x14ac:dyDescent="0.35">
      <c r="A542" s="11"/>
      <c r="B542" s="498" t="s">
        <v>76</v>
      </c>
      <c r="C542" s="23" t="s">
        <v>427</v>
      </c>
      <c r="D542" s="10" t="s">
        <v>224</v>
      </c>
      <c r="E542" s="10" t="s">
        <v>39</v>
      </c>
      <c r="F542" s="661" t="s">
        <v>39</v>
      </c>
      <c r="G542" s="662" t="s">
        <v>45</v>
      </c>
      <c r="H542" s="662" t="s">
        <v>39</v>
      </c>
      <c r="I542" s="663" t="s">
        <v>525</v>
      </c>
      <c r="J542" s="10" t="s">
        <v>77</v>
      </c>
      <c r="K542" s="24">
        <v>30</v>
      </c>
      <c r="L542" s="24">
        <f>M542-K542</f>
        <v>0</v>
      </c>
      <c r="M542" s="24">
        <v>30</v>
      </c>
    </row>
    <row r="543" spans="1:13" s="112" customFormat="1" ht="288" customHeight="1" x14ac:dyDescent="0.35">
      <c r="A543" s="11"/>
      <c r="B543" s="498" t="s">
        <v>607</v>
      </c>
      <c r="C543" s="23" t="s">
        <v>427</v>
      </c>
      <c r="D543" s="10" t="s">
        <v>224</v>
      </c>
      <c r="E543" s="10" t="s">
        <v>39</v>
      </c>
      <c r="F543" s="661" t="s">
        <v>39</v>
      </c>
      <c r="G543" s="662" t="s">
        <v>45</v>
      </c>
      <c r="H543" s="662" t="s">
        <v>39</v>
      </c>
      <c r="I543" s="663" t="s">
        <v>526</v>
      </c>
      <c r="J543" s="10"/>
      <c r="K543" s="24">
        <f>K544+K545</f>
        <v>36976.799999999996</v>
      </c>
      <c r="L543" s="24">
        <f>L544+L545</f>
        <v>0</v>
      </c>
      <c r="M543" s="24">
        <f>M544+M545</f>
        <v>36976.799999999996</v>
      </c>
    </row>
    <row r="544" spans="1:13" s="112" customFormat="1" ht="108" customHeight="1" x14ac:dyDescent="0.35">
      <c r="A544" s="11"/>
      <c r="B544" s="498" t="s">
        <v>49</v>
      </c>
      <c r="C544" s="23" t="s">
        <v>427</v>
      </c>
      <c r="D544" s="10" t="s">
        <v>224</v>
      </c>
      <c r="E544" s="10" t="s">
        <v>39</v>
      </c>
      <c r="F544" s="661" t="s">
        <v>39</v>
      </c>
      <c r="G544" s="662" t="s">
        <v>45</v>
      </c>
      <c r="H544" s="662" t="s">
        <v>39</v>
      </c>
      <c r="I544" s="663" t="s">
        <v>526</v>
      </c>
      <c r="J544" s="10" t="s">
        <v>50</v>
      </c>
      <c r="K544" s="24">
        <v>2968.5</v>
      </c>
      <c r="L544" s="24">
        <f>M544-K544</f>
        <v>0</v>
      </c>
      <c r="M544" s="24">
        <v>2968.5</v>
      </c>
    </row>
    <row r="545" spans="1:13" s="112" customFormat="1" ht="54" customHeight="1" x14ac:dyDescent="0.35">
      <c r="A545" s="11"/>
      <c r="B545" s="498" t="s">
        <v>76</v>
      </c>
      <c r="C545" s="23" t="s">
        <v>427</v>
      </c>
      <c r="D545" s="10" t="s">
        <v>224</v>
      </c>
      <c r="E545" s="10" t="s">
        <v>39</v>
      </c>
      <c r="F545" s="661" t="s">
        <v>39</v>
      </c>
      <c r="G545" s="662" t="s">
        <v>45</v>
      </c>
      <c r="H545" s="662" t="s">
        <v>39</v>
      </c>
      <c r="I545" s="663" t="s">
        <v>526</v>
      </c>
      <c r="J545" s="10" t="s">
        <v>77</v>
      </c>
      <c r="K545" s="24">
        <f>32550.1+1458.2</f>
        <v>34008.299999999996</v>
      </c>
      <c r="L545" s="24">
        <f>M545-K545</f>
        <v>0</v>
      </c>
      <c r="M545" s="24">
        <f>32550.1+1458.2</f>
        <v>34008.299999999996</v>
      </c>
    </row>
    <row r="546" spans="1:13" s="112" customFormat="1" ht="180" customHeight="1" x14ac:dyDescent="0.35">
      <c r="A546" s="11"/>
      <c r="B546" s="498" t="s">
        <v>273</v>
      </c>
      <c r="C546" s="23" t="s">
        <v>427</v>
      </c>
      <c r="D546" s="10" t="s">
        <v>224</v>
      </c>
      <c r="E546" s="10" t="s">
        <v>39</v>
      </c>
      <c r="F546" s="661" t="s">
        <v>39</v>
      </c>
      <c r="G546" s="662" t="s">
        <v>45</v>
      </c>
      <c r="H546" s="662" t="s">
        <v>39</v>
      </c>
      <c r="I546" s="663" t="s">
        <v>274</v>
      </c>
      <c r="J546" s="10"/>
      <c r="K546" s="24">
        <f>SUM(K547:K549)</f>
        <v>1767.1999999999998</v>
      </c>
      <c r="L546" s="24">
        <f>SUM(L547:L549)</f>
        <v>-4.6185277824406512E-14</v>
      </c>
      <c r="M546" s="24">
        <f>SUM(M547:M549)</f>
        <v>1767.1999999999998</v>
      </c>
    </row>
    <row r="547" spans="1:13" s="112" customFormat="1" ht="108" customHeight="1" x14ac:dyDescent="0.35">
      <c r="A547" s="11"/>
      <c r="B547" s="498" t="s">
        <v>49</v>
      </c>
      <c r="C547" s="23" t="s">
        <v>427</v>
      </c>
      <c r="D547" s="10" t="s">
        <v>224</v>
      </c>
      <c r="E547" s="10" t="s">
        <v>39</v>
      </c>
      <c r="F547" s="661" t="s">
        <v>39</v>
      </c>
      <c r="G547" s="662" t="s">
        <v>45</v>
      </c>
      <c r="H547" s="662" t="s">
        <v>39</v>
      </c>
      <c r="I547" s="663" t="s">
        <v>274</v>
      </c>
      <c r="J547" s="10" t="s">
        <v>50</v>
      </c>
      <c r="K547" s="24">
        <v>77.5</v>
      </c>
      <c r="L547" s="24">
        <f>M547-K547</f>
        <v>-20.6</v>
      </c>
      <c r="M547" s="24">
        <f>77.5-20.6</f>
        <v>56.9</v>
      </c>
    </row>
    <row r="548" spans="1:13" s="112" customFormat="1" ht="36" customHeight="1" x14ac:dyDescent="0.35">
      <c r="A548" s="11"/>
      <c r="B548" s="498" t="s">
        <v>120</v>
      </c>
      <c r="C548" s="23" t="s">
        <v>427</v>
      </c>
      <c r="D548" s="10" t="s">
        <v>224</v>
      </c>
      <c r="E548" s="10" t="s">
        <v>39</v>
      </c>
      <c r="F548" s="661" t="s">
        <v>39</v>
      </c>
      <c r="G548" s="662" t="s">
        <v>45</v>
      </c>
      <c r="H548" s="662" t="s">
        <v>39</v>
      </c>
      <c r="I548" s="663" t="s">
        <v>274</v>
      </c>
      <c r="J548" s="10" t="s">
        <v>121</v>
      </c>
      <c r="K548" s="24">
        <v>5.5</v>
      </c>
      <c r="L548" s="24">
        <f>M548-K548</f>
        <v>-1.2000000000000002</v>
      </c>
      <c r="M548" s="24">
        <f>5.5-1.2</f>
        <v>4.3</v>
      </c>
    </row>
    <row r="549" spans="1:13" s="112" customFormat="1" ht="54" customHeight="1" x14ac:dyDescent="0.35">
      <c r="A549" s="11"/>
      <c r="B549" s="498" t="s">
        <v>76</v>
      </c>
      <c r="C549" s="23" t="s">
        <v>427</v>
      </c>
      <c r="D549" s="10" t="s">
        <v>224</v>
      </c>
      <c r="E549" s="10" t="s">
        <v>39</v>
      </c>
      <c r="F549" s="661" t="s">
        <v>39</v>
      </c>
      <c r="G549" s="662" t="s">
        <v>45</v>
      </c>
      <c r="H549" s="662" t="s">
        <v>39</v>
      </c>
      <c r="I549" s="663" t="s">
        <v>274</v>
      </c>
      <c r="J549" s="10" t="s">
        <v>77</v>
      </c>
      <c r="K549" s="24">
        <f>1455.1+229.1</f>
        <v>1684.1999999999998</v>
      </c>
      <c r="L549" s="24">
        <f>M549-K549</f>
        <v>21.799999999999955</v>
      </c>
      <c r="M549" s="24">
        <f>1455.1+229.1+21.8</f>
        <v>1705.9999999999998</v>
      </c>
    </row>
    <row r="550" spans="1:13" s="112" customFormat="1" ht="108" customHeight="1" x14ac:dyDescent="0.35">
      <c r="A550" s="11"/>
      <c r="B550" s="498" t="s">
        <v>350</v>
      </c>
      <c r="C550" s="23" t="s">
        <v>427</v>
      </c>
      <c r="D550" s="10" t="s">
        <v>224</v>
      </c>
      <c r="E550" s="10" t="s">
        <v>39</v>
      </c>
      <c r="F550" s="661" t="s">
        <v>39</v>
      </c>
      <c r="G550" s="662" t="s">
        <v>45</v>
      </c>
      <c r="H550" s="662" t="s">
        <v>39</v>
      </c>
      <c r="I550" s="663" t="s">
        <v>275</v>
      </c>
      <c r="J550" s="10"/>
      <c r="K550" s="24">
        <f>K551+K552+K553</f>
        <v>488730</v>
      </c>
      <c r="L550" s="24">
        <f>L551+L552+L553</f>
        <v>-19.299999999988358</v>
      </c>
      <c r="M550" s="24">
        <f>M551+M552+M553</f>
        <v>488710.7</v>
      </c>
    </row>
    <row r="551" spans="1:13" s="112" customFormat="1" ht="108" customHeight="1" x14ac:dyDescent="0.35">
      <c r="A551" s="11"/>
      <c r="B551" s="498" t="s">
        <v>49</v>
      </c>
      <c r="C551" s="23" t="s">
        <v>427</v>
      </c>
      <c r="D551" s="10" t="s">
        <v>224</v>
      </c>
      <c r="E551" s="10" t="s">
        <v>39</v>
      </c>
      <c r="F551" s="661" t="s">
        <v>39</v>
      </c>
      <c r="G551" s="662" t="s">
        <v>45</v>
      </c>
      <c r="H551" s="662" t="s">
        <v>39</v>
      </c>
      <c r="I551" s="663" t="s">
        <v>275</v>
      </c>
      <c r="J551" s="10" t="s">
        <v>50</v>
      </c>
      <c r="K551" s="24">
        <f>30150+109.8-188+488+22.5</f>
        <v>30582.3</v>
      </c>
      <c r="L551" s="24">
        <f>M551-K551</f>
        <v>0</v>
      </c>
      <c r="M551" s="24">
        <f>30150+109.8-188+488+22.5</f>
        <v>30582.3</v>
      </c>
    </row>
    <row r="552" spans="1:13" s="112" customFormat="1" ht="54" customHeight="1" x14ac:dyDescent="0.35">
      <c r="A552" s="11"/>
      <c r="B552" s="498" t="s">
        <v>55</v>
      </c>
      <c r="C552" s="23" t="s">
        <v>427</v>
      </c>
      <c r="D552" s="10" t="s">
        <v>224</v>
      </c>
      <c r="E552" s="10" t="s">
        <v>39</v>
      </c>
      <c r="F552" s="661" t="s">
        <v>39</v>
      </c>
      <c r="G552" s="662" t="s">
        <v>45</v>
      </c>
      <c r="H552" s="662" t="s">
        <v>39</v>
      </c>
      <c r="I552" s="663" t="s">
        <v>275</v>
      </c>
      <c r="J552" s="10" t="s">
        <v>56</v>
      </c>
      <c r="K552" s="24">
        <f>1983+188+214.8</f>
        <v>2385.8000000000002</v>
      </c>
      <c r="L552" s="24">
        <f>M552-K552</f>
        <v>0</v>
      </c>
      <c r="M552" s="24">
        <f>1983+188+214.8</f>
        <v>2385.8000000000002</v>
      </c>
    </row>
    <row r="553" spans="1:13" s="112" customFormat="1" ht="54" customHeight="1" x14ac:dyDescent="0.35">
      <c r="A553" s="11"/>
      <c r="B553" s="498" t="s">
        <v>76</v>
      </c>
      <c r="C553" s="23" t="s">
        <v>427</v>
      </c>
      <c r="D553" s="10" t="s">
        <v>224</v>
      </c>
      <c r="E553" s="10" t="s">
        <v>39</v>
      </c>
      <c r="F553" s="661" t="s">
        <v>39</v>
      </c>
      <c r="G553" s="662" t="s">
        <v>45</v>
      </c>
      <c r="H553" s="662" t="s">
        <v>39</v>
      </c>
      <c r="I553" s="663" t="s">
        <v>275</v>
      </c>
      <c r="J553" s="10" t="s">
        <v>77</v>
      </c>
      <c r="K553" s="24">
        <f>425476.2+927.8-36.7+29454.7-30-30.1</f>
        <v>455761.9</v>
      </c>
      <c r="L553" s="24">
        <f>M553-K553</f>
        <v>-19.299999999988358</v>
      </c>
      <c r="M553" s="24">
        <f>425476.2+927.8-36.7+29454.7-30-30.1-7.5-11.8</f>
        <v>455742.60000000003</v>
      </c>
    </row>
    <row r="554" spans="1:13" s="111" customFormat="1" ht="90" customHeight="1" x14ac:dyDescent="0.35">
      <c r="A554" s="11"/>
      <c r="B554" s="498" t="s">
        <v>209</v>
      </c>
      <c r="C554" s="23" t="s">
        <v>427</v>
      </c>
      <c r="D554" s="10" t="s">
        <v>224</v>
      </c>
      <c r="E554" s="10" t="s">
        <v>39</v>
      </c>
      <c r="F554" s="661" t="s">
        <v>39</v>
      </c>
      <c r="G554" s="662" t="s">
        <v>45</v>
      </c>
      <c r="H554" s="662" t="s">
        <v>39</v>
      </c>
      <c r="I554" s="663" t="s">
        <v>280</v>
      </c>
      <c r="J554" s="10"/>
      <c r="K554" s="24">
        <f>SUM(K555:K556)</f>
        <v>2182.0999999999995</v>
      </c>
      <c r="L554" s="24">
        <f>SUM(L555:L556)</f>
        <v>0</v>
      </c>
      <c r="M554" s="24">
        <f>SUM(M555:M556)</f>
        <v>2182.0999999999995</v>
      </c>
    </row>
    <row r="555" spans="1:13" s="111" customFormat="1" ht="54" customHeight="1" x14ac:dyDescent="0.35">
      <c r="A555" s="11"/>
      <c r="B555" s="498" t="s">
        <v>55</v>
      </c>
      <c r="C555" s="23" t="s">
        <v>427</v>
      </c>
      <c r="D555" s="10" t="s">
        <v>224</v>
      </c>
      <c r="E555" s="10" t="s">
        <v>39</v>
      </c>
      <c r="F555" s="661" t="s">
        <v>39</v>
      </c>
      <c r="G555" s="662" t="s">
        <v>45</v>
      </c>
      <c r="H555" s="662" t="s">
        <v>39</v>
      </c>
      <c r="I555" s="663" t="s">
        <v>280</v>
      </c>
      <c r="J555" s="10" t="s">
        <v>56</v>
      </c>
      <c r="K555" s="24">
        <f>123.3-35.6</f>
        <v>87.699999999999989</v>
      </c>
      <c r="L555" s="24">
        <f>M555-K555</f>
        <v>0</v>
      </c>
      <c r="M555" s="24">
        <f>123.3-35.6</f>
        <v>87.699999999999989</v>
      </c>
    </row>
    <row r="556" spans="1:13" s="111" customFormat="1" ht="54" customHeight="1" x14ac:dyDescent="0.35">
      <c r="A556" s="11"/>
      <c r="B556" s="498" t="s">
        <v>76</v>
      </c>
      <c r="C556" s="23" t="s">
        <v>427</v>
      </c>
      <c r="D556" s="10" t="s">
        <v>224</v>
      </c>
      <c r="E556" s="10" t="s">
        <v>39</v>
      </c>
      <c r="F556" s="661" t="s">
        <v>39</v>
      </c>
      <c r="G556" s="662" t="s">
        <v>45</v>
      </c>
      <c r="H556" s="662" t="s">
        <v>39</v>
      </c>
      <c r="I556" s="663" t="s">
        <v>280</v>
      </c>
      <c r="J556" s="10" t="s">
        <v>77</v>
      </c>
      <c r="K556" s="24">
        <f>2361.2-266.8</f>
        <v>2094.3999999999996</v>
      </c>
      <c r="L556" s="24">
        <f>M556-K556</f>
        <v>0</v>
      </c>
      <c r="M556" s="24">
        <f>2361.2-266.8</f>
        <v>2094.3999999999996</v>
      </c>
    </row>
    <row r="557" spans="1:13" s="111" customFormat="1" ht="54" customHeight="1" x14ac:dyDescent="0.35">
      <c r="A557" s="11"/>
      <c r="B557" s="498" t="s">
        <v>696</v>
      </c>
      <c r="C557" s="23" t="s">
        <v>427</v>
      </c>
      <c r="D557" s="10" t="s">
        <v>224</v>
      </c>
      <c r="E557" s="10" t="s">
        <v>39</v>
      </c>
      <c r="F557" s="661" t="s">
        <v>39</v>
      </c>
      <c r="G557" s="662" t="s">
        <v>45</v>
      </c>
      <c r="H557" s="662" t="s">
        <v>39</v>
      </c>
      <c r="I557" s="663" t="s">
        <v>695</v>
      </c>
      <c r="J557" s="10"/>
      <c r="K557" s="24">
        <f>K558</f>
        <v>22664.799999999999</v>
      </c>
      <c r="L557" s="24">
        <f>L558</f>
        <v>0</v>
      </c>
      <c r="M557" s="24">
        <f>M558</f>
        <v>22664.799999999999</v>
      </c>
    </row>
    <row r="558" spans="1:13" s="111" customFormat="1" ht="54" customHeight="1" x14ac:dyDescent="0.35">
      <c r="A558" s="11"/>
      <c r="B558" s="498" t="s">
        <v>76</v>
      </c>
      <c r="C558" s="23" t="s">
        <v>427</v>
      </c>
      <c r="D558" s="10" t="s">
        <v>224</v>
      </c>
      <c r="E558" s="10" t="s">
        <v>39</v>
      </c>
      <c r="F558" s="661" t="s">
        <v>39</v>
      </c>
      <c r="G558" s="662" t="s">
        <v>45</v>
      </c>
      <c r="H558" s="662" t="s">
        <v>39</v>
      </c>
      <c r="I558" s="663" t="s">
        <v>695</v>
      </c>
      <c r="J558" s="10" t="s">
        <v>77</v>
      </c>
      <c r="K558" s="24">
        <f>2500+20164.8</f>
        <v>22664.799999999999</v>
      </c>
      <c r="L558" s="24">
        <f>M558-K558</f>
        <v>0</v>
      </c>
      <c r="M558" s="24">
        <f>2500+20164.8</f>
        <v>22664.799999999999</v>
      </c>
    </row>
    <row r="559" spans="1:13" s="111" customFormat="1" ht="162" customHeight="1" x14ac:dyDescent="0.35">
      <c r="A559" s="11"/>
      <c r="B559" s="498" t="s">
        <v>558</v>
      </c>
      <c r="C559" s="23" t="s">
        <v>427</v>
      </c>
      <c r="D559" s="10" t="s">
        <v>224</v>
      </c>
      <c r="E559" s="10" t="s">
        <v>39</v>
      </c>
      <c r="F559" s="661" t="s">
        <v>39</v>
      </c>
      <c r="G559" s="662" t="s">
        <v>45</v>
      </c>
      <c r="H559" s="662" t="s">
        <v>39</v>
      </c>
      <c r="I559" s="663" t="s">
        <v>557</v>
      </c>
      <c r="J559" s="10"/>
      <c r="K559" s="24">
        <f>SUM(K560:K561)</f>
        <v>1272.1999999999998</v>
      </c>
      <c r="L559" s="24">
        <f>SUM(L560:L561)</f>
        <v>0</v>
      </c>
      <c r="M559" s="24">
        <f>SUM(M560:M561)</f>
        <v>1272.1999999999998</v>
      </c>
    </row>
    <row r="560" spans="1:13" s="111" customFormat="1" ht="54" customHeight="1" x14ac:dyDescent="0.35">
      <c r="A560" s="11"/>
      <c r="B560" s="498" t="s">
        <v>55</v>
      </c>
      <c r="C560" s="23" t="s">
        <v>427</v>
      </c>
      <c r="D560" s="10" t="s">
        <v>224</v>
      </c>
      <c r="E560" s="10" t="s">
        <v>39</v>
      </c>
      <c r="F560" s="661" t="s">
        <v>39</v>
      </c>
      <c r="G560" s="662" t="s">
        <v>45</v>
      </c>
      <c r="H560" s="662" t="s">
        <v>39</v>
      </c>
      <c r="I560" s="663" t="s">
        <v>557</v>
      </c>
      <c r="J560" s="10" t="s">
        <v>56</v>
      </c>
      <c r="K560" s="24">
        <f>91.9-67</f>
        <v>24.900000000000006</v>
      </c>
      <c r="L560" s="24">
        <f>M560-K560</f>
        <v>0</v>
      </c>
      <c r="M560" s="24">
        <f>91.9-67</f>
        <v>24.900000000000006</v>
      </c>
    </row>
    <row r="561" spans="1:13" s="111" customFormat="1" ht="54" customHeight="1" x14ac:dyDescent="0.35">
      <c r="A561" s="11"/>
      <c r="B561" s="498" t="s">
        <v>76</v>
      </c>
      <c r="C561" s="23" t="s">
        <v>427</v>
      </c>
      <c r="D561" s="10" t="s">
        <v>224</v>
      </c>
      <c r="E561" s="10" t="s">
        <v>39</v>
      </c>
      <c r="F561" s="661" t="s">
        <v>39</v>
      </c>
      <c r="G561" s="662" t="s">
        <v>45</v>
      </c>
      <c r="H561" s="662" t="s">
        <v>39</v>
      </c>
      <c r="I561" s="663" t="s">
        <v>557</v>
      </c>
      <c r="J561" s="10" t="s">
        <v>77</v>
      </c>
      <c r="K561" s="24">
        <f>2152.7-905.4</f>
        <v>1247.2999999999997</v>
      </c>
      <c r="L561" s="24">
        <f>M561-K561</f>
        <v>0</v>
      </c>
      <c r="M561" s="24">
        <f>2152.7-905.4</f>
        <v>1247.2999999999997</v>
      </c>
    </row>
    <row r="562" spans="1:13" s="111" customFormat="1" ht="72" customHeight="1" x14ac:dyDescent="0.35">
      <c r="A562" s="11"/>
      <c r="B562" s="498" t="s">
        <v>458</v>
      </c>
      <c r="C562" s="23" t="s">
        <v>427</v>
      </c>
      <c r="D562" s="10" t="s">
        <v>224</v>
      </c>
      <c r="E562" s="10" t="s">
        <v>39</v>
      </c>
      <c r="F562" s="661" t="s">
        <v>39</v>
      </c>
      <c r="G562" s="662" t="s">
        <v>45</v>
      </c>
      <c r="H562" s="662" t="s">
        <v>39</v>
      </c>
      <c r="I562" s="663" t="s">
        <v>457</v>
      </c>
      <c r="J562" s="10"/>
      <c r="K562" s="24">
        <f>K563+K564</f>
        <v>66492.899999999994</v>
      </c>
      <c r="L562" s="24">
        <f>L563+L564</f>
        <v>-16304</v>
      </c>
      <c r="M562" s="24">
        <f>M563+M564</f>
        <v>50188.899999999994</v>
      </c>
    </row>
    <row r="563" spans="1:13" s="111" customFormat="1" ht="54" customHeight="1" x14ac:dyDescent="0.35">
      <c r="A563" s="11"/>
      <c r="B563" s="498" t="s">
        <v>55</v>
      </c>
      <c r="C563" s="23" t="s">
        <v>427</v>
      </c>
      <c r="D563" s="10" t="s">
        <v>224</v>
      </c>
      <c r="E563" s="10" t="s">
        <v>39</v>
      </c>
      <c r="F563" s="661" t="s">
        <v>39</v>
      </c>
      <c r="G563" s="662" t="s">
        <v>45</v>
      </c>
      <c r="H563" s="662" t="s">
        <v>39</v>
      </c>
      <c r="I563" s="663" t="s">
        <v>457</v>
      </c>
      <c r="J563" s="10" t="s">
        <v>56</v>
      </c>
      <c r="K563" s="24">
        <f>1516.6+427.8+55.9+4.2</f>
        <v>2004.5</v>
      </c>
      <c r="L563" s="24">
        <f>M563-K563</f>
        <v>0</v>
      </c>
      <c r="M563" s="24">
        <f>1516.6+427.8+55.9+4.2</f>
        <v>2004.5</v>
      </c>
    </row>
    <row r="564" spans="1:13" s="111" customFormat="1" ht="54" customHeight="1" x14ac:dyDescent="0.35">
      <c r="A564" s="11"/>
      <c r="B564" s="498" t="s">
        <v>76</v>
      </c>
      <c r="C564" s="23" t="s">
        <v>427</v>
      </c>
      <c r="D564" s="10" t="s">
        <v>224</v>
      </c>
      <c r="E564" s="10" t="s">
        <v>39</v>
      </c>
      <c r="F564" s="661" t="s">
        <v>39</v>
      </c>
      <c r="G564" s="662" t="s">
        <v>45</v>
      </c>
      <c r="H564" s="662" t="s">
        <v>39</v>
      </c>
      <c r="I564" s="663" t="s">
        <v>457</v>
      </c>
      <c r="J564" s="10" t="s">
        <v>77</v>
      </c>
      <c r="K564" s="24">
        <f>48791.9+13761.8+1797.7+137</f>
        <v>64488.399999999994</v>
      </c>
      <c r="L564" s="24">
        <f>M564-K564</f>
        <v>-16304</v>
      </c>
      <c r="M564" s="24">
        <f>48791.9+13761.8+1797.7+137-12350.3-3483.4-76.7-244.6-149</f>
        <v>48184.399999999994</v>
      </c>
    </row>
    <row r="565" spans="1:13" s="111" customFormat="1" ht="36" customHeight="1" x14ac:dyDescent="0.35">
      <c r="A565" s="11"/>
      <c r="B565" s="498" t="s">
        <v>656</v>
      </c>
      <c r="C565" s="23" t="s">
        <v>427</v>
      </c>
      <c r="D565" s="10" t="s">
        <v>224</v>
      </c>
      <c r="E565" s="10" t="s">
        <v>39</v>
      </c>
      <c r="F565" s="661" t="s">
        <v>39</v>
      </c>
      <c r="G565" s="662" t="s">
        <v>45</v>
      </c>
      <c r="H565" s="662" t="s">
        <v>39</v>
      </c>
      <c r="I565" s="663" t="s">
        <v>664</v>
      </c>
      <c r="J565" s="10"/>
      <c r="K565" s="24">
        <f>K566</f>
        <v>40386.799999999996</v>
      </c>
      <c r="L565" s="24">
        <f>L566</f>
        <v>0</v>
      </c>
      <c r="M565" s="24">
        <f>M566</f>
        <v>40386.799999999996</v>
      </c>
    </row>
    <row r="566" spans="1:13" s="111" customFormat="1" ht="54" customHeight="1" x14ac:dyDescent="0.35">
      <c r="A566" s="11"/>
      <c r="B566" s="498" t="s">
        <v>76</v>
      </c>
      <c r="C566" s="23" t="s">
        <v>427</v>
      </c>
      <c r="D566" s="10" t="s">
        <v>224</v>
      </c>
      <c r="E566" s="10" t="s">
        <v>39</v>
      </c>
      <c r="F566" s="661" t="s">
        <v>39</v>
      </c>
      <c r="G566" s="662" t="s">
        <v>45</v>
      </c>
      <c r="H566" s="662" t="s">
        <v>39</v>
      </c>
      <c r="I566" s="663" t="s">
        <v>664</v>
      </c>
      <c r="J566" s="10" t="s">
        <v>77</v>
      </c>
      <c r="K566" s="24">
        <f>39175.1+1211.7</f>
        <v>40386.799999999996</v>
      </c>
      <c r="L566" s="24">
        <f>M566-K566</f>
        <v>0</v>
      </c>
      <c r="M566" s="24">
        <f>39175.1+1211.7</f>
        <v>40386.799999999996</v>
      </c>
    </row>
    <row r="567" spans="1:13" s="111" customFormat="1" ht="90" customHeight="1" x14ac:dyDescent="0.35">
      <c r="A567" s="11"/>
      <c r="B567" s="498" t="s">
        <v>555</v>
      </c>
      <c r="C567" s="23" t="s">
        <v>427</v>
      </c>
      <c r="D567" s="10" t="s">
        <v>224</v>
      </c>
      <c r="E567" s="10" t="s">
        <v>39</v>
      </c>
      <c r="F567" s="661" t="s">
        <v>39</v>
      </c>
      <c r="G567" s="662" t="s">
        <v>45</v>
      </c>
      <c r="H567" s="662" t="s">
        <v>39</v>
      </c>
      <c r="I567" s="663" t="s">
        <v>554</v>
      </c>
      <c r="J567" s="10"/>
      <c r="K567" s="24">
        <f>SUM(K568:K570)</f>
        <v>15819.5</v>
      </c>
      <c r="L567" s="24">
        <f>SUM(L568:L570)</f>
        <v>0</v>
      </c>
      <c r="M567" s="24">
        <f>SUM(M568:M570)</f>
        <v>15819.5</v>
      </c>
    </row>
    <row r="568" spans="1:13" s="111" customFormat="1" ht="54" customHeight="1" x14ac:dyDescent="0.35">
      <c r="A568" s="11"/>
      <c r="B568" s="498" t="s">
        <v>55</v>
      </c>
      <c r="C568" s="23" t="s">
        <v>427</v>
      </c>
      <c r="D568" s="10" t="s">
        <v>224</v>
      </c>
      <c r="E568" s="10" t="s">
        <v>39</v>
      </c>
      <c r="F568" s="661" t="s">
        <v>39</v>
      </c>
      <c r="G568" s="662" t="s">
        <v>45</v>
      </c>
      <c r="H568" s="662" t="s">
        <v>39</v>
      </c>
      <c r="I568" s="663" t="s">
        <v>554</v>
      </c>
      <c r="J568" s="10" t="s">
        <v>56</v>
      </c>
      <c r="K568" s="24">
        <f>115.4+58.8+25.2</f>
        <v>199.39999999999998</v>
      </c>
      <c r="L568" s="24">
        <f>M568-K568</f>
        <v>0</v>
      </c>
      <c r="M568" s="24">
        <f>115.4+58.8+25.2</f>
        <v>199.39999999999998</v>
      </c>
    </row>
    <row r="569" spans="1:13" s="111" customFormat="1" ht="36" customHeight="1" x14ac:dyDescent="0.35">
      <c r="A569" s="11"/>
      <c r="B569" s="498" t="s">
        <v>120</v>
      </c>
      <c r="C569" s="23" t="s">
        <v>427</v>
      </c>
      <c r="D569" s="10" t="s">
        <v>224</v>
      </c>
      <c r="E569" s="10" t="s">
        <v>39</v>
      </c>
      <c r="F569" s="661" t="s">
        <v>39</v>
      </c>
      <c r="G569" s="662" t="s">
        <v>45</v>
      </c>
      <c r="H569" s="662" t="s">
        <v>39</v>
      </c>
      <c r="I569" s="663" t="s">
        <v>554</v>
      </c>
      <c r="J569" s="10" t="s">
        <v>121</v>
      </c>
      <c r="K569" s="24">
        <f>102.2+27.1+11.6</f>
        <v>140.9</v>
      </c>
      <c r="L569" s="24">
        <f>M569-K569</f>
        <v>0</v>
      </c>
      <c r="M569" s="24">
        <f>102.2+27.1+11.6</f>
        <v>140.9</v>
      </c>
    </row>
    <row r="570" spans="1:13" s="111" customFormat="1" ht="54" customHeight="1" x14ac:dyDescent="0.35">
      <c r="A570" s="11"/>
      <c r="B570" s="498" t="s">
        <v>76</v>
      </c>
      <c r="C570" s="23" t="s">
        <v>427</v>
      </c>
      <c r="D570" s="10" t="s">
        <v>224</v>
      </c>
      <c r="E570" s="10" t="s">
        <v>39</v>
      </c>
      <c r="F570" s="661" t="s">
        <v>39</v>
      </c>
      <c r="G570" s="662" t="s">
        <v>45</v>
      </c>
      <c r="H570" s="662" t="s">
        <v>39</v>
      </c>
      <c r="I570" s="663" t="s">
        <v>554</v>
      </c>
      <c r="J570" s="10" t="s">
        <v>77</v>
      </c>
      <c r="K570" s="24">
        <f>15601.9-85.9-36.8</f>
        <v>15479.2</v>
      </c>
      <c r="L570" s="24">
        <f>M570-K570</f>
        <v>0</v>
      </c>
      <c r="M570" s="24">
        <f>15601.9-85.9-36.8</f>
        <v>15479.2</v>
      </c>
    </row>
    <row r="571" spans="1:13" s="111" customFormat="1" ht="36" customHeight="1" x14ac:dyDescent="0.35">
      <c r="A571" s="11"/>
      <c r="B571" s="498" t="s">
        <v>663</v>
      </c>
      <c r="C571" s="23" t="s">
        <v>427</v>
      </c>
      <c r="D571" s="10" t="s">
        <v>224</v>
      </c>
      <c r="E571" s="10" t="s">
        <v>39</v>
      </c>
      <c r="F571" s="661" t="s">
        <v>39</v>
      </c>
      <c r="G571" s="662" t="s">
        <v>45</v>
      </c>
      <c r="H571" s="662" t="s">
        <v>657</v>
      </c>
      <c r="I571" s="663" t="s">
        <v>44</v>
      </c>
      <c r="J571" s="10"/>
      <c r="K571" s="24">
        <f>K572+K575</f>
        <v>5656.9</v>
      </c>
      <c r="L571" s="24">
        <f>L572+L575</f>
        <v>0</v>
      </c>
      <c r="M571" s="24">
        <f>M572+M575</f>
        <v>5656.9</v>
      </c>
    </row>
    <row r="572" spans="1:13" s="111" customFormat="1" ht="90" customHeight="1" x14ac:dyDescent="0.35">
      <c r="A572" s="11"/>
      <c r="B572" s="498" t="s">
        <v>676</v>
      </c>
      <c r="C572" s="23" t="s">
        <v>427</v>
      </c>
      <c r="D572" s="10" t="s">
        <v>224</v>
      </c>
      <c r="E572" s="10" t="s">
        <v>39</v>
      </c>
      <c r="F572" s="661" t="s">
        <v>39</v>
      </c>
      <c r="G572" s="662" t="s">
        <v>45</v>
      </c>
      <c r="H572" s="662" t="s">
        <v>657</v>
      </c>
      <c r="I572" s="663" t="s">
        <v>675</v>
      </c>
      <c r="J572" s="10"/>
      <c r="K572" s="24">
        <f>K573+K574</f>
        <v>5560</v>
      </c>
      <c r="L572" s="24">
        <f>L573+L574</f>
        <v>0</v>
      </c>
      <c r="M572" s="24">
        <f>M573+M574</f>
        <v>5560</v>
      </c>
    </row>
    <row r="573" spans="1:13" s="111" customFormat="1" ht="108" customHeight="1" x14ac:dyDescent="0.35">
      <c r="A573" s="11"/>
      <c r="B573" s="498" t="s">
        <v>49</v>
      </c>
      <c r="C573" s="23" t="s">
        <v>427</v>
      </c>
      <c r="D573" s="10" t="s">
        <v>224</v>
      </c>
      <c r="E573" s="10" t="s">
        <v>39</v>
      </c>
      <c r="F573" s="661" t="s">
        <v>39</v>
      </c>
      <c r="G573" s="662" t="s">
        <v>45</v>
      </c>
      <c r="H573" s="662" t="s">
        <v>657</v>
      </c>
      <c r="I573" s="663" t="s">
        <v>675</v>
      </c>
      <c r="J573" s="10" t="s">
        <v>50</v>
      </c>
      <c r="K573" s="24">
        <v>406.82925</v>
      </c>
      <c r="L573" s="24">
        <f t="shared" ref="L573:L574" si="79">M573-K573</f>
        <v>0</v>
      </c>
      <c r="M573" s="24">
        <v>406.82925</v>
      </c>
    </row>
    <row r="574" spans="1:13" s="111" customFormat="1" ht="54" customHeight="1" x14ac:dyDescent="0.35">
      <c r="A574" s="11"/>
      <c r="B574" s="498" t="s">
        <v>76</v>
      </c>
      <c r="C574" s="23" t="s">
        <v>427</v>
      </c>
      <c r="D574" s="10" t="s">
        <v>224</v>
      </c>
      <c r="E574" s="10" t="s">
        <v>39</v>
      </c>
      <c r="F574" s="661" t="s">
        <v>39</v>
      </c>
      <c r="G574" s="662" t="s">
        <v>45</v>
      </c>
      <c r="H574" s="662" t="s">
        <v>657</v>
      </c>
      <c r="I574" s="663" t="s">
        <v>675</v>
      </c>
      <c r="J574" s="10" t="s">
        <v>77</v>
      </c>
      <c r="K574" s="24">
        <v>5153.1707500000002</v>
      </c>
      <c r="L574" s="24">
        <f t="shared" si="79"/>
        <v>0</v>
      </c>
      <c r="M574" s="24">
        <v>5153.1707500000002</v>
      </c>
    </row>
    <row r="575" spans="1:13" s="111" customFormat="1" ht="108" customHeight="1" x14ac:dyDescent="0.35">
      <c r="A575" s="11"/>
      <c r="B575" s="498" t="s">
        <v>659</v>
      </c>
      <c r="C575" s="23" t="s">
        <v>427</v>
      </c>
      <c r="D575" s="10" t="s">
        <v>224</v>
      </c>
      <c r="E575" s="10" t="s">
        <v>39</v>
      </c>
      <c r="F575" s="661" t="s">
        <v>39</v>
      </c>
      <c r="G575" s="662" t="s">
        <v>45</v>
      </c>
      <c r="H575" s="662" t="s">
        <v>657</v>
      </c>
      <c r="I575" s="663" t="s">
        <v>658</v>
      </c>
      <c r="J575" s="10"/>
      <c r="K575" s="24">
        <f t="shared" ref="K575:M575" si="80">K576</f>
        <v>96.9</v>
      </c>
      <c r="L575" s="24">
        <f t="shared" si="80"/>
        <v>0</v>
      </c>
      <c r="M575" s="24">
        <f t="shared" si="80"/>
        <v>96.9</v>
      </c>
    </row>
    <row r="576" spans="1:13" s="111" customFormat="1" ht="54" customHeight="1" x14ac:dyDescent="0.35">
      <c r="A576" s="11"/>
      <c r="B576" s="498" t="s">
        <v>76</v>
      </c>
      <c r="C576" s="23" t="s">
        <v>427</v>
      </c>
      <c r="D576" s="10" t="s">
        <v>224</v>
      </c>
      <c r="E576" s="10" t="s">
        <v>39</v>
      </c>
      <c r="F576" s="661" t="s">
        <v>39</v>
      </c>
      <c r="G576" s="662" t="s">
        <v>45</v>
      </c>
      <c r="H576" s="662" t="s">
        <v>657</v>
      </c>
      <c r="I576" s="663" t="s">
        <v>658</v>
      </c>
      <c r="J576" s="10" t="s">
        <v>77</v>
      </c>
      <c r="K576" s="24">
        <f>93.9+3</f>
        <v>96.9</v>
      </c>
      <c r="L576" s="24">
        <f>M576-K576</f>
        <v>0</v>
      </c>
      <c r="M576" s="24">
        <f>93.9+3</f>
        <v>96.9</v>
      </c>
    </row>
    <row r="577" spans="1:13" s="112" customFormat="1" ht="54" customHeight="1" x14ac:dyDescent="0.35">
      <c r="A577" s="11"/>
      <c r="B577" s="498" t="s">
        <v>212</v>
      </c>
      <c r="C577" s="23" t="s">
        <v>427</v>
      </c>
      <c r="D577" s="10" t="s">
        <v>224</v>
      </c>
      <c r="E577" s="10" t="s">
        <v>39</v>
      </c>
      <c r="F577" s="661" t="s">
        <v>39</v>
      </c>
      <c r="G577" s="662" t="s">
        <v>30</v>
      </c>
      <c r="H577" s="662" t="s">
        <v>43</v>
      </c>
      <c r="I577" s="663" t="s">
        <v>44</v>
      </c>
      <c r="J577" s="10"/>
      <c r="K577" s="24">
        <f t="shared" ref="K577:M578" si="81">K578</f>
        <v>2222.1999999999998</v>
      </c>
      <c r="L577" s="24">
        <f t="shared" si="81"/>
        <v>0</v>
      </c>
      <c r="M577" s="24">
        <f t="shared" si="81"/>
        <v>2222.1999999999998</v>
      </c>
    </row>
    <row r="578" spans="1:13" s="112" customFormat="1" ht="36" customHeight="1" x14ac:dyDescent="0.35">
      <c r="A578" s="11"/>
      <c r="B578" s="498" t="s">
        <v>287</v>
      </c>
      <c r="C578" s="23" t="s">
        <v>427</v>
      </c>
      <c r="D578" s="10" t="s">
        <v>224</v>
      </c>
      <c r="E578" s="10" t="s">
        <v>39</v>
      </c>
      <c r="F578" s="661" t="s">
        <v>39</v>
      </c>
      <c r="G578" s="662" t="s">
        <v>30</v>
      </c>
      <c r="H578" s="662" t="s">
        <v>37</v>
      </c>
      <c r="I578" s="663" t="s">
        <v>44</v>
      </c>
      <c r="J578" s="10"/>
      <c r="K578" s="24">
        <f t="shared" si="81"/>
        <v>2222.1999999999998</v>
      </c>
      <c r="L578" s="24">
        <f t="shared" si="81"/>
        <v>0</v>
      </c>
      <c r="M578" s="24">
        <f t="shared" si="81"/>
        <v>2222.1999999999998</v>
      </c>
    </row>
    <row r="579" spans="1:13" s="112" customFormat="1" ht="252" customHeight="1" x14ac:dyDescent="0.35">
      <c r="A579" s="11"/>
      <c r="B579" s="498" t="s">
        <v>438</v>
      </c>
      <c r="C579" s="23" t="s">
        <v>427</v>
      </c>
      <c r="D579" s="10" t="s">
        <v>224</v>
      </c>
      <c r="E579" s="10" t="s">
        <v>39</v>
      </c>
      <c r="F579" s="661" t="s">
        <v>39</v>
      </c>
      <c r="G579" s="662" t="s">
        <v>30</v>
      </c>
      <c r="H579" s="662" t="s">
        <v>37</v>
      </c>
      <c r="I579" s="663" t="s">
        <v>351</v>
      </c>
      <c r="J579" s="10"/>
      <c r="K579" s="24">
        <f>K580</f>
        <v>2222.1999999999998</v>
      </c>
      <c r="L579" s="24">
        <f>L580</f>
        <v>0</v>
      </c>
      <c r="M579" s="24">
        <f>M580</f>
        <v>2222.1999999999998</v>
      </c>
    </row>
    <row r="580" spans="1:13" s="112" customFormat="1" ht="54" customHeight="1" x14ac:dyDescent="0.35">
      <c r="A580" s="11"/>
      <c r="B580" s="498" t="s">
        <v>76</v>
      </c>
      <c r="C580" s="23" t="s">
        <v>427</v>
      </c>
      <c r="D580" s="10" t="s">
        <v>224</v>
      </c>
      <c r="E580" s="10" t="s">
        <v>39</v>
      </c>
      <c r="F580" s="661" t="s">
        <v>39</v>
      </c>
      <c r="G580" s="662" t="s">
        <v>30</v>
      </c>
      <c r="H580" s="662" t="s">
        <v>37</v>
      </c>
      <c r="I580" s="663" t="s">
        <v>351</v>
      </c>
      <c r="J580" s="10" t="s">
        <v>77</v>
      </c>
      <c r="K580" s="24">
        <f>2214+8.2</f>
        <v>2222.1999999999998</v>
      </c>
      <c r="L580" s="24">
        <f>M580-K580</f>
        <v>0</v>
      </c>
      <c r="M580" s="24">
        <f>2214+8.2</f>
        <v>2222.1999999999998</v>
      </c>
    </row>
    <row r="581" spans="1:13" s="112" customFormat="1" ht="18" customHeight="1" x14ac:dyDescent="0.35">
      <c r="A581" s="11"/>
      <c r="B581" s="498" t="s">
        <v>354</v>
      </c>
      <c r="C581" s="23" t="s">
        <v>427</v>
      </c>
      <c r="D581" s="10" t="s">
        <v>224</v>
      </c>
      <c r="E581" s="10" t="s">
        <v>63</v>
      </c>
      <c r="F581" s="661"/>
      <c r="G581" s="662"/>
      <c r="H581" s="662"/>
      <c r="I581" s="663"/>
      <c r="J581" s="10"/>
      <c r="K581" s="24">
        <f>K582+K608</f>
        <v>82093.146999999997</v>
      </c>
      <c r="L581" s="24">
        <f>L582+L608</f>
        <v>1002.7999999999993</v>
      </c>
      <c r="M581" s="24">
        <f>M582+M608</f>
        <v>83095.947</v>
      </c>
    </row>
    <row r="582" spans="1:13" s="112" customFormat="1" ht="54" customHeight="1" x14ac:dyDescent="0.35">
      <c r="A582" s="11"/>
      <c r="B582" s="557" t="s">
        <v>205</v>
      </c>
      <c r="C582" s="23" t="s">
        <v>427</v>
      </c>
      <c r="D582" s="10" t="s">
        <v>224</v>
      </c>
      <c r="E582" s="10" t="s">
        <v>63</v>
      </c>
      <c r="F582" s="661" t="s">
        <v>39</v>
      </c>
      <c r="G582" s="662" t="s">
        <v>42</v>
      </c>
      <c r="H582" s="662" t="s">
        <v>43</v>
      </c>
      <c r="I582" s="663" t="s">
        <v>44</v>
      </c>
      <c r="J582" s="10"/>
      <c r="K582" s="24">
        <f t="shared" ref="K582:M583" si="82">K583</f>
        <v>81521.546999999991</v>
      </c>
      <c r="L582" s="24">
        <f t="shared" si="82"/>
        <v>1002.7999999999993</v>
      </c>
      <c r="M582" s="24">
        <f t="shared" si="82"/>
        <v>82524.346999999994</v>
      </c>
    </row>
    <row r="583" spans="1:13" s="112" customFormat="1" ht="18" customHeight="1" x14ac:dyDescent="0.35">
      <c r="A583" s="11"/>
      <c r="B583" s="498" t="s">
        <v>210</v>
      </c>
      <c r="C583" s="23" t="s">
        <v>427</v>
      </c>
      <c r="D583" s="10" t="s">
        <v>224</v>
      </c>
      <c r="E583" s="10" t="s">
        <v>63</v>
      </c>
      <c r="F583" s="661" t="s">
        <v>39</v>
      </c>
      <c r="G583" s="662" t="s">
        <v>89</v>
      </c>
      <c r="H583" s="662" t="s">
        <v>43</v>
      </c>
      <c r="I583" s="663" t="s">
        <v>44</v>
      </c>
      <c r="J583" s="10"/>
      <c r="K583" s="24">
        <f t="shared" si="82"/>
        <v>81521.546999999991</v>
      </c>
      <c r="L583" s="24">
        <f t="shared" si="82"/>
        <v>1002.7999999999993</v>
      </c>
      <c r="M583" s="24">
        <f t="shared" si="82"/>
        <v>82524.346999999994</v>
      </c>
    </row>
    <row r="584" spans="1:13" s="112" customFormat="1" ht="36" customHeight="1" x14ac:dyDescent="0.35">
      <c r="A584" s="11"/>
      <c r="B584" s="498" t="s">
        <v>281</v>
      </c>
      <c r="C584" s="23" t="s">
        <v>427</v>
      </c>
      <c r="D584" s="10" t="s">
        <v>224</v>
      </c>
      <c r="E584" s="10" t="s">
        <v>63</v>
      </c>
      <c r="F584" s="661" t="s">
        <v>39</v>
      </c>
      <c r="G584" s="662" t="s">
        <v>89</v>
      </c>
      <c r="H584" s="662" t="s">
        <v>37</v>
      </c>
      <c r="I584" s="663" t="s">
        <v>44</v>
      </c>
      <c r="J584" s="10"/>
      <c r="K584" s="24">
        <f>K585+K600+K592+K602+K595+K597+K605+K590</f>
        <v>81521.546999999991</v>
      </c>
      <c r="L584" s="24">
        <f>L585+L600+L592+L602+L595+L597+L605+L590</f>
        <v>1002.7999999999993</v>
      </c>
      <c r="M584" s="24">
        <f>M585+M600+M592+M602+M595+M597+M605+M590</f>
        <v>82524.346999999994</v>
      </c>
    </row>
    <row r="585" spans="1:13" s="112" customFormat="1" ht="36" customHeight="1" x14ac:dyDescent="0.35">
      <c r="A585" s="11"/>
      <c r="B585" s="531" t="s">
        <v>466</v>
      </c>
      <c r="C585" s="23" t="s">
        <v>427</v>
      </c>
      <c r="D585" s="10" t="s">
        <v>224</v>
      </c>
      <c r="E585" s="10" t="s">
        <v>63</v>
      </c>
      <c r="F585" s="661" t="s">
        <v>39</v>
      </c>
      <c r="G585" s="662" t="s">
        <v>89</v>
      </c>
      <c r="H585" s="662" t="s">
        <v>37</v>
      </c>
      <c r="I585" s="663" t="s">
        <v>91</v>
      </c>
      <c r="J585" s="10"/>
      <c r="K585" s="24">
        <f>SUM(K586:K589)</f>
        <v>54824.646999999997</v>
      </c>
      <c r="L585" s="24">
        <f>SUM(L586:L589)</f>
        <v>556.5</v>
      </c>
      <c r="M585" s="24">
        <f>SUM(M586:M589)</f>
        <v>55381.146999999997</v>
      </c>
    </row>
    <row r="586" spans="1:13" s="112" customFormat="1" ht="108" customHeight="1" x14ac:dyDescent="0.35">
      <c r="A586" s="11"/>
      <c r="B586" s="498" t="s">
        <v>49</v>
      </c>
      <c r="C586" s="23" t="s">
        <v>427</v>
      </c>
      <c r="D586" s="10" t="s">
        <v>224</v>
      </c>
      <c r="E586" s="10" t="s">
        <v>63</v>
      </c>
      <c r="F586" s="661" t="s">
        <v>39</v>
      </c>
      <c r="G586" s="662" t="s">
        <v>89</v>
      </c>
      <c r="H586" s="662" t="s">
        <v>37</v>
      </c>
      <c r="I586" s="663" t="s">
        <v>91</v>
      </c>
      <c r="J586" s="10" t="s">
        <v>50</v>
      </c>
      <c r="K586" s="24">
        <f>21555.1+591.8-6302.3-100+1000</f>
        <v>16744.599999999999</v>
      </c>
      <c r="L586" s="24">
        <f>M586-K586</f>
        <v>0</v>
      </c>
      <c r="M586" s="24">
        <f>21555.1+591.8-6302.3-100+1000</f>
        <v>16744.599999999999</v>
      </c>
    </row>
    <row r="587" spans="1:13" s="112" customFormat="1" ht="54" customHeight="1" x14ac:dyDescent="0.35">
      <c r="A587" s="11"/>
      <c r="B587" s="498" t="s">
        <v>55</v>
      </c>
      <c r="C587" s="23" t="s">
        <v>427</v>
      </c>
      <c r="D587" s="10" t="s">
        <v>224</v>
      </c>
      <c r="E587" s="10" t="s">
        <v>63</v>
      </c>
      <c r="F587" s="661" t="s">
        <v>39</v>
      </c>
      <c r="G587" s="662" t="s">
        <v>89</v>
      </c>
      <c r="H587" s="662" t="s">
        <v>37</v>
      </c>
      <c r="I587" s="663" t="s">
        <v>91</v>
      </c>
      <c r="J587" s="10" t="s">
        <v>56</v>
      </c>
      <c r="K587" s="24">
        <f>2892.5+0.547-1154.92093-0.1+76+100+225.4-23+0.1</f>
        <v>2116.5260699999999</v>
      </c>
      <c r="L587" s="24">
        <f>M587-K587</f>
        <v>246.5</v>
      </c>
      <c r="M587" s="24">
        <f>2892.5+0.547-1154.92093-0.1+76+100+225.4-23+0.1+169.8+76.7</f>
        <v>2363.0260699999999</v>
      </c>
    </row>
    <row r="588" spans="1:13" s="112" customFormat="1" ht="54" customHeight="1" x14ac:dyDescent="0.35">
      <c r="A588" s="11"/>
      <c r="B588" s="498" t="s">
        <v>76</v>
      </c>
      <c r="C588" s="23" t="s">
        <v>427</v>
      </c>
      <c r="D588" s="10" t="s">
        <v>224</v>
      </c>
      <c r="E588" s="10" t="s">
        <v>63</v>
      </c>
      <c r="F588" s="661" t="s">
        <v>39</v>
      </c>
      <c r="G588" s="662" t="s">
        <v>89</v>
      </c>
      <c r="H588" s="662" t="s">
        <v>37</v>
      </c>
      <c r="I588" s="663" t="s">
        <v>91</v>
      </c>
      <c r="J588" s="10" t="s">
        <v>77</v>
      </c>
      <c r="K588" s="24">
        <f>24622.4+1273.5+7524.42093+238.1+70+580.4+1448</f>
        <v>35756.820930000002</v>
      </c>
      <c r="L588" s="24">
        <f>M588-K588</f>
        <v>310</v>
      </c>
      <c r="M588" s="24">
        <f>24622.4+1273.5+7524.42093+238.1+70+580.4+1448+310</f>
        <v>36066.820930000002</v>
      </c>
    </row>
    <row r="589" spans="1:13" s="112" customFormat="1" ht="18" customHeight="1" x14ac:dyDescent="0.35">
      <c r="A589" s="11"/>
      <c r="B589" s="498" t="s">
        <v>57</v>
      </c>
      <c r="C589" s="23" t="s">
        <v>427</v>
      </c>
      <c r="D589" s="10" t="s">
        <v>224</v>
      </c>
      <c r="E589" s="10" t="s">
        <v>63</v>
      </c>
      <c r="F589" s="661" t="s">
        <v>39</v>
      </c>
      <c r="G589" s="662" t="s">
        <v>89</v>
      </c>
      <c r="H589" s="662" t="s">
        <v>37</v>
      </c>
      <c r="I589" s="663" t="s">
        <v>91</v>
      </c>
      <c r="J589" s="10" t="s">
        <v>58</v>
      </c>
      <c r="K589" s="24">
        <f>112-67.2+0.1+157+4.8</f>
        <v>206.70000000000002</v>
      </c>
      <c r="L589" s="24">
        <f>M589-K589</f>
        <v>0</v>
      </c>
      <c r="M589" s="24">
        <f>112-67.2+0.1+157+4.8</f>
        <v>206.70000000000002</v>
      </c>
    </row>
    <row r="590" spans="1:13" s="112" customFormat="1" ht="18" customHeight="1" x14ac:dyDescent="0.35">
      <c r="A590" s="11"/>
      <c r="B590" s="498" t="s">
        <v>467</v>
      </c>
      <c r="C590" s="23" t="s">
        <v>427</v>
      </c>
      <c r="D590" s="10" t="s">
        <v>224</v>
      </c>
      <c r="E590" s="10" t="s">
        <v>63</v>
      </c>
      <c r="F590" s="661" t="s">
        <v>39</v>
      </c>
      <c r="G590" s="662" t="s">
        <v>89</v>
      </c>
      <c r="H590" s="662" t="s">
        <v>37</v>
      </c>
      <c r="I590" s="663" t="s">
        <v>384</v>
      </c>
      <c r="J590" s="10"/>
      <c r="K590" s="24">
        <f>K591</f>
        <v>498</v>
      </c>
      <c r="L590" s="24">
        <f>L591</f>
        <v>0</v>
      </c>
      <c r="M590" s="24">
        <f>M591</f>
        <v>498</v>
      </c>
    </row>
    <row r="591" spans="1:13" s="112" customFormat="1" ht="54" customHeight="1" x14ac:dyDescent="0.35">
      <c r="A591" s="11"/>
      <c r="B591" s="498" t="s">
        <v>76</v>
      </c>
      <c r="C591" s="23" t="s">
        <v>427</v>
      </c>
      <c r="D591" s="10" t="s">
        <v>224</v>
      </c>
      <c r="E591" s="10" t="s">
        <v>63</v>
      </c>
      <c r="F591" s="661" t="s">
        <v>39</v>
      </c>
      <c r="G591" s="662" t="s">
        <v>89</v>
      </c>
      <c r="H591" s="662" t="s">
        <v>37</v>
      </c>
      <c r="I591" s="663" t="s">
        <v>384</v>
      </c>
      <c r="J591" s="10" t="s">
        <v>77</v>
      </c>
      <c r="K591" s="24">
        <f>222.9+275.1</f>
        <v>498</v>
      </c>
      <c r="L591" s="24">
        <f>M591-K591</f>
        <v>0</v>
      </c>
      <c r="M591" s="24">
        <f>222.9+275.1</f>
        <v>498</v>
      </c>
    </row>
    <row r="592" spans="1:13" s="112" customFormat="1" ht="54" customHeight="1" x14ac:dyDescent="0.35">
      <c r="A592" s="11"/>
      <c r="B592" s="498" t="s">
        <v>207</v>
      </c>
      <c r="C592" s="23" t="s">
        <v>427</v>
      </c>
      <c r="D592" s="10" t="s">
        <v>224</v>
      </c>
      <c r="E592" s="10" t="s">
        <v>63</v>
      </c>
      <c r="F592" s="661" t="s">
        <v>39</v>
      </c>
      <c r="G592" s="662" t="s">
        <v>89</v>
      </c>
      <c r="H592" s="662" t="s">
        <v>37</v>
      </c>
      <c r="I592" s="663" t="s">
        <v>278</v>
      </c>
      <c r="J592" s="10"/>
      <c r="K592" s="24">
        <f>K594+K593</f>
        <v>5841.0000000000009</v>
      </c>
      <c r="L592" s="24">
        <f>L594+L593</f>
        <v>0</v>
      </c>
      <c r="M592" s="24">
        <f>M594+M593</f>
        <v>5841.0000000000009</v>
      </c>
    </row>
    <row r="593" spans="1:13" s="112" customFormat="1" ht="54" customHeight="1" x14ac:dyDescent="0.35">
      <c r="A593" s="11"/>
      <c r="B593" s="498" t="s">
        <v>55</v>
      </c>
      <c r="C593" s="23" t="s">
        <v>427</v>
      </c>
      <c r="D593" s="10" t="s">
        <v>224</v>
      </c>
      <c r="E593" s="10" t="s">
        <v>63</v>
      </c>
      <c r="F593" s="661" t="s">
        <v>39</v>
      </c>
      <c r="G593" s="662" t="s">
        <v>89</v>
      </c>
      <c r="H593" s="662" t="s">
        <v>37</v>
      </c>
      <c r="I593" s="663" t="s">
        <v>278</v>
      </c>
      <c r="J593" s="10" t="s">
        <v>56</v>
      </c>
      <c r="K593" s="24">
        <f>2014.8+52.6-1033.7+8.9+601.1-0.1</f>
        <v>1643.6000000000004</v>
      </c>
      <c r="L593" s="24">
        <f>M593-K593</f>
        <v>0</v>
      </c>
      <c r="M593" s="24">
        <f>2014.8+52.6-1033.7+8.9+601.1-0.1</f>
        <v>1643.6000000000004</v>
      </c>
    </row>
    <row r="594" spans="1:13" s="112" customFormat="1" ht="54" customHeight="1" x14ac:dyDescent="0.35">
      <c r="A594" s="11"/>
      <c r="B594" s="557" t="s">
        <v>76</v>
      </c>
      <c r="C594" s="23" t="s">
        <v>427</v>
      </c>
      <c r="D594" s="10" t="s">
        <v>224</v>
      </c>
      <c r="E594" s="10" t="s">
        <v>63</v>
      </c>
      <c r="F594" s="661" t="s">
        <v>39</v>
      </c>
      <c r="G594" s="662" t="s">
        <v>89</v>
      </c>
      <c r="H594" s="662" t="s">
        <v>37</v>
      </c>
      <c r="I594" s="663" t="s">
        <v>278</v>
      </c>
      <c r="J594" s="10" t="s">
        <v>77</v>
      </c>
      <c r="K594" s="24">
        <f>3022.2+78.9+1033.7+27.3+35.3</f>
        <v>4197.4000000000005</v>
      </c>
      <c r="L594" s="24">
        <f>M594-K594</f>
        <v>0</v>
      </c>
      <c r="M594" s="24">
        <f>3022.2+78.9+1033.7+27.3+35.3</f>
        <v>4197.4000000000005</v>
      </c>
    </row>
    <row r="595" spans="1:13" s="112" customFormat="1" ht="36" customHeight="1" x14ac:dyDescent="0.35">
      <c r="A595" s="11"/>
      <c r="B595" s="498" t="s">
        <v>208</v>
      </c>
      <c r="C595" s="23" t="s">
        <v>427</v>
      </c>
      <c r="D595" s="10" t="s">
        <v>224</v>
      </c>
      <c r="E595" s="10" t="s">
        <v>63</v>
      </c>
      <c r="F595" s="661" t="s">
        <v>39</v>
      </c>
      <c r="G595" s="662" t="s">
        <v>89</v>
      </c>
      <c r="H595" s="662" t="s">
        <v>37</v>
      </c>
      <c r="I595" s="663" t="s">
        <v>279</v>
      </c>
      <c r="J595" s="10"/>
      <c r="K595" s="24">
        <f>K596</f>
        <v>697.40000000000009</v>
      </c>
      <c r="L595" s="24">
        <f>L596</f>
        <v>427</v>
      </c>
      <c r="M595" s="24">
        <f>M596</f>
        <v>1124.4000000000001</v>
      </c>
    </row>
    <row r="596" spans="1:13" s="112" customFormat="1" ht="54" customHeight="1" x14ac:dyDescent="0.35">
      <c r="A596" s="11"/>
      <c r="B596" s="557" t="s">
        <v>76</v>
      </c>
      <c r="C596" s="23" t="s">
        <v>427</v>
      </c>
      <c r="D596" s="10" t="s">
        <v>224</v>
      </c>
      <c r="E596" s="10" t="s">
        <v>63</v>
      </c>
      <c r="F596" s="661" t="s">
        <v>39</v>
      </c>
      <c r="G596" s="662" t="s">
        <v>89</v>
      </c>
      <c r="H596" s="662" t="s">
        <v>37</v>
      </c>
      <c r="I596" s="663" t="s">
        <v>279</v>
      </c>
      <c r="J596" s="10" t="s">
        <v>77</v>
      </c>
      <c r="K596" s="24">
        <f>17+90+323.3+207.4+15+44.7</f>
        <v>697.40000000000009</v>
      </c>
      <c r="L596" s="24">
        <f>M596-K596</f>
        <v>427</v>
      </c>
      <c r="M596" s="24">
        <f>17+90+323.3+207.4+15+44.7+403.5+23.5</f>
        <v>1124.4000000000001</v>
      </c>
    </row>
    <row r="597" spans="1:13" s="112" customFormat="1" ht="54" customHeight="1" x14ac:dyDescent="0.35">
      <c r="A597" s="11"/>
      <c r="B597" s="557" t="s">
        <v>536</v>
      </c>
      <c r="C597" s="23" t="s">
        <v>427</v>
      </c>
      <c r="D597" s="10" t="s">
        <v>224</v>
      </c>
      <c r="E597" s="10" t="s">
        <v>63</v>
      </c>
      <c r="F597" s="661" t="s">
        <v>39</v>
      </c>
      <c r="G597" s="662" t="s">
        <v>89</v>
      </c>
      <c r="H597" s="662" t="s">
        <v>37</v>
      </c>
      <c r="I597" s="663" t="s">
        <v>535</v>
      </c>
      <c r="J597" s="10"/>
      <c r="K597" s="24">
        <f>SUM(K598:K599)</f>
        <v>6127.5</v>
      </c>
      <c r="L597" s="24">
        <f>SUM(L598:L599)</f>
        <v>0</v>
      </c>
      <c r="M597" s="24">
        <f>SUM(M598:M599)</f>
        <v>6127.5</v>
      </c>
    </row>
    <row r="598" spans="1:13" s="112" customFormat="1" ht="54" customHeight="1" x14ac:dyDescent="0.35">
      <c r="A598" s="11"/>
      <c r="B598" s="557" t="s">
        <v>76</v>
      </c>
      <c r="C598" s="23" t="s">
        <v>427</v>
      </c>
      <c r="D598" s="10" t="s">
        <v>224</v>
      </c>
      <c r="E598" s="10" t="s">
        <v>63</v>
      </c>
      <c r="F598" s="661" t="s">
        <v>39</v>
      </c>
      <c r="G598" s="662" t="s">
        <v>89</v>
      </c>
      <c r="H598" s="662" t="s">
        <v>37</v>
      </c>
      <c r="I598" s="663" t="s">
        <v>535</v>
      </c>
      <c r="J598" s="10" t="s">
        <v>77</v>
      </c>
      <c r="K598" s="24">
        <f>5775.1+297.5</f>
        <v>6072.6</v>
      </c>
      <c r="L598" s="24">
        <f>M598-K598</f>
        <v>0</v>
      </c>
      <c r="M598" s="24">
        <f>5775.1+297.5</f>
        <v>6072.6</v>
      </c>
    </row>
    <row r="599" spans="1:13" s="112" customFormat="1" ht="18" customHeight="1" x14ac:dyDescent="0.35">
      <c r="A599" s="11"/>
      <c r="B599" s="498" t="s">
        <v>57</v>
      </c>
      <c r="C599" s="23" t="s">
        <v>427</v>
      </c>
      <c r="D599" s="10" t="s">
        <v>224</v>
      </c>
      <c r="E599" s="10" t="s">
        <v>63</v>
      </c>
      <c r="F599" s="661" t="s">
        <v>39</v>
      </c>
      <c r="G599" s="662" t="s">
        <v>89</v>
      </c>
      <c r="H599" s="662" t="s">
        <v>37</v>
      </c>
      <c r="I599" s="663" t="s">
        <v>535</v>
      </c>
      <c r="J599" s="10" t="s">
        <v>58</v>
      </c>
      <c r="K599" s="24">
        <f>56-1.1</f>
        <v>54.9</v>
      </c>
      <c r="L599" s="24">
        <f>M599-K599</f>
        <v>0</v>
      </c>
      <c r="M599" s="24">
        <f>56-1.1</f>
        <v>54.9</v>
      </c>
    </row>
    <row r="600" spans="1:13" s="112" customFormat="1" ht="180" customHeight="1" x14ac:dyDescent="0.35">
      <c r="A600" s="11"/>
      <c r="B600" s="498" t="s">
        <v>273</v>
      </c>
      <c r="C600" s="23" t="s">
        <v>427</v>
      </c>
      <c r="D600" s="10" t="s">
        <v>224</v>
      </c>
      <c r="E600" s="10" t="s">
        <v>63</v>
      </c>
      <c r="F600" s="661" t="s">
        <v>39</v>
      </c>
      <c r="G600" s="662" t="s">
        <v>89</v>
      </c>
      <c r="H600" s="662" t="s">
        <v>37</v>
      </c>
      <c r="I600" s="663" t="s">
        <v>274</v>
      </c>
      <c r="J600" s="10"/>
      <c r="K600" s="24">
        <f>K601</f>
        <v>85.6</v>
      </c>
      <c r="L600" s="24">
        <f>L601</f>
        <v>0</v>
      </c>
      <c r="M600" s="24">
        <f>M601</f>
        <v>85.6</v>
      </c>
    </row>
    <row r="601" spans="1:13" s="112" customFormat="1" ht="54" customHeight="1" x14ac:dyDescent="0.35">
      <c r="A601" s="11"/>
      <c r="B601" s="498" t="s">
        <v>76</v>
      </c>
      <c r="C601" s="23" t="s">
        <v>427</v>
      </c>
      <c r="D601" s="10" t="s">
        <v>224</v>
      </c>
      <c r="E601" s="10" t="s">
        <v>63</v>
      </c>
      <c r="F601" s="661" t="s">
        <v>39</v>
      </c>
      <c r="G601" s="662" t="s">
        <v>89</v>
      </c>
      <c r="H601" s="662" t="s">
        <v>37</v>
      </c>
      <c r="I601" s="663" t="s">
        <v>274</v>
      </c>
      <c r="J601" s="10" t="s">
        <v>77</v>
      </c>
      <c r="K601" s="24">
        <v>85.6</v>
      </c>
      <c r="L601" s="24">
        <f>M601-K601</f>
        <v>0</v>
      </c>
      <c r="M601" s="24">
        <v>85.6</v>
      </c>
    </row>
    <row r="602" spans="1:13" s="112" customFormat="1" ht="108" customHeight="1" x14ac:dyDescent="0.35">
      <c r="A602" s="11"/>
      <c r="B602" s="498" t="s">
        <v>350</v>
      </c>
      <c r="C602" s="23" t="s">
        <v>427</v>
      </c>
      <c r="D602" s="10" t="s">
        <v>224</v>
      </c>
      <c r="E602" s="10" t="s">
        <v>63</v>
      </c>
      <c r="F602" s="661" t="s">
        <v>39</v>
      </c>
      <c r="G602" s="662" t="s">
        <v>89</v>
      </c>
      <c r="H602" s="662" t="s">
        <v>37</v>
      </c>
      <c r="I602" s="663" t="s">
        <v>275</v>
      </c>
      <c r="J602" s="10"/>
      <c r="K602" s="24">
        <f>K604+K603</f>
        <v>11347.4</v>
      </c>
      <c r="L602" s="24">
        <f>L604+L603</f>
        <v>19.299999999999272</v>
      </c>
      <c r="M602" s="24">
        <f>M604+M603</f>
        <v>11366.699999999999</v>
      </c>
    </row>
    <row r="603" spans="1:13" s="112" customFormat="1" ht="108" x14ac:dyDescent="0.35">
      <c r="A603" s="11"/>
      <c r="B603" s="498" t="s">
        <v>49</v>
      </c>
      <c r="C603" s="23" t="s">
        <v>427</v>
      </c>
      <c r="D603" s="10" t="s">
        <v>224</v>
      </c>
      <c r="E603" s="10" t="s">
        <v>63</v>
      </c>
      <c r="F603" s="661" t="s">
        <v>39</v>
      </c>
      <c r="G603" s="662" t="s">
        <v>89</v>
      </c>
      <c r="H603" s="662" t="s">
        <v>37</v>
      </c>
      <c r="I603" s="663" t="s">
        <v>275</v>
      </c>
      <c r="J603" s="10" t="s">
        <v>50</v>
      </c>
      <c r="K603" s="24">
        <v>42.3</v>
      </c>
      <c r="L603" s="24">
        <f>M603-K603</f>
        <v>0</v>
      </c>
      <c r="M603" s="24">
        <v>42.3</v>
      </c>
    </row>
    <row r="604" spans="1:13" s="112" customFormat="1" ht="54" customHeight="1" x14ac:dyDescent="0.35">
      <c r="A604" s="11"/>
      <c r="B604" s="498" t="s">
        <v>76</v>
      </c>
      <c r="C604" s="23" t="s">
        <v>427</v>
      </c>
      <c r="D604" s="10" t="s">
        <v>224</v>
      </c>
      <c r="E604" s="10" t="s">
        <v>63</v>
      </c>
      <c r="F604" s="661" t="s">
        <v>39</v>
      </c>
      <c r="G604" s="662" t="s">
        <v>89</v>
      </c>
      <c r="H604" s="662" t="s">
        <v>37</v>
      </c>
      <c r="I604" s="663" t="s">
        <v>275</v>
      </c>
      <c r="J604" s="10" t="s">
        <v>77</v>
      </c>
      <c r="K604" s="24">
        <f>11000+36.7+230.8+7.5+30.1</f>
        <v>11305.1</v>
      </c>
      <c r="L604" s="24">
        <f>M604-K604</f>
        <v>19.299999999999272</v>
      </c>
      <c r="M604" s="24">
        <f>11000+36.7+230.8+7.5+30.1+7.5+11.8</f>
        <v>11324.4</v>
      </c>
    </row>
    <row r="605" spans="1:13" s="112" customFormat="1" ht="54" customHeight="1" x14ac:dyDescent="0.35">
      <c r="A605" s="11"/>
      <c r="B605" s="566" t="s">
        <v>696</v>
      </c>
      <c r="C605" s="23" t="s">
        <v>427</v>
      </c>
      <c r="D605" s="10" t="s">
        <v>224</v>
      </c>
      <c r="E605" s="10" t="s">
        <v>63</v>
      </c>
      <c r="F605" s="661" t="s">
        <v>39</v>
      </c>
      <c r="G605" s="662" t="s">
        <v>89</v>
      </c>
      <c r="H605" s="662" t="s">
        <v>37</v>
      </c>
      <c r="I605" s="663" t="s">
        <v>695</v>
      </c>
      <c r="J605" s="10"/>
      <c r="K605" s="24">
        <f>K606+K607</f>
        <v>2100</v>
      </c>
      <c r="L605" s="24">
        <f>L606+L607</f>
        <v>0</v>
      </c>
      <c r="M605" s="24">
        <f>M606+M607</f>
        <v>2100</v>
      </c>
    </row>
    <row r="606" spans="1:13" s="112" customFormat="1" ht="54" customHeight="1" x14ac:dyDescent="0.35">
      <c r="A606" s="11"/>
      <c r="B606" s="566" t="s">
        <v>55</v>
      </c>
      <c r="C606" s="23" t="s">
        <v>427</v>
      </c>
      <c r="D606" s="10" t="s">
        <v>224</v>
      </c>
      <c r="E606" s="10" t="s">
        <v>63</v>
      </c>
      <c r="F606" s="661" t="s">
        <v>39</v>
      </c>
      <c r="G606" s="662" t="s">
        <v>89</v>
      </c>
      <c r="H606" s="662" t="s">
        <v>37</v>
      </c>
      <c r="I606" s="663" t="s">
        <v>695</v>
      </c>
      <c r="J606" s="10" t="s">
        <v>56</v>
      </c>
      <c r="K606" s="24">
        <v>400</v>
      </c>
      <c r="L606" s="24">
        <f>M606-K606</f>
        <v>0</v>
      </c>
      <c r="M606" s="24">
        <v>400</v>
      </c>
    </row>
    <row r="607" spans="1:13" s="112" customFormat="1" ht="54" customHeight="1" x14ac:dyDescent="0.35">
      <c r="A607" s="11"/>
      <c r="B607" s="566" t="s">
        <v>76</v>
      </c>
      <c r="C607" s="23" t="s">
        <v>427</v>
      </c>
      <c r="D607" s="10" t="s">
        <v>224</v>
      </c>
      <c r="E607" s="10" t="s">
        <v>63</v>
      </c>
      <c r="F607" s="661" t="s">
        <v>39</v>
      </c>
      <c r="G607" s="662" t="s">
        <v>89</v>
      </c>
      <c r="H607" s="662" t="s">
        <v>37</v>
      </c>
      <c r="I607" s="663" t="s">
        <v>695</v>
      </c>
      <c r="J607" s="10" t="s">
        <v>77</v>
      </c>
      <c r="K607" s="24">
        <f>500+1200</f>
        <v>1700</v>
      </c>
      <c r="L607" s="24">
        <f>M607-K607</f>
        <v>0</v>
      </c>
      <c r="M607" s="24">
        <f>500+1200</f>
        <v>1700</v>
      </c>
    </row>
    <row r="608" spans="1:13" s="112" customFormat="1" ht="54" customHeight="1" x14ac:dyDescent="0.35">
      <c r="A608" s="11"/>
      <c r="B608" s="495" t="s">
        <v>80</v>
      </c>
      <c r="C608" s="199" t="s">
        <v>427</v>
      </c>
      <c r="D608" s="28" t="s">
        <v>224</v>
      </c>
      <c r="E608" s="28" t="s">
        <v>63</v>
      </c>
      <c r="F608" s="191" t="s">
        <v>81</v>
      </c>
      <c r="G608" s="192" t="s">
        <v>42</v>
      </c>
      <c r="H608" s="192" t="s">
        <v>43</v>
      </c>
      <c r="I608" s="193" t="s">
        <v>44</v>
      </c>
      <c r="J608" s="28"/>
      <c r="K608" s="194">
        <f t="shared" ref="K608:M610" si="83">K609</f>
        <v>571.6</v>
      </c>
      <c r="L608" s="194">
        <f t="shared" si="83"/>
        <v>0</v>
      </c>
      <c r="M608" s="194">
        <f t="shared" si="83"/>
        <v>571.6</v>
      </c>
    </row>
    <row r="609" spans="1:13" s="112" customFormat="1" ht="36" customHeight="1" x14ac:dyDescent="0.35">
      <c r="A609" s="11"/>
      <c r="B609" s="495" t="s">
        <v>125</v>
      </c>
      <c r="C609" s="199" t="s">
        <v>427</v>
      </c>
      <c r="D609" s="28" t="s">
        <v>224</v>
      </c>
      <c r="E609" s="28" t="s">
        <v>63</v>
      </c>
      <c r="F609" s="191" t="s">
        <v>81</v>
      </c>
      <c r="G609" s="192" t="s">
        <v>89</v>
      </c>
      <c r="H609" s="192" t="s">
        <v>43</v>
      </c>
      <c r="I609" s="193" t="s">
        <v>44</v>
      </c>
      <c r="J609" s="28"/>
      <c r="K609" s="194">
        <f t="shared" si="83"/>
        <v>571.6</v>
      </c>
      <c r="L609" s="194">
        <f t="shared" si="83"/>
        <v>0</v>
      </c>
      <c r="M609" s="194">
        <f t="shared" si="83"/>
        <v>571.6</v>
      </c>
    </row>
    <row r="610" spans="1:13" s="112" customFormat="1" ht="36" customHeight="1" x14ac:dyDescent="0.35">
      <c r="A610" s="11"/>
      <c r="B610" s="495" t="s">
        <v>276</v>
      </c>
      <c r="C610" s="199" t="s">
        <v>427</v>
      </c>
      <c r="D610" s="28" t="s">
        <v>224</v>
      </c>
      <c r="E610" s="28" t="s">
        <v>63</v>
      </c>
      <c r="F610" s="191" t="s">
        <v>81</v>
      </c>
      <c r="G610" s="192" t="s">
        <v>89</v>
      </c>
      <c r="H610" s="192" t="s">
        <v>37</v>
      </c>
      <c r="I610" s="193" t="s">
        <v>44</v>
      </c>
      <c r="J610" s="28"/>
      <c r="K610" s="194">
        <f t="shared" si="83"/>
        <v>571.6</v>
      </c>
      <c r="L610" s="194">
        <f t="shared" si="83"/>
        <v>0</v>
      </c>
      <c r="M610" s="194">
        <f t="shared" si="83"/>
        <v>571.6</v>
      </c>
    </row>
    <row r="611" spans="1:13" s="112" customFormat="1" ht="18" customHeight="1" x14ac:dyDescent="0.35">
      <c r="A611" s="11"/>
      <c r="B611" s="495" t="s">
        <v>432</v>
      </c>
      <c r="C611" s="199" t="s">
        <v>427</v>
      </c>
      <c r="D611" s="28" t="s">
        <v>224</v>
      </c>
      <c r="E611" s="28" t="s">
        <v>63</v>
      </c>
      <c r="F611" s="191" t="s">
        <v>81</v>
      </c>
      <c r="G611" s="192" t="s">
        <v>89</v>
      </c>
      <c r="H611" s="192" t="s">
        <v>37</v>
      </c>
      <c r="I611" s="193" t="s">
        <v>433</v>
      </c>
      <c r="J611" s="28"/>
      <c r="K611" s="194">
        <f>K612</f>
        <v>571.6</v>
      </c>
      <c r="L611" s="194">
        <f>L612</f>
        <v>0</v>
      </c>
      <c r="M611" s="194">
        <f>M612</f>
        <v>571.6</v>
      </c>
    </row>
    <row r="612" spans="1:13" s="112" customFormat="1" ht="54" customHeight="1" x14ac:dyDescent="0.35">
      <c r="A612" s="11"/>
      <c r="B612" s="498" t="s">
        <v>76</v>
      </c>
      <c r="C612" s="199" t="s">
        <v>427</v>
      </c>
      <c r="D612" s="28" t="s">
        <v>224</v>
      </c>
      <c r="E612" s="28" t="s">
        <v>63</v>
      </c>
      <c r="F612" s="191" t="s">
        <v>81</v>
      </c>
      <c r="G612" s="192" t="s">
        <v>89</v>
      </c>
      <c r="H612" s="192" t="s">
        <v>37</v>
      </c>
      <c r="I612" s="193" t="s">
        <v>433</v>
      </c>
      <c r="J612" s="10" t="s">
        <v>77</v>
      </c>
      <c r="K612" s="194">
        <f>543+28.6</f>
        <v>571.6</v>
      </c>
      <c r="L612" s="24">
        <f>M612-K612</f>
        <v>0</v>
      </c>
      <c r="M612" s="194">
        <f>543+28.6</f>
        <v>571.6</v>
      </c>
    </row>
    <row r="613" spans="1:13" s="112" customFormat="1" ht="54" customHeight="1" x14ac:dyDescent="0.35">
      <c r="A613" s="11"/>
      <c r="B613" s="498" t="s">
        <v>538</v>
      </c>
      <c r="C613" s="199" t="s">
        <v>427</v>
      </c>
      <c r="D613" s="28" t="s">
        <v>224</v>
      </c>
      <c r="E613" s="28" t="s">
        <v>65</v>
      </c>
      <c r="F613" s="73"/>
      <c r="G613" s="73"/>
      <c r="H613" s="73"/>
      <c r="I613" s="73"/>
      <c r="J613" s="10"/>
      <c r="K613" s="194">
        <f t="shared" ref="K613:M621" si="84">K614</f>
        <v>41</v>
      </c>
      <c r="L613" s="24">
        <f>L614</f>
        <v>0</v>
      </c>
      <c r="M613" s="194">
        <f t="shared" si="84"/>
        <v>41</v>
      </c>
    </row>
    <row r="614" spans="1:13" s="112" customFormat="1" ht="54" customHeight="1" x14ac:dyDescent="0.35">
      <c r="A614" s="11"/>
      <c r="B614" s="498" t="s">
        <v>205</v>
      </c>
      <c r="C614" s="199" t="s">
        <v>427</v>
      </c>
      <c r="D614" s="28" t="s">
        <v>224</v>
      </c>
      <c r="E614" s="28" t="s">
        <v>65</v>
      </c>
      <c r="F614" s="92" t="s">
        <v>39</v>
      </c>
      <c r="G614" s="82" t="s">
        <v>42</v>
      </c>
      <c r="H614" s="82" t="s">
        <v>43</v>
      </c>
      <c r="I614" s="83" t="s">
        <v>44</v>
      </c>
      <c r="J614" s="565"/>
      <c r="K614" s="24">
        <f>K615+K619</f>
        <v>41</v>
      </c>
      <c r="L614" s="24">
        <f>L615+L619</f>
        <v>0</v>
      </c>
      <c r="M614" s="24">
        <f>M615+M619</f>
        <v>41</v>
      </c>
    </row>
    <row r="615" spans="1:13" s="112" customFormat="1" ht="18" x14ac:dyDescent="0.35">
      <c r="A615" s="11"/>
      <c r="B615" s="494" t="s">
        <v>210</v>
      </c>
      <c r="C615" s="199" t="s">
        <v>427</v>
      </c>
      <c r="D615" s="28" t="s">
        <v>224</v>
      </c>
      <c r="E615" s="28" t="s">
        <v>65</v>
      </c>
      <c r="F615" s="92" t="s">
        <v>39</v>
      </c>
      <c r="G615" s="82" t="s">
        <v>89</v>
      </c>
      <c r="H615" s="82" t="s">
        <v>43</v>
      </c>
      <c r="I615" s="83" t="s">
        <v>44</v>
      </c>
      <c r="J615" s="565"/>
      <c r="K615" s="194">
        <f t="shared" ref="K615:M617" si="85">K616</f>
        <v>23</v>
      </c>
      <c r="L615" s="24">
        <f t="shared" si="85"/>
        <v>0</v>
      </c>
      <c r="M615" s="194">
        <f t="shared" si="85"/>
        <v>23</v>
      </c>
    </row>
    <row r="616" spans="1:13" s="112" customFormat="1" ht="36" x14ac:dyDescent="0.35">
      <c r="A616" s="11"/>
      <c r="B616" s="494" t="s">
        <v>281</v>
      </c>
      <c r="C616" s="199" t="s">
        <v>427</v>
      </c>
      <c r="D616" s="28" t="s">
        <v>224</v>
      </c>
      <c r="E616" s="28" t="s">
        <v>65</v>
      </c>
      <c r="F616" s="92" t="s">
        <v>39</v>
      </c>
      <c r="G616" s="82" t="s">
        <v>89</v>
      </c>
      <c r="H616" s="82" t="s">
        <v>37</v>
      </c>
      <c r="I616" s="83" t="s">
        <v>44</v>
      </c>
      <c r="J616" s="565"/>
      <c r="K616" s="194">
        <f t="shared" si="85"/>
        <v>23</v>
      </c>
      <c r="L616" s="24">
        <f t="shared" si="85"/>
        <v>0</v>
      </c>
      <c r="M616" s="194">
        <f t="shared" si="85"/>
        <v>23</v>
      </c>
    </row>
    <row r="617" spans="1:13" s="112" customFormat="1" ht="36" x14ac:dyDescent="0.35">
      <c r="A617" s="11"/>
      <c r="B617" s="494" t="s">
        <v>466</v>
      </c>
      <c r="C617" s="199" t="s">
        <v>427</v>
      </c>
      <c r="D617" s="28" t="s">
        <v>224</v>
      </c>
      <c r="E617" s="28" t="s">
        <v>65</v>
      </c>
      <c r="F617" s="92" t="s">
        <v>39</v>
      </c>
      <c r="G617" s="82" t="s">
        <v>89</v>
      </c>
      <c r="H617" s="82" t="s">
        <v>37</v>
      </c>
      <c r="I617" s="83" t="s">
        <v>91</v>
      </c>
      <c r="J617" s="565"/>
      <c r="K617" s="194">
        <f t="shared" si="85"/>
        <v>23</v>
      </c>
      <c r="L617" s="24">
        <f t="shared" si="85"/>
        <v>0</v>
      </c>
      <c r="M617" s="194">
        <f t="shared" si="85"/>
        <v>23</v>
      </c>
    </row>
    <row r="618" spans="1:13" s="112" customFormat="1" ht="54" customHeight="1" x14ac:dyDescent="0.35">
      <c r="A618" s="11"/>
      <c r="B618" s="498" t="s">
        <v>55</v>
      </c>
      <c r="C618" s="199" t="s">
        <v>427</v>
      </c>
      <c r="D618" s="28" t="s">
        <v>224</v>
      </c>
      <c r="E618" s="28" t="s">
        <v>65</v>
      </c>
      <c r="F618" s="92" t="s">
        <v>39</v>
      </c>
      <c r="G618" s="82" t="s">
        <v>89</v>
      </c>
      <c r="H618" s="82" t="s">
        <v>37</v>
      </c>
      <c r="I618" s="83" t="s">
        <v>91</v>
      </c>
      <c r="J618" s="565" t="s">
        <v>56</v>
      </c>
      <c r="K618" s="194">
        <v>23</v>
      </c>
      <c r="L618" s="24">
        <f>M618-K618</f>
        <v>0</v>
      </c>
      <c r="M618" s="194">
        <v>23</v>
      </c>
    </row>
    <row r="619" spans="1:13" s="112" customFormat="1" ht="54" customHeight="1" x14ac:dyDescent="0.35">
      <c r="A619" s="11"/>
      <c r="B619" s="498" t="s">
        <v>212</v>
      </c>
      <c r="C619" s="199" t="s">
        <v>427</v>
      </c>
      <c r="D619" s="28" t="s">
        <v>224</v>
      </c>
      <c r="E619" s="28" t="s">
        <v>65</v>
      </c>
      <c r="F619" s="92" t="s">
        <v>39</v>
      </c>
      <c r="G619" s="82" t="s">
        <v>30</v>
      </c>
      <c r="H619" s="82" t="s">
        <v>43</v>
      </c>
      <c r="I619" s="83" t="s">
        <v>44</v>
      </c>
      <c r="J619" s="84"/>
      <c r="K619" s="194">
        <f t="shared" si="84"/>
        <v>18</v>
      </c>
      <c r="L619" s="24">
        <f t="shared" si="84"/>
        <v>0</v>
      </c>
      <c r="M619" s="194">
        <f t="shared" si="84"/>
        <v>18</v>
      </c>
    </row>
    <row r="620" spans="1:13" s="112" customFormat="1" ht="36" x14ac:dyDescent="0.35">
      <c r="A620" s="11"/>
      <c r="B620" s="498" t="s">
        <v>287</v>
      </c>
      <c r="C620" s="199" t="s">
        <v>427</v>
      </c>
      <c r="D620" s="28" t="s">
        <v>224</v>
      </c>
      <c r="E620" s="28" t="s">
        <v>65</v>
      </c>
      <c r="F620" s="92" t="s">
        <v>39</v>
      </c>
      <c r="G620" s="82" t="s">
        <v>30</v>
      </c>
      <c r="H620" s="82" t="s">
        <v>37</v>
      </c>
      <c r="I620" s="83" t="s">
        <v>44</v>
      </c>
      <c r="J620" s="84"/>
      <c r="K620" s="194">
        <f t="shared" si="84"/>
        <v>18</v>
      </c>
      <c r="L620" s="24">
        <f t="shared" si="84"/>
        <v>0</v>
      </c>
      <c r="M620" s="194">
        <f t="shared" si="84"/>
        <v>18</v>
      </c>
    </row>
    <row r="621" spans="1:13" s="112" customFormat="1" ht="36" x14ac:dyDescent="0.35">
      <c r="A621" s="11"/>
      <c r="B621" s="531" t="s">
        <v>466</v>
      </c>
      <c r="C621" s="199" t="s">
        <v>427</v>
      </c>
      <c r="D621" s="28" t="s">
        <v>224</v>
      </c>
      <c r="E621" s="28" t="s">
        <v>65</v>
      </c>
      <c r="F621" s="92" t="s">
        <v>39</v>
      </c>
      <c r="G621" s="82" t="s">
        <v>30</v>
      </c>
      <c r="H621" s="82" t="s">
        <v>37</v>
      </c>
      <c r="I621" s="83" t="s">
        <v>91</v>
      </c>
      <c r="J621" s="84"/>
      <c r="K621" s="194">
        <f t="shared" si="84"/>
        <v>18</v>
      </c>
      <c r="L621" s="24">
        <f t="shared" si="84"/>
        <v>0</v>
      </c>
      <c r="M621" s="194">
        <f t="shared" si="84"/>
        <v>18</v>
      </c>
    </row>
    <row r="622" spans="1:13" s="112" customFormat="1" ht="54" customHeight="1" x14ac:dyDescent="0.35">
      <c r="A622" s="11"/>
      <c r="B622" s="498" t="s">
        <v>55</v>
      </c>
      <c r="C622" s="199" t="s">
        <v>427</v>
      </c>
      <c r="D622" s="28" t="s">
        <v>224</v>
      </c>
      <c r="E622" s="28" t="s">
        <v>65</v>
      </c>
      <c r="F622" s="128" t="s">
        <v>39</v>
      </c>
      <c r="G622" s="126" t="s">
        <v>30</v>
      </c>
      <c r="H622" s="126" t="s">
        <v>37</v>
      </c>
      <c r="I622" s="127" t="s">
        <v>91</v>
      </c>
      <c r="J622" s="477" t="s">
        <v>56</v>
      </c>
      <c r="K622" s="194">
        <v>18</v>
      </c>
      <c r="L622" s="24">
        <f>M622-K622</f>
        <v>0</v>
      </c>
      <c r="M622" s="194">
        <v>18</v>
      </c>
    </row>
    <row r="623" spans="1:13" s="112" customFormat="1" ht="18" customHeight="1" x14ac:dyDescent="0.35">
      <c r="A623" s="11"/>
      <c r="B623" s="498" t="s">
        <v>186</v>
      </c>
      <c r="C623" s="23" t="s">
        <v>427</v>
      </c>
      <c r="D623" s="10" t="s">
        <v>224</v>
      </c>
      <c r="E623" s="10" t="s">
        <v>79</v>
      </c>
      <c r="F623" s="661"/>
      <c r="G623" s="662"/>
      <c r="H623" s="662"/>
      <c r="I623" s="663"/>
      <c r="J623" s="10"/>
      <c r="K623" s="24">
        <f>K624</f>
        <v>89753.743000000002</v>
      </c>
      <c r="L623" s="24">
        <f>L624</f>
        <v>0</v>
      </c>
      <c r="M623" s="24">
        <f>M624</f>
        <v>89753.743000000002</v>
      </c>
    </row>
    <row r="624" spans="1:13" s="112" customFormat="1" ht="54" customHeight="1" x14ac:dyDescent="0.35">
      <c r="A624" s="11"/>
      <c r="B624" s="498" t="s">
        <v>205</v>
      </c>
      <c r="C624" s="23" t="s">
        <v>427</v>
      </c>
      <c r="D624" s="10" t="s">
        <v>224</v>
      </c>
      <c r="E624" s="10" t="s">
        <v>79</v>
      </c>
      <c r="F624" s="661" t="s">
        <v>39</v>
      </c>
      <c r="G624" s="662" t="s">
        <v>42</v>
      </c>
      <c r="H624" s="662" t="s">
        <v>43</v>
      </c>
      <c r="I624" s="663" t="s">
        <v>44</v>
      </c>
      <c r="J624" s="10"/>
      <c r="K624" s="24">
        <f>K629+K625</f>
        <v>89753.743000000002</v>
      </c>
      <c r="L624" s="24">
        <f>L629+L625</f>
        <v>0</v>
      </c>
      <c r="M624" s="24">
        <f>M629+M625</f>
        <v>89753.743000000002</v>
      </c>
    </row>
    <row r="625" spans="1:13" s="112" customFormat="1" ht="18" customHeight="1" x14ac:dyDescent="0.35">
      <c r="A625" s="11"/>
      <c r="B625" s="498" t="s">
        <v>210</v>
      </c>
      <c r="C625" s="23" t="s">
        <v>427</v>
      </c>
      <c r="D625" s="10" t="s">
        <v>224</v>
      </c>
      <c r="E625" s="10" t="s">
        <v>79</v>
      </c>
      <c r="F625" s="661" t="s">
        <v>39</v>
      </c>
      <c r="G625" s="662" t="s">
        <v>89</v>
      </c>
      <c r="H625" s="662" t="s">
        <v>43</v>
      </c>
      <c r="I625" s="663" t="s">
        <v>44</v>
      </c>
      <c r="J625" s="10"/>
      <c r="K625" s="24">
        <f t="shared" ref="K625:M627" si="86">K626</f>
        <v>108</v>
      </c>
      <c r="L625" s="24">
        <f t="shared" si="86"/>
        <v>0</v>
      </c>
      <c r="M625" s="24">
        <f t="shared" si="86"/>
        <v>108</v>
      </c>
    </row>
    <row r="626" spans="1:13" s="112" customFormat="1" ht="18" customHeight="1" x14ac:dyDescent="0.35">
      <c r="A626" s="11"/>
      <c r="B626" s="498" t="s">
        <v>282</v>
      </c>
      <c r="C626" s="23" t="s">
        <v>427</v>
      </c>
      <c r="D626" s="10" t="s">
        <v>224</v>
      </c>
      <c r="E626" s="10" t="s">
        <v>79</v>
      </c>
      <c r="F626" s="661" t="s">
        <v>39</v>
      </c>
      <c r="G626" s="662" t="s">
        <v>89</v>
      </c>
      <c r="H626" s="662" t="s">
        <v>39</v>
      </c>
      <c r="I626" s="663" t="s">
        <v>44</v>
      </c>
      <c r="J626" s="10"/>
      <c r="K626" s="24">
        <f t="shared" si="86"/>
        <v>108</v>
      </c>
      <c r="L626" s="24">
        <f t="shared" si="86"/>
        <v>0</v>
      </c>
      <c r="M626" s="24">
        <f t="shared" si="86"/>
        <v>108</v>
      </c>
    </row>
    <row r="627" spans="1:13" s="112" customFormat="1" ht="36" customHeight="1" x14ac:dyDescent="0.35">
      <c r="A627" s="11"/>
      <c r="B627" s="498" t="s">
        <v>283</v>
      </c>
      <c r="C627" s="23" t="s">
        <v>427</v>
      </c>
      <c r="D627" s="10" t="s">
        <v>224</v>
      </c>
      <c r="E627" s="10" t="s">
        <v>79</v>
      </c>
      <c r="F627" s="661" t="s">
        <v>39</v>
      </c>
      <c r="G627" s="662" t="s">
        <v>89</v>
      </c>
      <c r="H627" s="662" t="s">
        <v>39</v>
      </c>
      <c r="I627" s="663" t="s">
        <v>284</v>
      </c>
      <c r="J627" s="10"/>
      <c r="K627" s="24">
        <f t="shared" si="86"/>
        <v>108</v>
      </c>
      <c r="L627" s="24">
        <f t="shared" si="86"/>
        <v>0</v>
      </c>
      <c r="M627" s="24">
        <f t="shared" si="86"/>
        <v>108</v>
      </c>
    </row>
    <row r="628" spans="1:13" s="112" customFormat="1" ht="36" customHeight="1" x14ac:dyDescent="0.35">
      <c r="A628" s="11"/>
      <c r="B628" s="498" t="s">
        <v>120</v>
      </c>
      <c r="C628" s="23" t="s">
        <v>427</v>
      </c>
      <c r="D628" s="10" t="s">
        <v>224</v>
      </c>
      <c r="E628" s="10" t="s">
        <v>79</v>
      </c>
      <c r="F628" s="661" t="s">
        <v>39</v>
      </c>
      <c r="G628" s="662" t="s">
        <v>89</v>
      </c>
      <c r="H628" s="662" t="s">
        <v>39</v>
      </c>
      <c r="I628" s="663" t="s">
        <v>284</v>
      </c>
      <c r="J628" s="10" t="s">
        <v>121</v>
      </c>
      <c r="K628" s="24">
        <f>60+12+36</f>
        <v>108</v>
      </c>
      <c r="L628" s="24">
        <f>M628-K628</f>
        <v>0</v>
      </c>
      <c r="M628" s="24">
        <f>60+12+36</f>
        <v>108</v>
      </c>
    </row>
    <row r="629" spans="1:13" s="112" customFormat="1" ht="54" customHeight="1" x14ac:dyDescent="0.35">
      <c r="A629" s="11"/>
      <c r="B629" s="498" t="s">
        <v>212</v>
      </c>
      <c r="C629" s="23" t="s">
        <v>427</v>
      </c>
      <c r="D629" s="10" t="s">
        <v>224</v>
      </c>
      <c r="E629" s="10" t="s">
        <v>79</v>
      </c>
      <c r="F629" s="661" t="s">
        <v>39</v>
      </c>
      <c r="G629" s="662" t="s">
        <v>30</v>
      </c>
      <c r="H629" s="662" t="s">
        <v>43</v>
      </c>
      <c r="I629" s="663" t="s">
        <v>44</v>
      </c>
      <c r="J629" s="10"/>
      <c r="K629" s="24">
        <f>K630+K648</f>
        <v>89645.743000000002</v>
      </c>
      <c r="L629" s="24">
        <f>L630+L648</f>
        <v>0</v>
      </c>
      <c r="M629" s="24">
        <f>M630+M648</f>
        <v>89645.743000000002</v>
      </c>
    </row>
    <row r="630" spans="1:13" s="112" customFormat="1" ht="36" customHeight="1" x14ac:dyDescent="0.35">
      <c r="A630" s="11"/>
      <c r="B630" s="498" t="s">
        <v>287</v>
      </c>
      <c r="C630" s="23" t="s">
        <v>427</v>
      </c>
      <c r="D630" s="10" t="s">
        <v>224</v>
      </c>
      <c r="E630" s="10" t="s">
        <v>79</v>
      </c>
      <c r="F630" s="661" t="s">
        <v>39</v>
      </c>
      <c r="G630" s="662" t="s">
        <v>30</v>
      </c>
      <c r="H630" s="662" t="s">
        <v>37</v>
      </c>
      <c r="I630" s="663" t="s">
        <v>44</v>
      </c>
      <c r="J630" s="10"/>
      <c r="K630" s="24">
        <f>K631+K635+K645+K640+K643</f>
        <v>81914.043000000005</v>
      </c>
      <c r="L630" s="24">
        <f>L631+L635+L645+L640+L643</f>
        <v>0</v>
      </c>
      <c r="M630" s="24">
        <f>M631+M635+M645+M640+M643</f>
        <v>81914.043000000005</v>
      </c>
    </row>
    <row r="631" spans="1:13" s="112" customFormat="1" ht="36" customHeight="1" x14ac:dyDescent="0.35">
      <c r="A631" s="11"/>
      <c r="B631" s="498" t="s">
        <v>47</v>
      </c>
      <c r="C631" s="23" t="s">
        <v>427</v>
      </c>
      <c r="D631" s="10" t="s">
        <v>224</v>
      </c>
      <c r="E631" s="10" t="s">
        <v>79</v>
      </c>
      <c r="F631" s="661" t="s">
        <v>39</v>
      </c>
      <c r="G631" s="662" t="s">
        <v>30</v>
      </c>
      <c r="H631" s="662" t="s">
        <v>37</v>
      </c>
      <c r="I631" s="663" t="s">
        <v>48</v>
      </c>
      <c r="J631" s="10"/>
      <c r="K631" s="24">
        <f>K632+K633+K634</f>
        <v>12417.831</v>
      </c>
      <c r="L631" s="24">
        <f>L632+L633+L634</f>
        <v>0</v>
      </c>
      <c r="M631" s="24">
        <f>M632+M633+M634</f>
        <v>12417.831</v>
      </c>
    </row>
    <row r="632" spans="1:13" s="112" customFormat="1" ht="108" customHeight="1" x14ac:dyDescent="0.35">
      <c r="A632" s="11"/>
      <c r="B632" s="498" t="s">
        <v>49</v>
      </c>
      <c r="C632" s="23" t="s">
        <v>427</v>
      </c>
      <c r="D632" s="10" t="s">
        <v>224</v>
      </c>
      <c r="E632" s="10" t="s">
        <v>79</v>
      </c>
      <c r="F632" s="661" t="s">
        <v>39</v>
      </c>
      <c r="G632" s="662" t="s">
        <v>30</v>
      </c>
      <c r="H632" s="662" t="s">
        <v>37</v>
      </c>
      <c r="I632" s="663" t="s">
        <v>48</v>
      </c>
      <c r="J632" s="10" t="s">
        <v>50</v>
      </c>
      <c r="K632" s="24">
        <f>11475.4-2926.6+2926.6</f>
        <v>11475.4</v>
      </c>
      <c r="L632" s="24">
        <f>M632-K632</f>
        <v>0</v>
      </c>
      <c r="M632" s="24">
        <f>11475.4-2926.6+2926.6</f>
        <v>11475.4</v>
      </c>
    </row>
    <row r="633" spans="1:13" s="112" customFormat="1" ht="54" customHeight="1" x14ac:dyDescent="0.35">
      <c r="A633" s="11"/>
      <c r="B633" s="498" t="s">
        <v>55</v>
      </c>
      <c r="C633" s="23" t="s">
        <v>427</v>
      </c>
      <c r="D633" s="10" t="s">
        <v>224</v>
      </c>
      <c r="E633" s="10" t="s">
        <v>79</v>
      </c>
      <c r="F633" s="661" t="s">
        <v>39</v>
      </c>
      <c r="G633" s="662" t="s">
        <v>30</v>
      </c>
      <c r="H633" s="662" t="s">
        <v>37</v>
      </c>
      <c r="I633" s="663" t="s">
        <v>48</v>
      </c>
      <c r="J633" s="10" t="s">
        <v>56</v>
      </c>
      <c r="K633" s="24">
        <f>923.8+1.631</f>
        <v>925.43099999999993</v>
      </c>
      <c r="L633" s="24">
        <f>M633-K633</f>
        <v>0</v>
      </c>
      <c r="M633" s="24">
        <f>923.8+1.631</f>
        <v>925.43099999999993</v>
      </c>
    </row>
    <row r="634" spans="1:13" s="112" customFormat="1" ht="18" customHeight="1" x14ac:dyDescent="0.35">
      <c r="A634" s="11"/>
      <c r="B634" s="498" t="s">
        <v>57</v>
      </c>
      <c r="C634" s="23" t="s">
        <v>427</v>
      </c>
      <c r="D634" s="10" t="s">
        <v>224</v>
      </c>
      <c r="E634" s="10" t="s">
        <v>79</v>
      </c>
      <c r="F634" s="661" t="s">
        <v>39</v>
      </c>
      <c r="G634" s="662" t="s">
        <v>30</v>
      </c>
      <c r="H634" s="662" t="s">
        <v>37</v>
      </c>
      <c r="I634" s="663" t="s">
        <v>48</v>
      </c>
      <c r="J634" s="10" t="s">
        <v>58</v>
      </c>
      <c r="K634" s="24">
        <v>17</v>
      </c>
      <c r="L634" s="24">
        <f>M634-K634</f>
        <v>0</v>
      </c>
      <c r="M634" s="24">
        <v>17</v>
      </c>
    </row>
    <row r="635" spans="1:13" s="112" customFormat="1" ht="36" customHeight="1" x14ac:dyDescent="0.35">
      <c r="A635" s="11"/>
      <c r="B635" s="531" t="s">
        <v>466</v>
      </c>
      <c r="C635" s="23" t="s">
        <v>427</v>
      </c>
      <c r="D635" s="10" t="s">
        <v>224</v>
      </c>
      <c r="E635" s="10" t="s">
        <v>79</v>
      </c>
      <c r="F635" s="661" t="s">
        <v>39</v>
      </c>
      <c r="G635" s="662" t="s">
        <v>30</v>
      </c>
      <c r="H635" s="662" t="s">
        <v>37</v>
      </c>
      <c r="I635" s="663" t="s">
        <v>91</v>
      </c>
      <c r="J635" s="10"/>
      <c r="K635" s="24">
        <f>K636+K637+K639+K638</f>
        <v>61621.212</v>
      </c>
      <c r="L635" s="24">
        <f>L636+L637+L639+L638</f>
        <v>0</v>
      </c>
      <c r="M635" s="24">
        <f>M636+M637+M639+M638</f>
        <v>61621.212</v>
      </c>
    </row>
    <row r="636" spans="1:13" s="112" customFormat="1" ht="108" customHeight="1" x14ac:dyDescent="0.35">
      <c r="A636" s="11"/>
      <c r="B636" s="498" t="s">
        <v>49</v>
      </c>
      <c r="C636" s="23" t="s">
        <v>427</v>
      </c>
      <c r="D636" s="10" t="s">
        <v>224</v>
      </c>
      <c r="E636" s="10" t="s">
        <v>79</v>
      </c>
      <c r="F636" s="661" t="s">
        <v>39</v>
      </c>
      <c r="G636" s="662" t="s">
        <v>30</v>
      </c>
      <c r="H636" s="662" t="s">
        <v>37</v>
      </c>
      <c r="I636" s="663" t="s">
        <v>91</v>
      </c>
      <c r="J636" s="10" t="s">
        <v>50</v>
      </c>
      <c r="K636" s="24">
        <f>36731.8+619.3-209.9+209.9-7581.4+7581.4</f>
        <v>37351.100000000006</v>
      </c>
      <c r="L636" s="24">
        <f>M636-K636</f>
        <v>0</v>
      </c>
      <c r="M636" s="24">
        <f>36731.8+619.3-209.9+209.9-7581.4+7581.4</f>
        <v>37351.100000000006</v>
      </c>
    </row>
    <row r="637" spans="1:13" s="112" customFormat="1" ht="54" customHeight="1" x14ac:dyDescent="0.35">
      <c r="A637" s="11"/>
      <c r="B637" s="498" t="s">
        <v>55</v>
      </c>
      <c r="C637" s="23" t="s">
        <v>427</v>
      </c>
      <c r="D637" s="10" t="s">
        <v>224</v>
      </c>
      <c r="E637" s="10" t="s">
        <v>79</v>
      </c>
      <c r="F637" s="661" t="s">
        <v>39</v>
      </c>
      <c r="G637" s="662" t="s">
        <v>30</v>
      </c>
      <c r="H637" s="662" t="s">
        <v>37</v>
      </c>
      <c r="I637" s="663" t="s">
        <v>91</v>
      </c>
      <c r="J637" s="10" t="s">
        <v>56</v>
      </c>
      <c r="K637" s="24">
        <f>4235.7+13.612-18</f>
        <v>4231.3119999999999</v>
      </c>
      <c r="L637" s="24">
        <f>M637-K637</f>
        <v>0</v>
      </c>
      <c r="M637" s="24">
        <f>4235.7+13.612-18</f>
        <v>4231.3119999999999</v>
      </c>
    </row>
    <row r="638" spans="1:13" s="112" customFormat="1" ht="54" customHeight="1" x14ac:dyDescent="0.35">
      <c r="A638" s="11"/>
      <c r="B638" s="498" t="s">
        <v>76</v>
      </c>
      <c r="C638" s="23" t="s">
        <v>427</v>
      </c>
      <c r="D638" s="10" t="s">
        <v>224</v>
      </c>
      <c r="E638" s="10" t="s">
        <v>79</v>
      </c>
      <c r="F638" s="661" t="s">
        <v>39</v>
      </c>
      <c r="G638" s="662" t="s">
        <v>30</v>
      </c>
      <c r="H638" s="662" t="s">
        <v>37</v>
      </c>
      <c r="I638" s="663" t="s">
        <v>91</v>
      </c>
      <c r="J638" s="10" t="s">
        <v>77</v>
      </c>
      <c r="K638" s="24">
        <f>20085.9-52.8</f>
        <v>20033.100000000002</v>
      </c>
      <c r="L638" s="24">
        <f>M638-K638</f>
        <v>0</v>
      </c>
      <c r="M638" s="24">
        <f>20085.9-52.8</f>
        <v>20033.100000000002</v>
      </c>
    </row>
    <row r="639" spans="1:13" s="112" customFormat="1" ht="18" customHeight="1" x14ac:dyDescent="0.35">
      <c r="A639" s="11"/>
      <c r="B639" s="498" t="s">
        <v>57</v>
      </c>
      <c r="C639" s="23" t="s">
        <v>427</v>
      </c>
      <c r="D639" s="10" t="s">
        <v>224</v>
      </c>
      <c r="E639" s="10" t="s">
        <v>79</v>
      </c>
      <c r="F639" s="661" t="s">
        <v>39</v>
      </c>
      <c r="G639" s="662" t="s">
        <v>30</v>
      </c>
      <c r="H639" s="662" t="s">
        <v>37</v>
      </c>
      <c r="I639" s="663" t="s">
        <v>91</v>
      </c>
      <c r="J639" s="10" t="s">
        <v>58</v>
      </c>
      <c r="K639" s="24">
        <v>5.7</v>
      </c>
      <c r="L639" s="24">
        <f>M639-K639</f>
        <v>0</v>
      </c>
      <c r="M639" s="24">
        <v>5.7</v>
      </c>
    </row>
    <row r="640" spans="1:13" s="112" customFormat="1" ht="36" customHeight="1" x14ac:dyDescent="0.35">
      <c r="A640" s="11"/>
      <c r="B640" s="498" t="s">
        <v>208</v>
      </c>
      <c r="C640" s="23" t="s">
        <v>427</v>
      </c>
      <c r="D640" s="10" t="s">
        <v>224</v>
      </c>
      <c r="E640" s="10" t="s">
        <v>79</v>
      </c>
      <c r="F640" s="661" t="s">
        <v>39</v>
      </c>
      <c r="G640" s="662" t="s">
        <v>30</v>
      </c>
      <c r="H640" s="662" t="s">
        <v>37</v>
      </c>
      <c r="I640" s="663" t="s">
        <v>279</v>
      </c>
      <c r="J640" s="10"/>
      <c r="K640" s="24">
        <f>K641+K642</f>
        <v>311.7</v>
      </c>
      <c r="L640" s="24">
        <f>L641+L642</f>
        <v>0</v>
      </c>
      <c r="M640" s="24">
        <f>M641+M642</f>
        <v>311.7</v>
      </c>
    </row>
    <row r="641" spans="1:13" s="112" customFormat="1" ht="54" customHeight="1" x14ac:dyDescent="0.35">
      <c r="A641" s="11"/>
      <c r="B641" s="498" t="s">
        <v>55</v>
      </c>
      <c r="C641" s="23" t="s">
        <v>427</v>
      </c>
      <c r="D641" s="10" t="s">
        <v>224</v>
      </c>
      <c r="E641" s="10" t="s">
        <v>79</v>
      </c>
      <c r="F641" s="661" t="s">
        <v>39</v>
      </c>
      <c r="G641" s="662" t="s">
        <v>30</v>
      </c>
      <c r="H641" s="662" t="s">
        <v>37</v>
      </c>
      <c r="I641" s="663" t="s">
        <v>279</v>
      </c>
      <c r="J641" s="10" t="s">
        <v>56</v>
      </c>
      <c r="K641" s="24">
        <v>10</v>
      </c>
      <c r="L641" s="24">
        <f>M641-K641</f>
        <v>0</v>
      </c>
      <c r="M641" s="24">
        <v>10</v>
      </c>
    </row>
    <row r="642" spans="1:13" s="112" customFormat="1" ht="54" customHeight="1" x14ac:dyDescent="0.35">
      <c r="A642" s="11"/>
      <c r="B642" s="498" t="s">
        <v>76</v>
      </c>
      <c r="C642" s="23" t="s">
        <v>427</v>
      </c>
      <c r="D642" s="10" t="s">
        <v>224</v>
      </c>
      <c r="E642" s="10" t="s">
        <v>79</v>
      </c>
      <c r="F642" s="661" t="s">
        <v>39</v>
      </c>
      <c r="G642" s="662" t="s">
        <v>30</v>
      </c>
      <c r="H642" s="662" t="s">
        <v>37</v>
      </c>
      <c r="I642" s="663" t="s">
        <v>279</v>
      </c>
      <c r="J642" s="10" t="s">
        <v>77</v>
      </c>
      <c r="K642" s="24">
        <f>52.8+248.9</f>
        <v>301.7</v>
      </c>
      <c r="L642" s="24">
        <f>M642-K642</f>
        <v>0</v>
      </c>
      <c r="M642" s="24">
        <f>52.8+248.9</f>
        <v>301.7</v>
      </c>
    </row>
    <row r="643" spans="1:13" s="112" customFormat="1" ht="54" customHeight="1" x14ac:dyDescent="0.35">
      <c r="A643" s="11"/>
      <c r="B643" s="498" t="s">
        <v>581</v>
      </c>
      <c r="C643" s="23" t="s">
        <v>427</v>
      </c>
      <c r="D643" s="10" t="s">
        <v>224</v>
      </c>
      <c r="E643" s="10" t="s">
        <v>79</v>
      </c>
      <c r="F643" s="661" t="s">
        <v>39</v>
      </c>
      <c r="G643" s="662" t="s">
        <v>30</v>
      </c>
      <c r="H643" s="662" t="s">
        <v>37</v>
      </c>
      <c r="I643" s="663" t="s">
        <v>580</v>
      </c>
      <c r="J643" s="10"/>
      <c r="K643" s="24">
        <f>K644</f>
        <v>518.6</v>
      </c>
      <c r="L643" s="24">
        <f>L644</f>
        <v>0</v>
      </c>
      <c r="M643" s="24">
        <f>M644</f>
        <v>518.6</v>
      </c>
    </row>
    <row r="644" spans="1:13" s="112" customFormat="1" ht="54" customHeight="1" x14ac:dyDescent="0.35">
      <c r="A644" s="11"/>
      <c r="B644" s="498" t="s">
        <v>76</v>
      </c>
      <c r="C644" s="23" t="s">
        <v>427</v>
      </c>
      <c r="D644" s="10" t="s">
        <v>224</v>
      </c>
      <c r="E644" s="10" t="s">
        <v>79</v>
      </c>
      <c r="F644" s="661" t="s">
        <v>39</v>
      </c>
      <c r="G644" s="662" t="s">
        <v>30</v>
      </c>
      <c r="H644" s="662" t="s">
        <v>37</v>
      </c>
      <c r="I644" s="663" t="s">
        <v>580</v>
      </c>
      <c r="J644" s="10" t="s">
        <v>77</v>
      </c>
      <c r="K644" s="24">
        <v>518.6</v>
      </c>
      <c r="L644" s="24">
        <f>M644-K644</f>
        <v>0</v>
      </c>
      <c r="M644" s="24">
        <v>518.6</v>
      </c>
    </row>
    <row r="645" spans="1:13" s="112" customFormat="1" ht="108" customHeight="1" x14ac:dyDescent="0.35">
      <c r="A645" s="11"/>
      <c r="B645" s="498" t="s">
        <v>350</v>
      </c>
      <c r="C645" s="23" t="s">
        <v>427</v>
      </c>
      <c r="D645" s="10" t="s">
        <v>224</v>
      </c>
      <c r="E645" s="10" t="s">
        <v>79</v>
      </c>
      <c r="F645" s="661" t="s">
        <v>39</v>
      </c>
      <c r="G645" s="662" t="s">
        <v>30</v>
      </c>
      <c r="H645" s="662" t="s">
        <v>37</v>
      </c>
      <c r="I645" s="663" t="s">
        <v>275</v>
      </c>
      <c r="J645" s="10"/>
      <c r="K645" s="24">
        <f>K646+K647</f>
        <v>7044.7000000000007</v>
      </c>
      <c r="L645" s="24">
        <f>L646+L647</f>
        <v>0</v>
      </c>
      <c r="M645" s="24">
        <f>M646+M647</f>
        <v>7044.7000000000007</v>
      </c>
    </row>
    <row r="646" spans="1:13" s="112" customFormat="1" ht="108" customHeight="1" x14ac:dyDescent="0.35">
      <c r="A646" s="11"/>
      <c r="B646" s="498" t="s">
        <v>49</v>
      </c>
      <c r="C646" s="23" t="s">
        <v>427</v>
      </c>
      <c r="D646" s="10" t="s">
        <v>224</v>
      </c>
      <c r="E646" s="10" t="s">
        <v>79</v>
      </c>
      <c r="F646" s="661" t="s">
        <v>39</v>
      </c>
      <c r="G646" s="662" t="s">
        <v>30</v>
      </c>
      <c r="H646" s="662" t="s">
        <v>37</v>
      </c>
      <c r="I646" s="663" t="s">
        <v>275</v>
      </c>
      <c r="J646" s="10" t="s">
        <v>50</v>
      </c>
      <c r="K646" s="24">
        <v>6762.6</v>
      </c>
      <c r="L646" s="24">
        <f>M646-K646</f>
        <v>0</v>
      </c>
      <c r="M646" s="24">
        <v>6762.6</v>
      </c>
    </row>
    <row r="647" spans="1:13" s="112" customFormat="1" ht="54" customHeight="1" x14ac:dyDescent="0.35">
      <c r="A647" s="11"/>
      <c r="B647" s="498" t="s">
        <v>55</v>
      </c>
      <c r="C647" s="23" t="s">
        <v>427</v>
      </c>
      <c r="D647" s="10" t="s">
        <v>224</v>
      </c>
      <c r="E647" s="10" t="s">
        <v>79</v>
      </c>
      <c r="F647" s="661" t="s">
        <v>39</v>
      </c>
      <c r="G647" s="662" t="s">
        <v>30</v>
      </c>
      <c r="H647" s="662" t="s">
        <v>37</v>
      </c>
      <c r="I647" s="663" t="s">
        <v>275</v>
      </c>
      <c r="J647" s="10" t="s">
        <v>56</v>
      </c>
      <c r="K647" s="24">
        <f>266.5+15.6</f>
        <v>282.10000000000002</v>
      </c>
      <c r="L647" s="24">
        <f>M647-K647</f>
        <v>0</v>
      </c>
      <c r="M647" s="24">
        <f>266.5+15.6</f>
        <v>282.10000000000002</v>
      </c>
    </row>
    <row r="648" spans="1:13" s="112" customFormat="1" ht="54" customHeight="1" x14ac:dyDescent="0.35">
      <c r="A648" s="11"/>
      <c r="B648" s="495" t="s">
        <v>286</v>
      </c>
      <c r="C648" s="199" t="s">
        <v>427</v>
      </c>
      <c r="D648" s="28" t="s">
        <v>224</v>
      </c>
      <c r="E648" s="28" t="s">
        <v>79</v>
      </c>
      <c r="F648" s="191" t="s">
        <v>39</v>
      </c>
      <c r="G648" s="192" t="s">
        <v>30</v>
      </c>
      <c r="H648" s="192" t="s">
        <v>39</v>
      </c>
      <c r="I648" s="193" t="s">
        <v>44</v>
      </c>
      <c r="J648" s="28"/>
      <c r="K648" s="194">
        <f>K649+K651</f>
        <v>7731.7</v>
      </c>
      <c r="L648" s="194">
        <f>L649+L651</f>
        <v>0</v>
      </c>
      <c r="M648" s="194">
        <f>M649+M651</f>
        <v>7731.7</v>
      </c>
    </row>
    <row r="649" spans="1:13" s="112" customFormat="1" ht="36" customHeight="1" x14ac:dyDescent="0.35">
      <c r="A649" s="11"/>
      <c r="B649" s="495" t="s">
        <v>472</v>
      </c>
      <c r="C649" s="199" t="s">
        <v>427</v>
      </c>
      <c r="D649" s="28" t="s">
        <v>224</v>
      </c>
      <c r="E649" s="28" t="s">
        <v>79</v>
      </c>
      <c r="F649" s="191" t="s">
        <v>39</v>
      </c>
      <c r="G649" s="192" t="s">
        <v>30</v>
      </c>
      <c r="H649" s="192" t="s">
        <v>39</v>
      </c>
      <c r="I649" s="193" t="s">
        <v>471</v>
      </c>
      <c r="J649" s="28"/>
      <c r="K649" s="194">
        <f>K650</f>
        <v>2157</v>
      </c>
      <c r="L649" s="194">
        <f>L650</f>
        <v>0</v>
      </c>
      <c r="M649" s="194">
        <f>M650</f>
        <v>2157</v>
      </c>
    </row>
    <row r="650" spans="1:13" s="112" customFormat="1" ht="54" customHeight="1" x14ac:dyDescent="0.35">
      <c r="A650" s="11"/>
      <c r="B650" s="495" t="s">
        <v>76</v>
      </c>
      <c r="C650" s="199" t="s">
        <v>427</v>
      </c>
      <c r="D650" s="28" t="s">
        <v>224</v>
      </c>
      <c r="E650" s="28" t="s">
        <v>79</v>
      </c>
      <c r="F650" s="191" t="s">
        <v>39</v>
      </c>
      <c r="G650" s="192" t="s">
        <v>30</v>
      </c>
      <c r="H650" s="192" t="s">
        <v>39</v>
      </c>
      <c r="I650" s="193" t="s">
        <v>471</v>
      </c>
      <c r="J650" s="28" t="s">
        <v>77</v>
      </c>
      <c r="K650" s="194">
        <f>2107.5+49.5</f>
        <v>2157</v>
      </c>
      <c r="L650" s="24">
        <f>M650-K650</f>
        <v>0</v>
      </c>
      <c r="M650" s="194">
        <f>2107.5+49.5</f>
        <v>2157</v>
      </c>
    </row>
    <row r="651" spans="1:13" s="112" customFormat="1" ht="108" customHeight="1" x14ac:dyDescent="0.35">
      <c r="A651" s="11"/>
      <c r="B651" s="495" t="s">
        <v>444</v>
      </c>
      <c r="C651" s="199" t="s">
        <v>427</v>
      </c>
      <c r="D651" s="28" t="s">
        <v>224</v>
      </c>
      <c r="E651" s="28" t="s">
        <v>79</v>
      </c>
      <c r="F651" s="191" t="s">
        <v>39</v>
      </c>
      <c r="G651" s="192" t="s">
        <v>30</v>
      </c>
      <c r="H651" s="192" t="s">
        <v>39</v>
      </c>
      <c r="I651" s="193" t="s">
        <v>443</v>
      </c>
      <c r="J651" s="28"/>
      <c r="K651" s="194">
        <f>K652</f>
        <v>5574.7</v>
      </c>
      <c r="L651" s="194">
        <f>L652</f>
        <v>0</v>
      </c>
      <c r="M651" s="194">
        <f>M652</f>
        <v>5574.7</v>
      </c>
    </row>
    <row r="652" spans="1:13" s="112" customFormat="1" ht="54" customHeight="1" x14ac:dyDescent="0.35">
      <c r="A652" s="11"/>
      <c r="B652" s="495" t="s">
        <v>76</v>
      </c>
      <c r="C652" s="199" t="s">
        <v>427</v>
      </c>
      <c r="D652" s="28" t="s">
        <v>224</v>
      </c>
      <c r="E652" s="28" t="s">
        <v>79</v>
      </c>
      <c r="F652" s="191" t="s">
        <v>39</v>
      </c>
      <c r="G652" s="192" t="s">
        <v>30</v>
      </c>
      <c r="H652" s="192" t="s">
        <v>39</v>
      </c>
      <c r="I652" s="193" t="s">
        <v>443</v>
      </c>
      <c r="J652" s="28" t="s">
        <v>77</v>
      </c>
      <c r="K652" s="194">
        <v>5574.7</v>
      </c>
      <c r="L652" s="24">
        <f>M652-K652</f>
        <v>0</v>
      </c>
      <c r="M652" s="194">
        <v>5574.7</v>
      </c>
    </row>
    <row r="653" spans="1:13" s="112" customFormat="1" ht="18" customHeight="1" x14ac:dyDescent="0.35">
      <c r="A653" s="11"/>
      <c r="B653" s="537" t="s">
        <v>119</v>
      </c>
      <c r="C653" s="23" t="s">
        <v>427</v>
      </c>
      <c r="D653" s="10" t="s">
        <v>104</v>
      </c>
      <c r="E653" s="10"/>
      <c r="F653" s="661"/>
      <c r="G653" s="662"/>
      <c r="H653" s="662"/>
      <c r="I653" s="663"/>
      <c r="J653" s="10"/>
      <c r="K653" s="24">
        <f>K654+K660</f>
        <v>7605.2</v>
      </c>
      <c r="L653" s="24">
        <f>L654+L660</f>
        <v>0</v>
      </c>
      <c r="M653" s="24">
        <f>M654+M660</f>
        <v>7605.2</v>
      </c>
    </row>
    <row r="654" spans="1:13" s="112" customFormat="1" ht="18" x14ac:dyDescent="0.35">
      <c r="A654" s="11"/>
      <c r="B654" s="498" t="s">
        <v>734</v>
      </c>
      <c r="C654" s="23" t="s">
        <v>427</v>
      </c>
      <c r="D654" s="10" t="s">
        <v>104</v>
      </c>
      <c r="E654" s="10" t="s">
        <v>63</v>
      </c>
      <c r="F654" s="661"/>
      <c r="G654" s="662"/>
      <c r="H654" s="662"/>
      <c r="I654" s="663"/>
      <c r="J654" s="10"/>
      <c r="K654" s="24">
        <f>K655+K667</f>
        <v>920</v>
      </c>
      <c r="L654" s="24">
        <f>L655+L667</f>
        <v>0</v>
      </c>
      <c r="M654" s="24">
        <f>M655+M667</f>
        <v>920</v>
      </c>
    </row>
    <row r="655" spans="1:13" s="112" customFormat="1" ht="54" x14ac:dyDescent="0.35">
      <c r="A655" s="11"/>
      <c r="B655" s="540" t="s">
        <v>300</v>
      </c>
      <c r="C655" s="23" t="s">
        <v>427</v>
      </c>
      <c r="D655" s="10" t="s">
        <v>104</v>
      </c>
      <c r="E655" s="10" t="s">
        <v>63</v>
      </c>
      <c r="F655" s="661" t="s">
        <v>79</v>
      </c>
      <c r="G655" s="662" t="s">
        <v>42</v>
      </c>
      <c r="H655" s="662" t="s">
        <v>43</v>
      </c>
      <c r="I655" s="663" t="s">
        <v>44</v>
      </c>
      <c r="J655" s="10"/>
      <c r="K655" s="24">
        <f t="shared" ref="K655:M658" si="87">K656</f>
        <v>920</v>
      </c>
      <c r="L655" s="24">
        <f t="shared" si="87"/>
        <v>0</v>
      </c>
      <c r="M655" s="24">
        <f t="shared" si="87"/>
        <v>920</v>
      </c>
    </row>
    <row r="656" spans="1:13" s="112" customFormat="1" ht="36" x14ac:dyDescent="0.35">
      <c r="A656" s="11"/>
      <c r="B656" s="498" t="s">
        <v>344</v>
      </c>
      <c r="C656" s="23" t="s">
        <v>427</v>
      </c>
      <c r="D656" s="10" t="s">
        <v>104</v>
      </c>
      <c r="E656" s="10" t="s">
        <v>63</v>
      </c>
      <c r="F656" s="661" t="s">
        <v>79</v>
      </c>
      <c r="G656" s="662" t="s">
        <v>45</v>
      </c>
      <c r="H656" s="662" t="s">
        <v>43</v>
      </c>
      <c r="I656" s="663" t="s">
        <v>44</v>
      </c>
      <c r="J656" s="10"/>
      <c r="K656" s="24">
        <f t="shared" si="87"/>
        <v>920</v>
      </c>
      <c r="L656" s="24">
        <f t="shared" si="87"/>
        <v>0</v>
      </c>
      <c r="M656" s="24">
        <f t="shared" si="87"/>
        <v>920</v>
      </c>
    </row>
    <row r="657" spans="1:13" s="112" customFormat="1" ht="54" x14ac:dyDescent="0.35">
      <c r="A657" s="11"/>
      <c r="B657" s="498" t="s">
        <v>732</v>
      </c>
      <c r="C657" s="23" t="s">
        <v>427</v>
      </c>
      <c r="D657" s="10" t="s">
        <v>104</v>
      </c>
      <c r="E657" s="10" t="s">
        <v>63</v>
      </c>
      <c r="F657" s="661" t="s">
        <v>79</v>
      </c>
      <c r="G657" s="662" t="s">
        <v>45</v>
      </c>
      <c r="H657" s="662" t="s">
        <v>224</v>
      </c>
      <c r="I657" s="663" t="s">
        <v>44</v>
      </c>
      <c r="J657" s="10"/>
      <c r="K657" s="24">
        <f t="shared" si="87"/>
        <v>920</v>
      </c>
      <c r="L657" s="24">
        <f t="shared" si="87"/>
        <v>0</v>
      </c>
      <c r="M657" s="24">
        <f t="shared" si="87"/>
        <v>920</v>
      </c>
    </row>
    <row r="658" spans="1:13" s="112" customFormat="1" ht="72" x14ac:dyDescent="0.35">
      <c r="A658" s="11"/>
      <c r="B658" s="498" t="s">
        <v>733</v>
      </c>
      <c r="C658" s="23" t="s">
        <v>427</v>
      </c>
      <c r="D658" s="10" t="s">
        <v>104</v>
      </c>
      <c r="E658" s="10" t="s">
        <v>63</v>
      </c>
      <c r="F658" s="661" t="s">
        <v>79</v>
      </c>
      <c r="G658" s="662" t="s">
        <v>45</v>
      </c>
      <c r="H658" s="662" t="s">
        <v>224</v>
      </c>
      <c r="I658" s="663" t="s">
        <v>731</v>
      </c>
      <c r="J658" s="10"/>
      <c r="K658" s="24">
        <f t="shared" si="87"/>
        <v>920</v>
      </c>
      <c r="L658" s="24">
        <f t="shared" si="87"/>
        <v>0</v>
      </c>
      <c r="M658" s="24">
        <f t="shared" si="87"/>
        <v>920</v>
      </c>
    </row>
    <row r="659" spans="1:13" s="112" customFormat="1" ht="36" x14ac:dyDescent="0.35">
      <c r="A659" s="11"/>
      <c r="B659" s="505" t="s">
        <v>120</v>
      </c>
      <c r="C659" s="23" t="s">
        <v>427</v>
      </c>
      <c r="D659" s="10" t="s">
        <v>104</v>
      </c>
      <c r="E659" s="10" t="s">
        <v>63</v>
      </c>
      <c r="F659" s="661" t="s">
        <v>79</v>
      </c>
      <c r="G659" s="662" t="s">
        <v>45</v>
      </c>
      <c r="H659" s="662" t="s">
        <v>224</v>
      </c>
      <c r="I659" s="663" t="s">
        <v>731</v>
      </c>
      <c r="J659" s="10" t="s">
        <v>121</v>
      </c>
      <c r="K659" s="24">
        <f>591.2+98.8+230</f>
        <v>920</v>
      </c>
      <c r="L659" s="24">
        <f>M659-K659</f>
        <v>0</v>
      </c>
      <c r="M659" s="24">
        <f>591.2+98.8+230</f>
        <v>920</v>
      </c>
    </row>
    <row r="660" spans="1:13" s="112" customFormat="1" ht="18" x14ac:dyDescent="0.35">
      <c r="A660" s="11"/>
      <c r="B660" s="537" t="s">
        <v>193</v>
      </c>
      <c r="C660" s="23" t="s">
        <v>427</v>
      </c>
      <c r="D660" s="10" t="s">
        <v>104</v>
      </c>
      <c r="E660" s="10" t="s">
        <v>52</v>
      </c>
      <c r="F660" s="661"/>
      <c r="G660" s="662"/>
      <c r="H660" s="662"/>
      <c r="I660" s="663"/>
      <c r="J660" s="10"/>
      <c r="K660" s="24">
        <f t="shared" ref="K660:M660" si="88">K661</f>
        <v>6685.2</v>
      </c>
      <c r="L660" s="24">
        <f t="shared" si="88"/>
        <v>0</v>
      </c>
      <c r="M660" s="24">
        <f t="shared" si="88"/>
        <v>6685.2</v>
      </c>
    </row>
    <row r="661" spans="1:13" s="112" customFormat="1" ht="54" customHeight="1" x14ac:dyDescent="0.35">
      <c r="A661" s="11"/>
      <c r="B661" s="498" t="s">
        <v>205</v>
      </c>
      <c r="C661" s="23" t="s">
        <v>427</v>
      </c>
      <c r="D661" s="10" t="s">
        <v>104</v>
      </c>
      <c r="E661" s="10" t="s">
        <v>52</v>
      </c>
      <c r="F661" s="661" t="s">
        <v>39</v>
      </c>
      <c r="G661" s="662" t="s">
        <v>42</v>
      </c>
      <c r="H661" s="662" t="s">
        <v>43</v>
      </c>
      <c r="I661" s="663" t="s">
        <v>44</v>
      </c>
      <c r="J661" s="10"/>
      <c r="K661" s="24">
        <f t="shared" ref="K661:M663" si="89">K662</f>
        <v>6685.2</v>
      </c>
      <c r="L661" s="24">
        <f t="shared" si="89"/>
        <v>0</v>
      </c>
      <c r="M661" s="24">
        <f t="shared" si="89"/>
        <v>6685.2</v>
      </c>
    </row>
    <row r="662" spans="1:13" s="112" customFormat="1" ht="36" customHeight="1" x14ac:dyDescent="0.35">
      <c r="A662" s="11"/>
      <c r="B662" s="498" t="s">
        <v>206</v>
      </c>
      <c r="C662" s="23" t="s">
        <v>427</v>
      </c>
      <c r="D662" s="10" t="s">
        <v>104</v>
      </c>
      <c r="E662" s="10" t="s">
        <v>52</v>
      </c>
      <c r="F662" s="661" t="s">
        <v>39</v>
      </c>
      <c r="G662" s="662" t="s">
        <v>45</v>
      </c>
      <c r="H662" s="662" t="s">
        <v>43</v>
      </c>
      <c r="I662" s="663" t="s">
        <v>44</v>
      </c>
      <c r="J662" s="10"/>
      <c r="K662" s="24">
        <f t="shared" si="89"/>
        <v>6685.2</v>
      </c>
      <c r="L662" s="24">
        <f t="shared" si="89"/>
        <v>0</v>
      </c>
      <c r="M662" s="24">
        <f t="shared" si="89"/>
        <v>6685.2</v>
      </c>
    </row>
    <row r="663" spans="1:13" s="112" customFormat="1" ht="36" customHeight="1" x14ac:dyDescent="0.35">
      <c r="A663" s="11"/>
      <c r="B663" s="498" t="s">
        <v>272</v>
      </c>
      <c r="C663" s="23" t="s">
        <v>427</v>
      </c>
      <c r="D663" s="10" t="s">
        <v>104</v>
      </c>
      <c r="E663" s="10" t="s">
        <v>52</v>
      </c>
      <c r="F663" s="661" t="s">
        <v>39</v>
      </c>
      <c r="G663" s="662" t="s">
        <v>45</v>
      </c>
      <c r="H663" s="662" t="s">
        <v>37</v>
      </c>
      <c r="I663" s="663" t="s">
        <v>44</v>
      </c>
      <c r="J663" s="10"/>
      <c r="K663" s="24">
        <f t="shared" si="89"/>
        <v>6685.2</v>
      </c>
      <c r="L663" s="24">
        <f t="shared" si="89"/>
        <v>0</v>
      </c>
      <c r="M663" s="24">
        <f t="shared" si="89"/>
        <v>6685.2</v>
      </c>
    </row>
    <row r="664" spans="1:13" s="112" customFormat="1" ht="126" customHeight="1" x14ac:dyDescent="0.35">
      <c r="A664" s="11"/>
      <c r="B664" s="498" t="s">
        <v>288</v>
      </c>
      <c r="C664" s="23" t="s">
        <v>427</v>
      </c>
      <c r="D664" s="10" t="s">
        <v>104</v>
      </c>
      <c r="E664" s="10" t="s">
        <v>52</v>
      </c>
      <c r="F664" s="661" t="s">
        <v>39</v>
      </c>
      <c r="G664" s="662" t="s">
        <v>45</v>
      </c>
      <c r="H664" s="662" t="s">
        <v>37</v>
      </c>
      <c r="I664" s="663" t="s">
        <v>289</v>
      </c>
      <c r="J664" s="10"/>
      <c r="K664" s="24">
        <f>K665+K666</f>
        <v>6685.2</v>
      </c>
      <c r="L664" s="24">
        <f>L665+L666</f>
        <v>0</v>
      </c>
      <c r="M664" s="24">
        <f>M665+M666</f>
        <v>6685.2</v>
      </c>
    </row>
    <row r="665" spans="1:13" s="112" customFormat="1" ht="54" customHeight="1" x14ac:dyDescent="0.35">
      <c r="A665" s="11"/>
      <c r="B665" s="498" t="s">
        <v>55</v>
      </c>
      <c r="C665" s="23" t="s">
        <v>427</v>
      </c>
      <c r="D665" s="10" t="s">
        <v>104</v>
      </c>
      <c r="E665" s="10" t="s">
        <v>52</v>
      </c>
      <c r="F665" s="661" t="s">
        <v>39</v>
      </c>
      <c r="G665" s="662" t="s">
        <v>45</v>
      </c>
      <c r="H665" s="662" t="s">
        <v>37</v>
      </c>
      <c r="I665" s="663" t="s">
        <v>289</v>
      </c>
      <c r="J665" s="10" t="s">
        <v>56</v>
      </c>
      <c r="K665" s="24">
        <f>92.9+5.8</f>
        <v>98.7</v>
      </c>
      <c r="L665" s="24">
        <f>M665-K665</f>
        <v>0</v>
      </c>
      <c r="M665" s="24">
        <f>92.9+5.8</f>
        <v>98.7</v>
      </c>
    </row>
    <row r="666" spans="1:13" s="112" customFormat="1" ht="36" customHeight="1" x14ac:dyDescent="0.35">
      <c r="A666" s="11"/>
      <c r="B666" s="505" t="s">
        <v>120</v>
      </c>
      <c r="C666" s="23" t="s">
        <v>427</v>
      </c>
      <c r="D666" s="10" t="s">
        <v>104</v>
      </c>
      <c r="E666" s="10" t="s">
        <v>52</v>
      </c>
      <c r="F666" s="661" t="s">
        <v>39</v>
      </c>
      <c r="G666" s="662" t="s">
        <v>45</v>
      </c>
      <c r="H666" s="662" t="s">
        <v>37</v>
      </c>
      <c r="I666" s="663" t="s">
        <v>289</v>
      </c>
      <c r="J666" s="10" t="s">
        <v>121</v>
      </c>
      <c r="K666" s="24">
        <f>6200+386.5</f>
        <v>6586.5</v>
      </c>
      <c r="L666" s="24">
        <f>M666-K666</f>
        <v>0</v>
      </c>
      <c r="M666" s="24">
        <f>6200+386.5</f>
        <v>6586.5</v>
      </c>
    </row>
    <row r="667" spans="1:13" s="124" customFormat="1" ht="18" customHeight="1" x14ac:dyDescent="0.35">
      <c r="A667" s="599"/>
      <c r="B667" s="534"/>
      <c r="C667" s="143"/>
      <c r="D667" s="144"/>
      <c r="E667" s="144"/>
      <c r="F667" s="145"/>
      <c r="G667" s="146"/>
      <c r="H667" s="146"/>
      <c r="I667" s="147"/>
      <c r="J667" s="144"/>
      <c r="K667" s="123"/>
      <c r="L667" s="123"/>
      <c r="M667" s="123"/>
    </row>
    <row r="668" spans="1:13" s="111" customFormat="1" ht="52.2" customHeight="1" x14ac:dyDescent="0.3">
      <c r="A668" s="110">
        <v>6</v>
      </c>
      <c r="B668" s="558" t="s">
        <v>9</v>
      </c>
      <c r="C668" s="18" t="s">
        <v>319</v>
      </c>
      <c r="D668" s="19"/>
      <c r="E668" s="19"/>
      <c r="F668" s="20"/>
      <c r="G668" s="21"/>
      <c r="H668" s="21"/>
      <c r="I668" s="22"/>
      <c r="J668" s="19"/>
      <c r="K668" s="32">
        <f>K676+K698+K669</f>
        <v>144875.80000000002</v>
      </c>
      <c r="L668" s="32">
        <f>L676+L698+L669</f>
        <v>7.9336537339713686E-13</v>
      </c>
      <c r="M668" s="32">
        <f>M676+M698+M669</f>
        <v>144875.80000000002</v>
      </c>
    </row>
    <row r="669" spans="1:13" s="111" customFormat="1" ht="18" customHeight="1" x14ac:dyDescent="0.35">
      <c r="A669" s="110"/>
      <c r="B669" s="498" t="s">
        <v>36</v>
      </c>
      <c r="C669" s="23" t="s">
        <v>319</v>
      </c>
      <c r="D669" s="28" t="s">
        <v>37</v>
      </c>
      <c r="E669" s="19"/>
      <c r="F669" s="20"/>
      <c r="G669" s="21"/>
      <c r="H669" s="21"/>
      <c r="I669" s="22"/>
      <c r="J669" s="19"/>
      <c r="K669" s="194">
        <f>K670</f>
        <v>54.1</v>
      </c>
      <c r="L669" s="194">
        <f>L670</f>
        <v>0</v>
      </c>
      <c r="M669" s="194">
        <f>M670</f>
        <v>54.1</v>
      </c>
    </row>
    <row r="670" spans="1:13" s="111" customFormat="1" ht="18" customHeight="1" x14ac:dyDescent="0.35">
      <c r="A670" s="110"/>
      <c r="B670" s="498" t="s">
        <v>70</v>
      </c>
      <c r="C670" s="23" t="s">
        <v>319</v>
      </c>
      <c r="D670" s="28" t="s">
        <v>37</v>
      </c>
      <c r="E670" s="28" t="s">
        <v>71</v>
      </c>
      <c r="F670" s="20"/>
      <c r="G670" s="21"/>
      <c r="H670" s="21"/>
      <c r="I670" s="22"/>
      <c r="J670" s="19"/>
      <c r="K670" s="194">
        <f>K672</f>
        <v>54.1</v>
      </c>
      <c r="L670" s="194">
        <f>L672</f>
        <v>0</v>
      </c>
      <c r="M670" s="194">
        <f>M672</f>
        <v>54.1</v>
      </c>
    </row>
    <row r="671" spans="1:13" s="111" customFormat="1" ht="54" customHeight="1" x14ac:dyDescent="0.35">
      <c r="A671" s="110"/>
      <c r="B671" s="538" t="s">
        <v>213</v>
      </c>
      <c r="C671" s="23" t="s">
        <v>319</v>
      </c>
      <c r="D671" s="10" t="s">
        <v>37</v>
      </c>
      <c r="E671" s="10" t="s">
        <v>71</v>
      </c>
      <c r="F671" s="661" t="s">
        <v>63</v>
      </c>
      <c r="G671" s="662" t="s">
        <v>42</v>
      </c>
      <c r="H671" s="662" t="s">
        <v>43</v>
      </c>
      <c r="I671" s="663" t="s">
        <v>44</v>
      </c>
      <c r="J671" s="19"/>
      <c r="K671" s="194">
        <f t="shared" ref="K671:M672" si="90">K672</f>
        <v>54.1</v>
      </c>
      <c r="L671" s="194">
        <f t="shared" si="90"/>
        <v>0</v>
      </c>
      <c r="M671" s="194">
        <f t="shared" si="90"/>
        <v>54.1</v>
      </c>
    </row>
    <row r="672" spans="1:13" s="111" customFormat="1" ht="54" customHeight="1" x14ac:dyDescent="0.35">
      <c r="A672" s="110"/>
      <c r="B672" s="498" t="s">
        <v>216</v>
      </c>
      <c r="C672" s="23" t="s">
        <v>319</v>
      </c>
      <c r="D672" s="28" t="s">
        <v>37</v>
      </c>
      <c r="E672" s="28" t="s">
        <v>71</v>
      </c>
      <c r="F672" s="191" t="s">
        <v>63</v>
      </c>
      <c r="G672" s="192" t="s">
        <v>30</v>
      </c>
      <c r="H672" s="192" t="s">
        <v>43</v>
      </c>
      <c r="I672" s="193" t="s">
        <v>44</v>
      </c>
      <c r="J672" s="19"/>
      <c r="K672" s="194">
        <f t="shared" si="90"/>
        <v>54.1</v>
      </c>
      <c r="L672" s="194">
        <f t="shared" si="90"/>
        <v>0</v>
      </c>
      <c r="M672" s="194">
        <f t="shared" si="90"/>
        <v>54.1</v>
      </c>
    </row>
    <row r="673" spans="1:13" s="111" customFormat="1" ht="36" customHeight="1" x14ac:dyDescent="0.35">
      <c r="A673" s="110"/>
      <c r="B673" s="498" t="s">
        <v>356</v>
      </c>
      <c r="C673" s="23" t="s">
        <v>319</v>
      </c>
      <c r="D673" s="28" t="s">
        <v>37</v>
      </c>
      <c r="E673" s="28" t="s">
        <v>71</v>
      </c>
      <c r="F673" s="191" t="s">
        <v>63</v>
      </c>
      <c r="G673" s="192" t="s">
        <v>30</v>
      </c>
      <c r="H673" s="192" t="s">
        <v>39</v>
      </c>
      <c r="I673" s="193" t="s">
        <v>44</v>
      </c>
      <c r="J673" s="19"/>
      <c r="K673" s="194">
        <f t="shared" ref="K673:M674" si="91">K674</f>
        <v>54.1</v>
      </c>
      <c r="L673" s="194">
        <f t="shared" si="91"/>
        <v>0</v>
      </c>
      <c r="M673" s="194">
        <f t="shared" si="91"/>
        <v>54.1</v>
      </c>
    </row>
    <row r="674" spans="1:13" s="111" customFormat="1" ht="54" customHeight="1" x14ac:dyDescent="0.35">
      <c r="A674" s="110"/>
      <c r="B674" s="498" t="s">
        <v>357</v>
      </c>
      <c r="C674" s="23" t="s">
        <v>319</v>
      </c>
      <c r="D674" s="28" t="s">
        <v>37</v>
      </c>
      <c r="E674" s="28" t="s">
        <v>71</v>
      </c>
      <c r="F674" s="191" t="s">
        <v>63</v>
      </c>
      <c r="G674" s="192" t="s">
        <v>30</v>
      </c>
      <c r="H674" s="192" t="s">
        <v>39</v>
      </c>
      <c r="I674" s="193" t="s">
        <v>105</v>
      </c>
      <c r="J674" s="19"/>
      <c r="K674" s="194">
        <f t="shared" si="91"/>
        <v>54.1</v>
      </c>
      <c r="L674" s="194">
        <f t="shared" si="91"/>
        <v>0</v>
      </c>
      <c r="M674" s="194">
        <f t="shared" si="91"/>
        <v>54.1</v>
      </c>
    </row>
    <row r="675" spans="1:13" s="111" customFormat="1" ht="54" customHeight="1" x14ac:dyDescent="0.35">
      <c r="A675" s="110"/>
      <c r="B675" s="498" t="s">
        <v>55</v>
      </c>
      <c r="C675" s="23" t="s">
        <v>319</v>
      </c>
      <c r="D675" s="28" t="s">
        <v>37</v>
      </c>
      <c r="E675" s="28" t="s">
        <v>71</v>
      </c>
      <c r="F675" s="191" t="s">
        <v>63</v>
      </c>
      <c r="G675" s="192" t="s">
        <v>30</v>
      </c>
      <c r="H675" s="192" t="s">
        <v>39</v>
      </c>
      <c r="I675" s="193" t="s">
        <v>105</v>
      </c>
      <c r="J675" s="28" t="s">
        <v>56</v>
      </c>
      <c r="K675" s="194">
        <v>54.1</v>
      </c>
      <c r="L675" s="24">
        <f>M675-K675</f>
        <v>0</v>
      </c>
      <c r="M675" s="194">
        <v>54.1</v>
      </c>
    </row>
    <row r="676" spans="1:13" s="7" customFormat="1" ht="18" customHeight="1" x14ac:dyDescent="0.35">
      <c r="A676" s="11"/>
      <c r="B676" s="538" t="s">
        <v>179</v>
      </c>
      <c r="C676" s="23" t="s">
        <v>319</v>
      </c>
      <c r="D676" s="10" t="s">
        <v>224</v>
      </c>
      <c r="E676" s="10"/>
      <c r="F676" s="661"/>
      <c r="G676" s="662"/>
      <c r="H676" s="662"/>
      <c r="I676" s="663"/>
      <c r="J676" s="10"/>
      <c r="K676" s="24">
        <f>K677+K689</f>
        <v>77441.700000000012</v>
      </c>
      <c r="L676" s="24">
        <f>L677+L689</f>
        <v>0</v>
      </c>
      <c r="M676" s="24">
        <f>M677+M689</f>
        <v>77441.700000000012</v>
      </c>
    </row>
    <row r="677" spans="1:13" s="111" customFormat="1" ht="18" customHeight="1" x14ac:dyDescent="0.35">
      <c r="A677" s="11"/>
      <c r="B677" s="538" t="s">
        <v>354</v>
      </c>
      <c r="C677" s="23" t="s">
        <v>319</v>
      </c>
      <c r="D677" s="10" t="s">
        <v>224</v>
      </c>
      <c r="E677" s="10" t="s">
        <v>63</v>
      </c>
      <c r="F677" s="661"/>
      <c r="G677" s="662"/>
      <c r="H677" s="662"/>
      <c r="I677" s="663"/>
      <c r="J677" s="10"/>
      <c r="K677" s="24">
        <f t="shared" ref="K677:M678" si="92">K678</f>
        <v>76691.100000000006</v>
      </c>
      <c r="L677" s="24">
        <f t="shared" si="92"/>
        <v>0</v>
      </c>
      <c r="M677" s="24">
        <f t="shared" si="92"/>
        <v>76691.100000000006</v>
      </c>
    </row>
    <row r="678" spans="1:13" s="111" customFormat="1" ht="54" customHeight="1" x14ac:dyDescent="0.35">
      <c r="A678" s="11"/>
      <c r="B678" s="538" t="s">
        <v>213</v>
      </c>
      <c r="C678" s="23" t="s">
        <v>319</v>
      </c>
      <c r="D678" s="10" t="s">
        <v>224</v>
      </c>
      <c r="E678" s="10" t="s">
        <v>63</v>
      </c>
      <c r="F678" s="661" t="s">
        <v>63</v>
      </c>
      <c r="G678" s="662" t="s">
        <v>42</v>
      </c>
      <c r="H678" s="662" t="s">
        <v>43</v>
      </c>
      <c r="I678" s="663" t="s">
        <v>44</v>
      </c>
      <c r="J678" s="10"/>
      <c r="K678" s="24">
        <f t="shared" si="92"/>
        <v>76691.100000000006</v>
      </c>
      <c r="L678" s="24">
        <f t="shared" si="92"/>
        <v>0</v>
      </c>
      <c r="M678" s="24">
        <f t="shared" si="92"/>
        <v>76691.100000000006</v>
      </c>
    </row>
    <row r="679" spans="1:13" s="111" customFormat="1" ht="72" customHeight="1" x14ac:dyDescent="0.35">
      <c r="A679" s="11"/>
      <c r="B679" s="538" t="s">
        <v>214</v>
      </c>
      <c r="C679" s="23" t="s">
        <v>319</v>
      </c>
      <c r="D679" s="10" t="s">
        <v>224</v>
      </c>
      <c r="E679" s="10" t="s">
        <v>63</v>
      </c>
      <c r="F679" s="661" t="s">
        <v>63</v>
      </c>
      <c r="G679" s="662" t="s">
        <v>45</v>
      </c>
      <c r="H679" s="662" t="s">
        <v>43</v>
      </c>
      <c r="I679" s="663" t="s">
        <v>44</v>
      </c>
      <c r="J679" s="10"/>
      <c r="K679" s="24">
        <f>K680</f>
        <v>76691.100000000006</v>
      </c>
      <c r="L679" s="24">
        <f>L680</f>
        <v>0</v>
      </c>
      <c r="M679" s="24">
        <f>M680</f>
        <v>76691.100000000006</v>
      </c>
    </row>
    <row r="680" spans="1:13" s="111" customFormat="1" ht="36" customHeight="1" x14ac:dyDescent="0.35">
      <c r="A680" s="11"/>
      <c r="B680" s="538" t="s">
        <v>281</v>
      </c>
      <c r="C680" s="23" t="s">
        <v>319</v>
      </c>
      <c r="D680" s="10" t="s">
        <v>224</v>
      </c>
      <c r="E680" s="10" t="s">
        <v>63</v>
      </c>
      <c r="F680" s="661" t="s">
        <v>63</v>
      </c>
      <c r="G680" s="662" t="s">
        <v>45</v>
      </c>
      <c r="H680" s="662" t="s">
        <v>37</v>
      </c>
      <c r="I680" s="663" t="s">
        <v>44</v>
      </c>
      <c r="J680" s="10"/>
      <c r="K680" s="24">
        <f>K681+K685+K683+K687</f>
        <v>76691.100000000006</v>
      </c>
      <c r="L680" s="24">
        <f>L681+L685+L683+L687</f>
        <v>0</v>
      </c>
      <c r="M680" s="24">
        <f>M681+M685+M683+M687</f>
        <v>76691.100000000006</v>
      </c>
    </row>
    <row r="681" spans="1:13" s="111" customFormat="1" ht="36" customHeight="1" x14ac:dyDescent="0.35">
      <c r="A681" s="11"/>
      <c r="B681" s="531" t="s">
        <v>466</v>
      </c>
      <c r="C681" s="23" t="s">
        <v>319</v>
      </c>
      <c r="D681" s="10" t="s">
        <v>224</v>
      </c>
      <c r="E681" s="10" t="s">
        <v>63</v>
      </c>
      <c r="F681" s="661" t="s">
        <v>63</v>
      </c>
      <c r="G681" s="662" t="s">
        <v>45</v>
      </c>
      <c r="H681" s="662" t="s">
        <v>37</v>
      </c>
      <c r="I681" s="663" t="s">
        <v>91</v>
      </c>
      <c r="J681" s="10"/>
      <c r="K681" s="24">
        <f>K682</f>
        <v>60082</v>
      </c>
      <c r="L681" s="24">
        <f>L682</f>
        <v>0</v>
      </c>
      <c r="M681" s="24">
        <f>M682</f>
        <v>60082</v>
      </c>
    </row>
    <row r="682" spans="1:13" s="7" customFormat="1" ht="54" customHeight="1" x14ac:dyDescent="0.35">
      <c r="A682" s="11"/>
      <c r="B682" s="505" t="s">
        <v>76</v>
      </c>
      <c r="C682" s="23" t="s">
        <v>319</v>
      </c>
      <c r="D682" s="10" t="s">
        <v>224</v>
      </c>
      <c r="E682" s="10" t="s">
        <v>63</v>
      </c>
      <c r="F682" s="661" t="s">
        <v>63</v>
      </c>
      <c r="G682" s="662" t="s">
        <v>45</v>
      </c>
      <c r="H682" s="662" t="s">
        <v>37</v>
      </c>
      <c r="I682" s="663" t="s">
        <v>91</v>
      </c>
      <c r="J682" s="10" t="s">
        <v>77</v>
      </c>
      <c r="K682" s="24">
        <f>56997.1+186.2+126.9+1050.4+292.9+88+504.2+836.3</f>
        <v>60082</v>
      </c>
      <c r="L682" s="24">
        <f>M682-K682</f>
        <v>0</v>
      </c>
      <c r="M682" s="24">
        <f>56997.1+186.2+126.9+1050.4+292.9+88+504.2+836.3</f>
        <v>60082</v>
      </c>
    </row>
    <row r="683" spans="1:13" s="7" customFormat="1" ht="18" customHeight="1" x14ac:dyDescent="0.35">
      <c r="A683" s="11"/>
      <c r="B683" s="505" t="s">
        <v>467</v>
      </c>
      <c r="C683" s="23" t="s">
        <v>319</v>
      </c>
      <c r="D683" s="10" t="s">
        <v>224</v>
      </c>
      <c r="E683" s="10" t="s">
        <v>63</v>
      </c>
      <c r="F683" s="661" t="s">
        <v>63</v>
      </c>
      <c r="G683" s="662" t="s">
        <v>45</v>
      </c>
      <c r="H683" s="662" t="s">
        <v>37</v>
      </c>
      <c r="I683" s="663" t="s">
        <v>384</v>
      </c>
      <c r="J683" s="10"/>
      <c r="K683" s="24">
        <f>K684</f>
        <v>6347.8</v>
      </c>
      <c r="L683" s="24">
        <f>L684</f>
        <v>-182.80000000000018</v>
      </c>
      <c r="M683" s="24">
        <f>M684</f>
        <v>6165</v>
      </c>
    </row>
    <row r="684" spans="1:13" s="7" customFormat="1" ht="54" customHeight="1" x14ac:dyDescent="0.35">
      <c r="A684" s="11"/>
      <c r="B684" s="505" t="s">
        <v>76</v>
      </c>
      <c r="C684" s="23" t="s">
        <v>319</v>
      </c>
      <c r="D684" s="10" t="s">
        <v>224</v>
      </c>
      <c r="E684" s="10" t="s">
        <v>63</v>
      </c>
      <c r="F684" s="661" t="s">
        <v>63</v>
      </c>
      <c r="G684" s="662" t="s">
        <v>45</v>
      </c>
      <c r="H684" s="662" t="s">
        <v>37</v>
      </c>
      <c r="I684" s="663" t="s">
        <v>384</v>
      </c>
      <c r="J684" s="10" t="s">
        <v>77</v>
      </c>
      <c r="K684" s="24">
        <f>3380.6+28.4+2046.7+127.1-318.5+1470.7-119-147-121.2</f>
        <v>6347.8</v>
      </c>
      <c r="L684" s="24">
        <f>M684-K684</f>
        <v>-182.80000000000018</v>
      </c>
      <c r="M684" s="24">
        <f>3380.6+28.4+2046.7+127.1-318.5+1470.7-119-147-121.2-182.8</f>
        <v>6165</v>
      </c>
    </row>
    <row r="685" spans="1:13" s="7" customFormat="1" ht="36" customHeight="1" x14ac:dyDescent="0.35">
      <c r="A685" s="11"/>
      <c r="B685" s="505" t="s">
        <v>320</v>
      </c>
      <c r="C685" s="23" t="s">
        <v>319</v>
      </c>
      <c r="D685" s="10" t="s">
        <v>224</v>
      </c>
      <c r="E685" s="10" t="s">
        <v>63</v>
      </c>
      <c r="F685" s="661" t="s">
        <v>63</v>
      </c>
      <c r="G685" s="662" t="s">
        <v>45</v>
      </c>
      <c r="H685" s="662" t="s">
        <v>37</v>
      </c>
      <c r="I685" s="663" t="s">
        <v>321</v>
      </c>
      <c r="J685" s="10"/>
      <c r="K685" s="24">
        <f>K686</f>
        <v>6966.7</v>
      </c>
      <c r="L685" s="24">
        <f>L686</f>
        <v>182.80000000000018</v>
      </c>
      <c r="M685" s="24">
        <f>M686</f>
        <v>7149.5</v>
      </c>
    </row>
    <row r="686" spans="1:13" s="7" customFormat="1" ht="54" customHeight="1" x14ac:dyDescent="0.35">
      <c r="A686" s="11"/>
      <c r="B686" s="505" t="s">
        <v>76</v>
      </c>
      <c r="C686" s="23" t="s">
        <v>319</v>
      </c>
      <c r="D686" s="10" t="s">
        <v>224</v>
      </c>
      <c r="E686" s="10" t="s">
        <v>63</v>
      </c>
      <c r="F686" s="661" t="s">
        <v>63</v>
      </c>
      <c r="G686" s="662" t="s">
        <v>45</v>
      </c>
      <c r="H686" s="662" t="s">
        <v>37</v>
      </c>
      <c r="I686" s="663" t="s">
        <v>321</v>
      </c>
      <c r="J686" s="10" t="s">
        <v>77</v>
      </c>
      <c r="K686" s="24">
        <f>5517+600+12.6+131.4+318.5+55.9+63.1+147+55.8+65.4</f>
        <v>6966.7</v>
      </c>
      <c r="L686" s="24">
        <f>M686-K686</f>
        <v>182.80000000000018</v>
      </c>
      <c r="M686" s="24">
        <f>5517+600+12.6+131.4+318.5+55.9+63.1+147+55.8+65.4+182.8</f>
        <v>7149.5</v>
      </c>
    </row>
    <row r="687" spans="1:13" s="7" customFormat="1" ht="54" customHeight="1" x14ac:dyDescent="0.35">
      <c r="A687" s="11"/>
      <c r="B687" s="566" t="s">
        <v>696</v>
      </c>
      <c r="C687" s="23" t="s">
        <v>319</v>
      </c>
      <c r="D687" s="10" t="s">
        <v>224</v>
      </c>
      <c r="E687" s="10" t="s">
        <v>63</v>
      </c>
      <c r="F687" s="661" t="s">
        <v>63</v>
      </c>
      <c r="G687" s="662" t="s">
        <v>45</v>
      </c>
      <c r="H687" s="662" t="s">
        <v>37</v>
      </c>
      <c r="I687" s="663" t="s">
        <v>695</v>
      </c>
      <c r="J687" s="10"/>
      <c r="K687" s="24">
        <f>K688</f>
        <v>3294.6</v>
      </c>
      <c r="L687" s="24">
        <f>L688</f>
        <v>0</v>
      </c>
      <c r="M687" s="24">
        <f>M688</f>
        <v>3294.6</v>
      </c>
    </row>
    <row r="688" spans="1:13" s="7" customFormat="1" ht="54" customHeight="1" x14ac:dyDescent="0.35">
      <c r="A688" s="11"/>
      <c r="B688" s="505" t="s">
        <v>76</v>
      </c>
      <c r="C688" s="23" t="s">
        <v>319</v>
      </c>
      <c r="D688" s="10" t="s">
        <v>224</v>
      </c>
      <c r="E688" s="10" t="s">
        <v>63</v>
      </c>
      <c r="F688" s="661" t="s">
        <v>63</v>
      </c>
      <c r="G688" s="662" t="s">
        <v>45</v>
      </c>
      <c r="H688" s="662" t="s">
        <v>37</v>
      </c>
      <c r="I688" s="663" t="s">
        <v>695</v>
      </c>
      <c r="J688" s="10" t="s">
        <v>77</v>
      </c>
      <c r="K688" s="24">
        <f>750+2544.6</f>
        <v>3294.6</v>
      </c>
      <c r="L688" s="24">
        <f>M688-K688</f>
        <v>0</v>
      </c>
      <c r="M688" s="24">
        <f>750+2544.6</f>
        <v>3294.6</v>
      </c>
    </row>
    <row r="689" spans="1:13" s="7" customFormat="1" ht="18" customHeight="1" x14ac:dyDescent="0.35">
      <c r="A689" s="11"/>
      <c r="B689" s="498" t="s">
        <v>186</v>
      </c>
      <c r="C689" s="23" t="s">
        <v>319</v>
      </c>
      <c r="D689" s="10" t="s">
        <v>224</v>
      </c>
      <c r="E689" s="10" t="s">
        <v>79</v>
      </c>
      <c r="F689" s="661"/>
      <c r="G689" s="662"/>
      <c r="H689" s="662"/>
      <c r="I689" s="663"/>
      <c r="J689" s="10"/>
      <c r="K689" s="24">
        <f t="shared" ref="K689:M693" si="93">K690</f>
        <v>750.6</v>
      </c>
      <c r="L689" s="24">
        <f t="shared" si="93"/>
        <v>0</v>
      </c>
      <c r="M689" s="24">
        <f t="shared" si="93"/>
        <v>750.6</v>
      </c>
    </row>
    <row r="690" spans="1:13" s="7" customFormat="1" ht="54" customHeight="1" x14ac:dyDescent="0.35">
      <c r="A690" s="11"/>
      <c r="B690" s="538" t="s">
        <v>213</v>
      </c>
      <c r="C690" s="23" t="s">
        <v>319</v>
      </c>
      <c r="D690" s="10" t="s">
        <v>224</v>
      </c>
      <c r="E690" s="10" t="s">
        <v>79</v>
      </c>
      <c r="F690" s="661" t="s">
        <v>63</v>
      </c>
      <c r="G690" s="662" t="s">
        <v>42</v>
      </c>
      <c r="H690" s="662" t="s">
        <v>43</v>
      </c>
      <c r="I690" s="663" t="s">
        <v>44</v>
      </c>
      <c r="J690" s="10"/>
      <c r="K690" s="24">
        <f t="shared" si="93"/>
        <v>750.6</v>
      </c>
      <c r="L690" s="24">
        <f t="shared" si="93"/>
        <v>0</v>
      </c>
      <c r="M690" s="24">
        <f t="shared" si="93"/>
        <v>750.6</v>
      </c>
    </row>
    <row r="691" spans="1:13" s="7" customFormat="1" ht="72" customHeight="1" x14ac:dyDescent="0.35">
      <c r="A691" s="11"/>
      <c r="B691" s="538" t="s">
        <v>214</v>
      </c>
      <c r="C691" s="23" t="s">
        <v>319</v>
      </c>
      <c r="D691" s="10" t="s">
        <v>224</v>
      </c>
      <c r="E691" s="10" t="s">
        <v>79</v>
      </c>
      <c r="F691" s="661" t="s">
        <v>63</v>
      </c>
      <c r="G691" s="662" t="s">
        <v>45</v>
      </c>
      <c r="H691" s="662" t="s">
        <v>43</v>
      </c>
      <c r="I691" s="663" t="s">
        <v>44</v>
      </c>
      <c r="J691" s="10"/>
      <c r="K691" s="24">
        <f>K692+K695</f>
        <v>750.6</v>
      </c>
      <c r="L691" s="24">
        <f>L692+L695</f>
        <v>0</v>
      </c>
      <c r="M691" s="24">
        <f>M692+M695</f>
        <v>750.6</v>
      </c>
    </row>
    <row r="692" spans="1:13" s="7" customFormat="1" ht="18" customHeight="1" x14ac:dyDescent="0.35">
      <c r="A692" s="11"/>
      <c r="B692" s="505" t="s">
        <v>282</v>
      </c>
      <c r="C692" s="23" t="s">
        <v>319</v>
      </c>
      <c r="D692" s="10" t="s">
        <v>224</v>
      </c>
      <c r="E692" s="10" t="s">
        <v>79</v>
      </c>
      <c r="F692" s="661" t="s">
        <v>63</v>
      </c>
      <c r="G692" s="662" t="s">
        <v>45</v>
      </c>
      <c r="H692" s="662" t="s">
        <v>39</v>
      </c>
      <c r="I692" s="663" t="s">
        <v>44</v>
      </c>
      <c r="J692" s="10"/>
      <c r="K692" s="24">
        <f t="shared" si="93"/>
        <v>450</v>
      </c>
      <c r="L692" s="24">
        <f t="shared" si="93"/>
        <v>0</v>
      </c>
      <c r="M692" s="24">
        <f t="shared" si="93"/>
        <v>450</v>
      </c>
    </row>
    <row r="693" spans="1:13" s="7" customFormat="1" ht="36" customHeight="1" x14ac:dyDescent="0.35">
      <c r="A693" s="11"/>
      <c r="B693" s="505" t="s">
        <v>211</v>
      </c>
      <c r="C693" s="23" t="s">
        <v>319</v>
      </c>
      <c r="D693" s="10" t="s">
        <v>224</v>
      </c>
      <c r="E693" s="10" t="s">
        <v>79</v>
      </c>
      <c r="F693" s="661" t="s">
        <v>63</v>
      </c>
      <c r="G693" s="662" t="s">
        <v>45</v>
      </c>
      <c r="H693" s="662" t="s">
        <v>39</v>
      </c>
      <c r="I693" s="663" t="s">
        <v>284</v>
      </c>
      <c r="J693" s="10"/>
      <c r="K693" s="24">
        <f t="shared" si="93"/>
        <v>450</v>
      </c>
      <c r="L693" s="24">
        <f t="shared" si="93"/>
        <v>0</v>
      </c>
      <c r="M693" s="24">
        <f t="shared" si="93"/>
        <v>450</v>
      </c>
    </row>
    <row r="694" spans="1:13" s="7" customFormat="1" ht="36" customHeight="1" x14ac:dyDescent="0.35">
      <c r="A694" s="11"/>
      <c r="B694" s="505" t="s">
        <v>120</v>
      </c>
      <c r="C694" s="23" t="s">
        <v>319</v>
      </c>
      <c r="D694" s="10" t="s">
        <v>224</v>
      </c>
      <c r="E694" s="10" t="s">
        <v>79</v>
      </c>
      <c r="F694" s="661" t="s">
        <v>63</v>
      </c>
      <c r="G694" s="662" t="s">
        <v>45</v>
      </c>
      <c r="H694" s="662" t="s">
        <v>39</v>
      </c>
      <c r="I694" s="663" t="s">
        <v>284</v>
      </c>
      <c r="J694" s="10" t="s">
        <v>121</v>
      </c>
      <c r="K694" s="24">
        <f>375+75</f>
        <v>450</v>
      </c>
      <c r="L694" s="24">
        <f>M694-K694</f>
        <v>0</v>
      </c>
      <c r="M694" s="24">
        <f>375+75</f>
        <v>450</v>
      </c>
    </row>
    <row r="695" spans="1:13" s="7" customFormat="1" ht="54" customHeight="1" x14ac:dyDescent="0.35">
      <c r="A695" s="11"/>
      <c r="B695" s="505" t="s">
        <v>286</v>
      </c>
      <c r="C695" s="23" t="s">
        <v>319</v>
      </c>
      <c r="D695" s="10" t="s">
        <v>224</v>
      </c>
      <c r="E695" s="10" t="s">
        <v>79</v>
      </c>
      <c r="F695" s="661" t="s">
        <v>63</v>
      </c>
      <c r="G695" s="662" t="s">
        <v>45</v>
      </c>
      <c r="H695" s="662" t="s">
        <v>65</v>
      </c>
      <c r="I695" s="663" t="s">
        <v>44</v>
      </c>
      <c r="J695" s="10"/>
      <c r="K695" s="24">
        <f t="shared" ref="K695:M696" si="94">K696</f>
        <v>300.60000000000002</v>
      </c>
      <c r="L695" s="24">
        <f t="shared" si="94"/>
        <v>0</v>
      </c>
      <c r="M695" s="24">
        <f t="shared" si="94"/>
        <v>300.60000000000002</v>
      </c>
    </row>
    <row r="696" spans="1:13" s="7" customFormat="1" ht="36" customHeight="1" x14ac:dyDescent="0.35">
      <c r="A696" s="11"/>
      <c r="B696" s="505" t="s">
        <v>472</v>
      </c>
      <c r="C696" s="23" t="s">
        <v>319</v>
      </c>
      <c r="D696" s="10" t="s">
        <v>224</v>
      </c>
      <c r="E696" s="10" t="s">
        <v>79</v>
      </c>
      <c r="F696" s="661" t="s">
        <v>63</v>
      </c>
      <c r="G696" s="662" t="s">
        <v>45</v>
      </c>
      <c r="H696" s="662" t="s">
        <v>65</v>
      </c>
      <c r="I696" s="663" t="s">
        <v>471</v>
      </c>
      <c r="J696" s="10"/>
      <c r="K696" s="24">
        <f t="shared" si="94"/>
        <v>300.60000000000002</v>
      </c>
      <c r="L696" s="24">
        <f t="shared" si="94"/>
        <v>0</v>
      </c>
      <c r="M696" s="24">
        <f t="shared" si="94"/>
        <v>300.60000000000002</v>
      </c>
    </row>
    <row r="697" spans="1:13" s="7" customFormat="1" ht="54" customHeight="1" x14ac:dyDescent="0.35">
      <c r="A697" s="11"/>
      <c r="B697" s="505" t="s">
        <v>76</v>
      </c>
      <c r="C697" s="23" t="s">
        <v>319</v>
      </c>
      <c r="D697" s="10" t="s">
        <v>224</v>
      </c>
      <c r="E697" s="10" t="s">
        <v>79</v>
      </c>
      <c r="F697" s="661" t="s">
        <v>63</v>
      </c>
      <c r="G697" s="662" t="s">
        <v>45</v>
      </c>
      <c r="H697" s="662" t="s">
        <v>65</v>
      </c>
      <c r="I697" s="663" t="s">
        <v>471</v>
      </c>
      <c r="J697" s="10" t="s">
        <v>77</v>
      </c>
      <c r="K697" s="24">
        <v>300.60000000000002</v>
      </c>
      <c r="L697" s="24">
        <f>M697-K697</f>
        <v>0</v>
      </c>
      <c r="M697" s="24">
        <v>300.60000000000002</v>
      </c>
    </row>
    <row r="698" spans="1:13" s="7" customFormat="1" ht="18" customHeight="1" x14ac:dyDescent="0.35">
      <c r="A698" s="11"/>
      <c r="B698" s="498" t="s">
        <v>188</v>
      </c>
      <c r="C698" s="23" t="s">
        <v>319</v>
      </c>
      <c r="D698" s="10" t="s">
        <v>226</v>
      </c>
      <c r="E698" s="10"/>
      <c r="F698" s="661"/>
      <c r="G698" s="662"/>
      <c r="H698" s="662"/>
      <c r="I698" s="663"/>
      <c r="J698" s="10"/>
      <c r="K698" s="24">
        <f>K699+K734</f>
        <v>67380</v>
      </c>
      <c r="L698" s="24">
        <f>L699+L734</f>
        <v>7.9336537339713686E-13</v>
      </c>
      <c r="M698" s="24">
        <f>M699+M734</f>
        <v>67380</v>
      </c>
    </row>
    <row r="699" spans="1:13" s="7" customFormat="1" ht="18" customHeight="1" x14ac:dyDescent="0.35">
      <c r="A699" s="11"/>
      <c r="B699" s="498" t="s">
        <v>190</v>
      </c>
      <c r="C699" s="23" t="s">
        <v>319</v>
      </c>
      <c r="D699" s="10" t="s">
        <v>226</v>
      </c>
      <c r="E699" s="10" t="s">
        <v>37</v>
      </c>
      <c r="F699" s="661"/>
      <c r="G699" s="662"/>
      <c r="H699" s="662"/>
      <c r="I699" s="663"/>
      <c r="J699" s="10"/>
      <c r="K699" s="24">
        <f>K700</f>
        <v>54957.999999999993</v>
      </c>
      <c r="L699" s="24">
        <f>L700</f>
        <v>7.9336537339713686E-13</v>
      </c>
      <c r="M699" s="24">
        <f>M700</f>
        <v>54957.999999999993</v>
      </c>
    </row>
    <row r="700" spans="1:13" s="7" customFormat="1" ht="54" customHeight="1" x14ac:dyDescent="0.35">
      <c r="A700" s="11"/>
      <c r="B700" s="538" t="s">
        <v>213</v>
      </c>
      <c r="C700" s="23" t="s">
        <v>319</v>
      </c>
      <c r="D700" s="10" t="s">
        <v>226</v>
      </c>
      <c r="E700" s="10" t="s">
        <v>37</v>
      </c>
      <c r="F700" s="661" t="s">
        <v>63</v>
      </c>
      <c r="G700" s="662" t="s">
        <v>42</v>
      </c>
      <c r="H700" s="662" t="s">
        <v>43</v>
      </c>
      <c r="I700" s="663" t="s">
        <v>44</v>
      </c>
      <c r="J700" s="10"/>
      <c r="K700" s="24">
        <f>K701+K727</f>
        <v>54957.999999999993</v>
      </c>
      <c r="L700" s="24">
        <f>L701+L727</f>
        <v>7.9336537339713686E-13</v>
      </c>
      <c r="M700" s="24">
        <f>M701+M727</f>
        <v>54957.999999999993</v>
      </c>
    </row>
    <row r="701" spans="1:13" s="7" customFormat="1" ht="72" customHeight="1" x14ac:dyDescent="0.35">
      <c r="A701" s="11"/>
      <c r="B701" s="538" t="s">
        <v>214</v>
      </c>
      <c r="C701" s="23" t="s">
        <v>319</v>
      </c>
      <c r="D701" s="10" t="s">
        <v>226</v>
      </c>
      <c r="E701" s="10" t="s">
        <v>37</v>
      </c>
      <c r="F701" s="27" t="s">
        <v>63</v>
      </c>
      <c r="G701" s="88" t="s">
        <v>45</v>
      </c>
      <c r="H701" s="88" t="s">
        <v>43</v>
      </c>
      <c r="I701" s="89" t="s">
        <v>44</v>
      </c>
      <c r="J701" s="90"/>
      <c r="K701" s="24">
        <f>K702+K715</f>
        <v>53094.799999999996</v>
      </c>
      <c r="L701" s="24">
        <f>L702+L715</f>
        <v>7.9336537339713686E-13</v>
      </c>
      <c r="M701" s="24">
        <f>M702+M715</f>
        <v>53094.799999999996</v>
      </c>
    </row>
    <row r="702" spans="1:13" s="7" customFormat="1" ht="18" customHeight="1" x14ac:dyDescent="0.35">
      <c r="A702" s="11"/>
      <c r="B702" s="498" t="s">
        <v>322</v>
      </c>
      <c r="C702" s="23" t="s">
        <v>319</v>
      </c>
      <c r="D702" s="10" t="s">
        <v>226</v>
      </c>
      <c r="E702" s="10" t="s">
        <v>37</v>
      </c>
      <c r="F702" s="27" t="s">
        <v>63</v>
      </c>
      <c r="G702" s="88" t="s">
        <v>45</v>
      </c>
      <c r="H702" s="88" t="s">
        <v>63</v>
      </c>
      <c r="I702" s="89" t="s">
        <v>44</v>
      </c>
      <c r="J702" s="90"/>
      <c r="K702" s="24">
        <f>K703+K705+K707+K709+K713+K711</f>
        <v>15615</v>
      </c>
      <c r="L702" s="24">
        <f>L703+L705+L707+L709+L713+L711</f>
        <v>0</v>
      </c>
      <c r="M702" s="24">
        <f>M703+M705+M707+M709+M713+M711</f>
        <v>15615</v>
      </c>
    </row>
    <row r="703" spans="1:13" s="7" customFormat="1" ht="36" customHeight="1" x14ac:dyDescent="0.35">
      <c r="A703" s="11"/>
      <c r="B703" s="531" t="s">
        <v>466</v>
      </c>
      <c r="C703" s="23" t="s">
        <v>319</v>
      </c>
      <c r="D703" s="10" t="s">
        <v>226</v>
      </c>
      <c r="E703" s="10" t="s">
        <v>37</v>
      </c>
      <c r="F703" s="27" t="s">
        <v>63</v>
      </c>
      <c r="G703" s="88" t="s">
        <v>45</v>
      </c>
      <c r="H703" s="88" t="s">
        <v>63</v>
      </c>
      <c r="I703" s="89" t="s">
        <v>91</v>
      </c>
      <c r="J703" s="90"/>
      <c r="K703" s="24">
        <f>K704</f>
        <v>13184.900000000001</v>
      </c>
      <c r="L703" s="24">
        <f>L704</f>
        <v>0</v>
      </c>
      <c r="M703" s="24">
        <f>M704</f>
        <v>13184.900000000001</v>
      </c>
    </row>
    <row r="704" spans="1:13" s="7" customFormat="1" ht="54" customHeight="1" x14ac:dyDescent="0.35">
      <c r="A704" s="11"/>
      <c r="B704" s="505" t="s">
        <v>76</v>
      </c>
      <c r="C704" s="23" t="s">
        <v>319</v>
      </c>
      <c r="D704" s="10" t="s">
        <v>226</v>
      </c>
      <c r="E704" s="10" t="s">
        <v>37</v>
      </c>
      <c r="F704" s="661" t="s">
        <v>63</v>
      </c>
      <c r="G704" s="662" t="s">
        <v>45</v>
      </c>
      <c r="H704" s="662" t="s">
        <v>63</v>
      </c>
      <c r="I704" s="663" t="s">
        <v>91</v>
      </c>
      <c r="J704" s="10" t="s">
        <v>77</v>
      </c>
      <c r="K704" s="24">
        <f>12748.6+78.6+28+84.6+285.5+77.6+81.1-191.5-7.6</f>
        <v>13184.900000000001</v>
      </c>
      <c r="L704" s="24">
        <f>M704-K704</f>
        <v>0</v>
      </c>
      <c r="M704" s="24">
        <f>12748.6+78.6+28+84.6+285.5+77.6+81.1-191.5-7.6</f>
        <v>13184.900000000001</v>
      </c>
    </row>
    <row r="705" spans="1:13" s="7" customFormat="1" ht="18" customHeight="1" x14ac:dyDescent="0.35">
      <c r="A705" s="11"/>
      <c r="B705" s="504" t="s">
        <v>467</v>
      </c>
      <c r="C705" s="23" t="s">
        <v>319</v>
      </c>
      <c r="D705" s="10" t="s">
        <v>226</v>
      </c>
      <c r="E705" s="10" t="s">
        <v>37</v>
      </c>
      <c r="F705" s="661" t="s">
        <v>63</v>
      </c>
      <c r="G705" s="662" t="s">
        <v>45</v>
      </c>
      <c r="H705" s="662" t="s">
        <v>63</v>
      </c>
      <c r="I705" s="663" t="s">
        <v>384</v>
      </c>
      <c r="J705" s="10"/>
      <c r="K705" s="24">
        <f>K706</f>
        <v>396.3</v>
      </c>
      <c r="L705" s="24">
        <f>L706</f>
        <v>0</v>
      </c>
      <c r="M705" s="24">
        <f>M706</f>
        <v>396.3</v>
      </c>
    </row>
    <row r="706" spans="1:13" s="7" customFormat="1" ht="54" customHeight="1" x14ac:dyDescent="0.35">
      <c r="A706" s="11"/>
      <c r="B706" s="505" t="s">
        <v>76</v>
      </c>
      <c r="C706" s="23" t="s">
        <v>319</v>
      </c>
      <c r="D706" s="10" t="s">
        <v>226</v>
      </c>
      <c r="E706" s="10" t="s">
        <v>37</v>
      </c>
      <c r="F706" s="661" t="s">
        <v>63</v>
      </c>
      <c r="G706" s="662" t="s">
        <v>45</v>
      </c>
      <c r="H706" s="662" t="s">
        <v>63</v>
      </c>
      <c r="I706" s="663" t="s">
        <v>384</v>
      </c>
      <c r="J706" s="10" t="s">
        <v>77</v>
      </c>
      <c r="K706" s="24">
        <f>335+61.3</f>
        <v>396.3</v>
      </c>
      <c r="L706" s="24">
        <f>M706-K706</f>
        <v>0</v>
      </c>
      <c r="M706" s="24">
        <f>335+61.3</f>
        <v>396.3</v>
      </c>
    </row>
    <row r="707" spans="1:13" s="7" customFormat="1" ht="36" customHeight="1" x14ac:dyDescent="0.35">
      <c r="A707" s="11"/>
      <c r="B707" s="505" t="s">
        <v>320</v>
      </c>
      <c r="C707" s="23" t="s">
        <v>319</v>
      </c>
      <c r="D707" s="10" t="s">
        <v>226</v>
      </c>
      <c r="E707" s="10" t="s">
        <v>37</v>
      </c>
      <c r="F707" s="27" t="s">
        <v>63</v>
      </c>
      <c r="G707" s="88" t="s">
        <v>45</v>
      </c>
      <c r="H707" s="88" t="s">
        <v>63</v>
      </c>
      <c r="I707" s="89" t="s">
        <v>321</v>
      </c>
      <c r="J707" s="90"/>
      <c r="K707" s="24">
        <f>K708</f>
        <v>476.59999999999997</v>
      </c>
      <c r="L707" s="24">
        <f>L708</f>
        <v>0</v>
      </c>
      <c r="M707" s="24">
        <f>M708</f>
        <v>476.59999999999997</v>
      </c>
    </row>
    <row r="708" spans="1:13" s="7" customFormat="1" ht="54" customHeight="1" x14ac:dyDescent="0.35">
      <c r="A708" s="11"/>
      <c r="B708" s="505" t="s">
        <v>76</v>
      </c>
      <c r="C708" s="23" t="s">
        <v>319</v>
      </c>
      <c r="D708" s="10" t="s">
        <v>226</v>
      </c>
      <c r="E708" s="10" t="s">
        <v>37</v>
      </c>
      <c r="F708" s="27" t="s">
        <v>63</v>
      </c>
      <c r="G708" s="88" t="s">
        <v>45</v>
      </c>
      <c r="H708" s="88" t="s">
        <v>63</v>
      </c>
      <c r="I708" s="89" t="s">
        <v>321</v>
      </c>
      <c r="J708" s="90" t="s">
        <v>77</v>
      </c>
      <c r="K708" s="24">
        <f>162.2+314.4</f>
        <v>476.59999999999997</v>
      </c>
      <c r="L708" s="24">
        <f>M708-K708</f>
        <v>0</v>
      </c>
      <c r="M708" s="24">
        <f>162.2+314.4</f>
        <v>476.59999999999997</v>
      </c>
    </row>
    <row r="709" spans="1:13" s="7" customFormat="1" ht="54" customHeight="1" x14ac:dyDescent="0.35">
      <c r="A709" s="11"/>
      <c r="B709" s="505" t="s">
        <v>215</v>
      </c>
      <c r="C709" s="23" t="s">
        <v>319</v>
      </c>
      <c r="D709" s="10" t="s">
        <v>226</v>
      </c>
      <c r="E709" s="10" t="s">
        <v>37</v>
      </c>
      <c r="F709" s="661" t="s">
        <v>63</v>
      </c>
      <c r="G709" s="662" t="s">
        <v>45</v>
      </c>
      <c r="H709" s="662" t="s">
        <v>63</v>
      </c>
      <c r="I709" s="663" t="s">
        <v>323</v>
      </c>
      <c r="J709" s="10"/>
      <c r="K709" s="24">
        <f>K710</f>
        <v>512</v>
      </c>
      <c r="L709" s="24">
        <f>L710</f>
        <v>0</v>
      </c>
      <c r="M709" s="24">
        <f>M710</f>
        <v>512</v>
      </c>
    </row>
    <row r="710" spans="1:13" s="7" customFormat="1" ht="54" customHeight="1" x14ac:dyDescent="0.35">
      <c r="A710" s="11"/>
      <c r="B710" s="505" t="s">
        <v>76</v>
      </c>
      <c r="C710" s="23" t="s">
        <v>319</v>
      </c>
      <c r="D710" s="10" t="s">
        <v>226</v>
      </c>
      <c r="E710" s="10" t="s">
        <v>37</v>
      </c>
      <c r="F710" s="661" t="s">
        <v>63</v>
      </c>
      <c r="G710" s="662" t="s">
        <v>45</v>
      </c>
      <c r="H710" s="662" t="s">
        <v>63</v>
      </c>
      <c r="I710" s="663" t="s">
        <v>323</v>
      </c>
      <c r="J710" s="10" t="s">
        <v>77</v>
      </c>
      <c r="K710" s="24">
        <v>512</v>
      </c>
      <c r="L710" s="24">
        <f>M710-K710</f>
        <v>0</v>
      </c>
      <c r="M710" s="24">
        <v>512</v>
      </c>
    </row>
    <row r="711" spans="1:13" s="7" customFormat="1" ht="54" customHeight="1" x14ac:dyDescent="0.35">
      <c r="A711" s="11"/>
      <c r="B711" s="566" t="s">
        <v>696</v>
      </c>
      <c r="C711" s="23" t="s">
        <v>319</v>
      </c>
      <c r="D711" s="10" t="s">
        <v>226</v>
      </c>
      <c r="E711" s="10" t="s">
        <v>37</v>
      </c>
      <c r="F711" s="661" t="s">
        <v>63</v>
      </c>
      <c r="G711" s="662" t="s">
        <v>45</v>
      </c>
      <c r="H711" s="662" t="s">
        <v>63</v>
      </c>
      <c r="I711" s="663" t="s">
        <v>695</v>
      </c>
      <c r="J711" s="10"/>
      <c r="K711" s="24">
        <f>K712</f>
        <v>493.8</v>
      </c>
      <c r="L711" s="24">
        <f>L712</f>
        <v>0</v>
      </c>
      <c r="M711" s="24">
        <f>M712</f>
        <v>493.8</v>
      </c>
    </row>
    <row r="712" spans="1:13" s="7" customFormat="1" ht="54" customHeight="1" x14ac:dyDescent="0.35">
      <c r="A712" s="11"/>
      <c r="B712" s="505" t="s">
        <v>76</v>
      </c>
      <c r="C712" s="23" t="s">
        <v>319</v>
      </c>
      <c r="D712" s="10" t="s">
        <v>226</v>
      </c>
      <c r="E712" s="10" t="s">
        <v>37</v>
      </c>
      <c r="F712" s="661" t="s">
        <v>63</v>
      </c>
      <c r="G712" s="662" t="s">
        <v>45</v>
      </c>
      <c r="H712" s="662" t="s">
        <v>63</v>
      </c>
      <c r="I712" s="663" t="s">
        <v>695</v>
      </c>
      <c r="J712" s="10" t="s">
        <v>77</v>
      </c>
      <c r="K712" s="24">
        <v>493.8</v>
      </c>
      <c r="L712" s="24">
        <f>M712-K712</f>
        <v>0</v>
      </c>
      <c r="M712" s="24">
        <v>493.8</v>
      </c>
    </row>
    <row r="713" spans="1:13" s="7" customFormat="1" ht="18" customHeight="1" x14ac:dyDescent="0.35">
      <c r="A713" s="11"/>
      <c r="B713" s="505" t="s">
        <v>570</v>
      </c>
      <c r="C713" s="23" t="s">
        <v>319</v>
      </c>
      <c r="D713" s="10" t="s">
        <v>226</v>
      </c>
      <c r="E713" s="10" t="s">
        <v>37</v>
      </c>
      <c r="F713" s="661" t="s">
        <v>63</v>
      </c>
      <c r="G713" s="662" t="s">
        <v>45</v>
      </c>
      <c r="H713" s="662" t="s">
        <v>63</v>
      </c>
      <c r="I713" s="663" t="s">
        <v>569</v>
      </c>
      <c r="J713" s="10"/>
      <c r="K713" s="24">
        <f>K714</f>
        <v>551.4</v>
      </c>
      <c r="L713" s="24">
        <f>L714</f>
        <v>0</v>
      </c>
      <c r="M713" s="24">
        <f>M714</f>
        <v>551.4</v>
      </c>
    </row>
    <row r="714" spans="1:13" s="7" customFormat="1" ht="54" customHeight="1" x14ac:dyDescent="0.35">
      <c r="A714" s="11"/>
      <c r="B714" s="505" t="s">
        <v>76</v>
      </c>
      <c r="C714" s="23" t="s">
        <v>319</v>
      </c>
      <c r="D714" s="10" t="s">
        <v>226</v>
      </c>
      <c r="E714" s="10" t="s">
        <v>37</v>
      </c>
      <c r="F714" s="661" t="s">
        <v>63</v>
      </c>
      <c r="G714" s="662" t="s">
        <v>45</v>
      </c>
      <c r="H714" s="662" t="s">
        <v>63</v>
      </c>
      <c r="I714" s="663" t="s">
        <v>569</v>
      </c>
      <c r="J714" s="10" t="s">
        <v>77</v>
      </c>
      <c r="K714" s="24">
        <f>496.2+55.2</f>
        <v>551.4</v>
      </c>
      <c r="L714" s="24">
        <f>M714-K714</f>
        <v>0</v>
      </c>
      <c r="M714" s="24">
        <f>496.2+55.2</f>
        <v>551.4</v>
      </c>
    </row>
    <row r="715" spans="1:13" s="7" customFormat="1" ht="36" customHeight="1" x14ac:dyDescent="0.35">
      <c r="A715" s="11"/>
      <c r="B715" s="505" t="s">
        <v>324</v>
      </c>
      <c r="C715" s="23" t="s">
        <v>319</v>
      </c>
      <c r="D715" s="10" t="s">
        <v>226</v>
      </c>
      <c r="E715" s="10" t="s">
        <v>37</v>
      </c>
      <c r="F715" s="27" t="s">
        <v>63</v>
      </c>
      <c r="G715" s="88" t="s">
        <v>45</v>
      </c>
      <c r="H715" s="88" t="s">
        <v>52</v>
      </c>
      <c r="I715" s="663" t="s">
        <v>44</v>
      </c>
      <c r="J715" s="10"/>
      <c r="K715" s="24">
        <f>K716+K721+K725+K723</f>
        <v>37479.799999999996</v>
      </c>
      <c r="L715" s="24">
        <f>L716+L721+L725+L723</f>
        <v>7.9336537339713686E-13</v>
      </c>
      <c r="M715" s="24">
        <f>M716+M721+M725+M723</f>
        <v>37479.799999999996</v>
      </c>
    </row>
    <row r="716" spans="1:13" s="7" customFormat="1" ht="36" customHeight="1" x14ac:dyDescent="0.35">
      <c r="A716" s="11"/>
      <c r="B716" s="531" t="s">
        <v>466</v>
      </c>
      <c r="C716" s="23" t="s">
        <v>319</v>
      </c>
      <c r="D716" s="10" t="s">
        <v>226</v>
      </c>
      <c r="E716" s="10" t="s">
        <v>37</v>
      </c>
      <c r="F716" s="27" t="s">
        <v>63</v>
      </c>
      <c r="G716" s="88" t="s">
        <v>45</v>
      </c>
      <c r="H716" s="88" t="s">
        <v>52</v>
      </c>
      <c r="I716" s="89" t="s">
        <v>91</v>
      </c>
      <c r="J716" s="90"/>
      <c r="K716" s="24">
        <f>K717+K718+K720</f>
        <v>16890.3</v>
      </c>
      <c r="L716" s="24">
        <f>L717+L718+L720+L719</f>
        <v>7.9336537339713686E-13</v>
      </c>
      <c r="M716" s="24">
        <f>M717+M718+M720+M719</f>
        <v>16890.3</v>
      </c>
    </row>
    <row r="717" spans="1:13" s="7" customFormat="1" ht="108" customHeight="1" x14ac:dyDescent="0.35">
      <c r="A717" s="11"/>
      <c r="B717" s="498" t="s">
        <v>49</v>
      </c>
      <c r="C717" s="23" t="s">
        <v>319</v>
      </c>
      <c r="D717" s="10" t="s">
        <v>226</v>
      </c>
      <c r="E717" s="10" t="s">
        <v>37</v>
      </c>
      <c r="F717" s="661" t="s">
        <v>63</v>
      </c>
      <c r="G717" s="662" t="s">
        <v>45</v>
      </c>
      <c r="H717" s="662" t="s">
        <v>52</v>
      </c>
      <c r="I717" s="663" t="s">
        <v>91</v>
      </c>
      <c r="J717" s="10" t="s">
        <v>50</v>
      </c>
      <c r="K717" s="24">
        <f>12177.3+92.1+526.4+959.3+1863.1</f>
        <v>15618.199999999999</v>
      </c>
      <c r="L717" s="24">
        <f>M717-K717</f>
        <v>-1.5718199999992066</v>
      </c>
      <c r="M717" s="24">
        <f>12177.3+92.1+526.4+959.3+1863.1-1.57182</f>
        <v>15616.62818</v>
      </c>
    </row>
    <row r="718" spans="1:13" s="7" customFormat="1" ht="54" customHeight="1" x14ac:dyDescent="0.35">
      <c r="A718" s="11"/>
      <c r="B718" s="498" t="s">
        <v>55</v>
      </c>
      <c r="C718" s="23" t="s">
        <v>319</v>
      </c>
      <c r="D718" s="10" t="s">
        <v>226</v>
      </c>
      <c r="E718" s="10" t="s">
        <v>37</v>
      </c>
      <c r="F718" s="661" t="s">
        <v>63</v>
      </c>
      <c r="G718" s="662" t="s">
        <v>45</v>
      </c>
      <c r="H718" s="662" t="s">
        <v>52</v>
      </c>
      <c r="I718" s="663" t="s">
        <v>91</v>
      </c>
      <c r="J718" s="10" t="s">
        <v>56</v>
      </c>
      <c r="K718" s="24">
        <f>1106.6-6.8+125.3</f>
        <v>1225.0999999999999</v>
      </c>
      <c r="L718" s="24">
        <f>M718-K718</f>
        <v>0</v>
      </c>
      <c r="M718" s="24">
        <f>1106.6-6.8+125.3</f>
        <v>1225.0999999999999</v>
      </c>
    </row>
    <row r="719" spans="1:13" s="7" customFormat="1" ht="36" x14ac:dyDescent="0.35">
      <c r="A719" s="11"/>
      <c r="B719" s="505" t="s">
        <v>120</v>
      </c>
      <c r="C719" s="23" t="s">
        <v>319</v>
      </c>
      <c r="D719" s="10" t="s">
        <v>226</v>
      </c>
      <c r="E719" s="10" t="s">
        <v>37</v>
      </c>
      <c r="F719" s="661" t="s">
        <v>63</v>
      </c>
      <c r="G719" s="662" t="s">
        <v>45</v>
      </c>
      <c r="H719" s="662" t="s">
        <v>52</v>
      </c>
      <c r="I719" s="663" t="s">
        <v>91</v>
      </c>
      <c r="J719" s="10" t="s">
        <v>121</v>
      </c>
      <c r="K719" s="24"/>
      <c r="L719" s="24">
        <f>M719-K719</f>
        <v>1.57182</v>
      </c>
      <c r="M719" s="24">
        <v>1.57182</v>
      </c>
    </row>
    <row r="720" spans="1:13" s="7" customFormat="1" ht="18" customHeight="1" x14ac:dyDescent="0.35">
      <c r="A720" s="11"/>
      <c r="B720" s="498" t="s">
        <v>57</v>
      </c>
      <c r="C720" s="23" t="s">
        <v>319</v>
      </c>
      <c r="D720" s="10" t="s">
        <v>226</v>
      </c>
      <c r="E720" s="10" t="s">
        <v>37</v>
      </c>
      <c r="F720" s="661" t="s">
        <v>63</v>
      </c>
      <c r="G720" s="662" t="s">
        <v>45</v>
      </c>
      <c r="H720" s="662" t="s">
        <v>52</v>
      </c>
      <c r="I720" s="663" t="s">
        <v>91</v>
      </c>
      <c r="J720" s="10" t="s">
        <v>58</v>
      </c>
      <c r="K720" s="24">
        <f>40.2+6.8</f>
        <v>47</v>
      </c>
      <c r="L720" s="24">
        <f>M720-K720</f>
        <v>0</v>
      </c>
      <c r="M720" s="24">
        <f>40.2+6.8</f>
        <v>47</v>
      </c>
    </row>
    <row r="721" spans="1:13" s="7" customFormat="1" ht="54" customHeight="1" x14ac:dyDescent="0.35">
      <c r="A721" s="11"/>
      <c r="B721" s="505" t="s">
        <v>76</v>
      </c>
      <c r="C721" s="23" t="s">
        <v>319</v>
      </c>
      <c r="D721" s="10" t="s">
        <v>226</v>
      </c>
      <c r="E721" s="10" t="s">
        <v>37</v>
      </c>
      <c r="F721" s="661" t="s">
        <v>63</v>
      </c>
      <c r="G721" s="662" t="s">
        <v>45</v>
      </c>
      <c r="H721" s="662" t="s">
        <v>52</v>
      </c>
      <c r="I721" s="663" t="s">
        <v>384</v>
      </c>
      <c r="J721" s="10"/>
      <c r="K721" s="24">
        <f>K722</f>
        <v>833.3</v>
      </c>
      <c r="L721" s="24">
        <f>L722</f>
        <v>0</v>
      </c>
      <c r="M721" s="24">
        <f>M722</f>
        <v>833.3</v>
      </c>
    </row>
    <row r="722" spans="1:13" s="7" customFormat="1" ht="54" customHeight="1" x14ac:dyDescent="0.35">
      <c r="A722" s="11"/>
      <c r="B722" s="498" t="s">
        <v>55</v>
      </c>
      <c r="C722" s="23" t="s">
        <v>319</v>
      </c>
      <c r="D722" s="10" t="s">
        <v>226</v>
      </c>
      <c r="E722" s="10" t="s">
        <v>37</v>
      </c>
      <c r="F722" s="661" t="s">
        <v>63</v>
      </c>
      <c r="G722" s="662" t="s">
        <v>45</v>
      </c>
      <c r="H722" s="662" t="s">
        <v>52</v>
      </c>
      <c r="I722" s="663" t="s">
        <v>384</v>
      </c>
      <c r="J722" s="10" t="s">
        <v>56</v>
      </c>
      <c r="K722" s="24">
        <f>735.8+97.5</f>
        <v>833.3</v>
      </c>
      <c r="L722" s="24">
        <f>M722-K722</f>
        <v>0</v>
      </c>
      <c r="M722" s="24">
        <f>735.8+97.5</f>
        <v>833.3</v>
      </c>
    </row>
    <row r="723" spans="1:13" s="7" customFormat="1" ht="54" customHeight="1" x14ac:dyDescent="0.35">
      <c r="A723" s="11"/>
      <c r="B723" s="566" t="s">
        <v>696</v>
      </c>
      <c r="C723" s="23" t="s">
        <v>319</v>
      </c>
      <c r="D723" s="10" t="s">
        <v>226</v>
      </c>
      <c r="E723" s="10" t="s">
        <v>37</v>
      </c>
      <c r="F723" s="661" t="s">
        <v>63</v>
      </c>
      <c r="G723" s="662" t="s">
        <v>45</v>
      </c>
      <c r="H723" s="662" t="s">
        <v>52</v>
      </c>
      <c r="I723" s="663" t="s">
        <v>695</v>
      </c>
      <c r="J723" s="10"/>
      <c r="K723" s="24">
        <f>K724</f>
        <v>1656.2</v>
      </c>
      <c r="L723" s="24">
        <f>L724</f>
        <v>0</v>
      </c>
      <c r="M723" s="24">
        <f>M724</f>
        <v>1656.2</v>
      </c>
    </row>
    <row r="724" spans="1:13" s="7" customFormat="1" ht="54" customHeight="1" x14ac:dyDescent="0.35">
      <c r="A724" s="11"/>
      <c r="B724" s="498" t="s">
        <v>55</v>
      </c>
      <c r="C724" s="23" t="s">
        <v>319</v>
      </c>
      <c r="D724" s="10" t="s">
        <v>226</v>
      </c>
      <c r="E724" s="10" t="s">
        <v>37</v>
      </c>
      <c r="F724" s="661" t="s">
        <v>63</v>
      </c>
      <c r="G724" s="662" t="s">
        <v>45</v>
      </c>
      <c r="H724" s="662" t="s">
        <v>52</v>
      </c>
      <c r="I724" s="663" t="s">
        <v>695</v>
      </c>
      <c r="J724" s="10" t="s">
        <v>56</v>
      </c>
      <c r="K724" s="24">
        <f>856.2+800</f>
        <v>1656.2</v>
      </c>
      <c r="L724" s="24">
        <f>M724-K724</f>
        <v>0</v>
      </c>
      <c r="M724" s="24">
        <f>856.2+800</f>
        <v>1656.2</v>
      </c>
    </row>
    <row r="725" spans="1:13" s="7" customFormat="1" ht="90" customHeight="1" x14ac:dyDescent="0.35">
      <c r="A725" s="11"/>
      <c r="B725" s="566" t="s">
        <v>628</v>
      </c>
      <c r="C725" s="23" t="s">
        <v>319</v>
      </c>
      <c r="D725" s="10" t="s">
        <v>226</v>
      </c>
      <c r="E725" s="10" t="s">
        <v>37</v>
      </c>
      <c r="F725" s="661" t="s">
        <v>63</v>
      </c>
      <c r="G725" s="662" t="s">
        <v>45</v>
      </c>
      <c r="H725" s="662" t="s">
        <v>52</v>
      </c>
      <c r="I725" s="663" t="s">
        <v>629</v>
      </c>
      <c r="J725" s="10"/>
      <c r="K725" s="24">
        <f>K726</f>
        <v>18100</v>
      </c>
      <c r="L725" s="24">
        <f>L726</f>
        <v>0</v>
      </c>
      <c r="M725" s="24">
        <f>M726</f>
        <v>18100</v>
      </c>
    </row>
    <row r="726" spans="1:13" s="7" customFormat="1" ht="54" customHeight="1" x14ac:dyDescent="0.35">
      <c r="A726" s="11"/>
      <c r="B726" s="566" t="s">
        <v>55</v>
      </c>
      <c r="C726" s="23" t="s">
        <v>319</v>
      </c>
      <c r="D726" s="10" t="s">
        <v>226</v>
      </c>
      <c r="E726" s="10" t="s">
        <v>37</v>
      </c>
      <c r="F726" s="661" t="s">
        <v>63</v>
      </c>
      <c r="G726" s="662" t="s">
        <v>45</v>
      </c>
      <c r="H726" s="662" t="s">
        <v>52</v>
      </c>
      <c r="I726" s="663" t="s">
        <v>629</v>
      </c>
      <c r="J726" s="10" t="s">
        <v>56</v>
      </c>
      <c r="K726" s="24">
        <f>16290+1810</f>
        <v>18100</v>
      </c>
      <c r="L726" s="24">
        <f>M726-K726</f>
        <v>0</v>
      </c>
      <c r="M726" s="24">
        <f>16290+1810</f>
        <v>18100</v>
      </c>
    </row>
    <row r="727" spans="1:13" s="7" customFormat="1" ht="54" customHeight="1" x14ac:dyDescent="0.35">
      <c r="A727" s="11"/>
      <c r="B727" s="498" t="s">
        <v>332</v>
      </c>
      <c r="C727" s="23" t="s">
        <v>319</v>
      </c>
      <c r="D727" s="10" t="s">
        <v>226</v>
      </c>
      <c r="E727" s="10" t="s">
        <v>37</v>
      </c>
      <c r="F727" s="27" t="s">
        <v>63</v>
      </c>
      <c r="G727" s="88" t="s">
        <v>89</v>
      </c>
      <c r="H727" s="88" t="s">
        <v>43</v>
      </c>
      <c r="I727" s="663" t="s">
        <v>44</v>
      </c>
      <c r="J727" s="10"/>
      <c r="K727" s="24">
        <f>K728</f>
        <v>1863.2</v>
      </c>
      <c r="L727" s="24">
        <f>L728</f>
        <v>0</v>
      </c>
      <c r="M727" s="24">
        <f>M728</f>
        <v>1863.2</v>
      </c>
    </row>
    <row r="728" spans="1:13" s="7" customFormat="1" ht="90" customHeight="1" x14ac:dyDescent="0.35">
      <c r="A728" s="11"/>
      <c r="B728" s="505" t="s">
        <v>325</v>
      </c>
      <c r="C728" s="23" t="s">
        <v>319</v>
      </c>
      <c r="D728" s="10" t="s">
        <v>226</v>
      </c>
      <c r="E728" s="10" t="s">
        <v>37</v>
      </c>
      <c r="F728" s="27" t="s">
        <v>63</v>
      </c>
      <c r="G728" s="88" t="s">
        <v>89</v>
      </c>
      <c r="H728" s="88" t="s">
        <v>63</v>
      </c>
      <c r="I728" s="663" t="s">
        <v>44</v>
      </c>
      <c r="J728" s="10"/>
      <c r="K728" s="24">
        <f>K729+K732</f>
        <v>1863.2</v>
      </c>
      <c r="L728" s="24">
        <f>L729+L732</f>
        <v>0</v>
      </c>
      <c r="M728" s="24">
        <f>M729+M732</f>
        <v>1863.2</v>
      </c>
    </row>
    <row r="729" spans="1:13" s="7" customFormat="1" ht="36" customHeight="1" x14ac:dyDescent="0.35">
      <c r="A729" s="11"/>
      <c r="B729" s="505" t="s">
        <v>320</v>
      </c>
      <c r="C729" s="23" t="s">
        <v>319</v>
      </c>
      <c r="D729" s="10" t="s">
        <v>226</v>
      </c>
      <c r="E729" s="10" t="s">
        <v>37</v>
      </c>
      <c r="F729" s="27" t="s">
        <v>63</v>
      </c>
      <c r="G729" s="88" t="s">
        <v>89</v>
      </c>
      <c r="H729" s="88" t="s">
        <v>63</v>
      </c>
      <c r="I729" s="89" t="s">
        <v>321</v>
      </c>
      <c r="J729" s="90"/>
      <c r="K729" s="24">
        <f>K731+K730</f>
        <v>1821.0940000000001</v>
      </c>
      <c r="L729" s="24">
        <f>L731+L730</f>
        <v>0</v>
      </c>
      <c r="M729" s="24">
        <f>M731+M730</f>
        <v>1821.0940000000001</v>
      </c>
    </row>
    <row r="730" spans="1:13" s="7" customFormat="1" ht="54" customHeight="1" x14ac:dyDescent="0.35">
      <c r="A730" s="11"/>
      <c r="B730" s="505" t="s">
        <v>55</v>
      </c>
      <c r="C730" s="23" t="s">
        <v>319</v>
      </c>
      <c r="D730" s="10" t="s">
        <v>226</v>
      </c>
      <c r="E730" s="10" t="s">
        <v>37</v>
      </c>
      <c r="F730" s="27" t="s">
        <v>63</v>
      </c>
      <c r="G730" s="88" t="s">
        <v>89</v>
      </c>
      <c r="H730" s="88" t="s">
        <v>63</v>
      </c>
      <c r="I730" s="89" t="s">
        <v>321</v>
      </c>
      <c r="J730" s="90" t="s">
        <v>56</v>
      </c>
      <c r="K730" s="24">
        <f>377.8+9.9+854+360-227</f>
        <v>1374.7</v>
      </c>
      <c r="L730" s="24">
        <f>M730-K730</f>
        <v>0</v>
      </c>
      <c r="M730" s="24">
        <f>377.8+9.9+854+360-227</f>
        <v>1374.7</v>
      </c>
    </row>
    <row r="731" spans="1:13" s="7" customFormat="1" ht="54" customHeight="1" x14ac:dyDescent="0.35">
      <c r="A731" s="11"/>
      <c r="B731" s="505" t="s">
        <v>76</v>
      </c>
      <c r="C731" s="23" t="s">
        <v>319</v>
      </c>
      <c r="D731" s="10" t="s">
        <v>226</v>
      </c>
      <c r="E731" s="10" t="s">
        <v>37</v>
      </c>
      <c r="F731" s="661" t="s">
        <v>63</v>
      </c>
      <c r="G731" s="662" t="s">
        <v>89</v>
      </c>
      <c r="H731" s="662" t="s">
        <v>63</v>
      </c>
      <c r="I731" s="663" t="s">
        <v>321</v>
      </c>
      <c r="J731" s="10" t="s">
        <v>77</v>
      </c>
      <c r="K731" s="24">
        <f>17.9-0.006+428.5</f>
        <v>446.39400000000001</v>
      </c>
      <c r="L731" s="24">
        <f>M731-K731</f>
        <v>0</v>
      </c>
      <c r="M731" s="24">
        <f>17.9-0.006+428.5</f>
        <v>446.39400000000001</v>
      </c>
    </row>
    <row r="732" spans="1:13" s="7" customFormat="1" ht="54" customHeight="1" x14ac:dyDescent="0.35">
      <c r="A732" s="11"/>
      <c r="B732" s="505" t="s">
        <v>415</v>
      </c>
      <c r="C732" s="23" t="s">
        <v>319</v>
      </c>
      <c r="D732" s="10" t="s">
        <v>226</v>
      </c>
      <c r="E732" s="10" t="s">
        <v>37</v>
      </c>
      <c r="F732" s="661" t="s">
        <v>63</v>
      </c>
      <c r="G732" s="662" t="s">
        <v>89</v>
      </c>
      <c r="H732" s="662" t="s">
        <v>63</v>
      </c>
      <c r="I732" s="663" t="s">
        <v>416</v>
      </c>
      <c r="J732" s="10"/>
      <c r="K732" s="24">
        <f>K733</f>
        <v>42.106000000000002</v>
      </c>
      <c r="L732" s="24">
        <f>L733</f>
        <v>0</v>
      </c>
      <c r="M732" s="24">
        <f>M733</f>
        <v>42.106000000000002</v>
      </c>
    </row>
    <row r="733" spans="1:13" s="7" customFormat="1" ht="54" customHeight="1" x14ac:dyDescent="0.35">
      <c r="A733" s="11"/>
      <c r="B733" s="505" t="s">
        <v>76</v>
      </c>
      <c r="C733" s="23" t="s">
        <v>319</v>
      </c>
      <c r="D733" s="10" t="s">
        <v>226</v>
      </c>
      <c r="E733" s="10" t="s">
        <v>37</v>
      </c>
      <c r="F733" s="661" t="s">
        <v>63</v>
      </c>
      <c r="G733" s="662" t="s">
        <v>89</v>
      </c>
      <c r="H733" s="662" t="s">
        <v>63</v>
      </c>
      <c r="I733" s="663" t="s">
        <v>416</v>
      </c>
      <c r="J733" s="10" t="s">
        <v>77</v>
      </c>
      <c r="K733" s="24">
        <f>40+2.1+0.006</f>
        <v>42.106000000000002</v>
      </c>
      <c r="L733" s="24">
        <f>M733-K733</f>
        <v>0</v>
      </c>
      <c r="M733" s="24">
        <f>40+2.1+0.006</f>
        <v>42.106000000000002</v>
      </c>
    </row>
    <row r="734" spans="1:13" s="7" customFormat="1" ht="36" customHeight="1" x14ac:dyDescent="0.35">
      <c r="A734" s="11"/>
      <c r="B734" s="498" t="s">
        <v>326</v>
      </c>
      <c r="C734" s="23" t="s">
        <v>319</v>
      </c>
      <c r="D734" s="10" t="s">
        <v>226</v>
      </c>
      <c r="E734" s="10" t="s">
        <v>52</v>
      </c>
      <c r="F734" s="27"/>
      <c r="G734" s="88"/>
      <c r="H734" s="88"/>
      <c r="I734" s="89"/>
      <c r="J734" s="90"/>
      <c r="K734" s="24">
        <f>K735</f>
        <v>12422</v>
      </c>
      <c r="L734" s="24">
        <f>L735</f>
        <v>0</v>
      </c>
      <c r="M734" s="24">
        <f>M735</f>
        <v>12422</v>
      </c>
    </row>
    <row r="735" spans="1:13" s="7" customFormat="1" ht="54" customHeight="1" x14ac:dyDescent="0.35">
      <c r="A735" s="11"/>
      <c r="B735" s="538" t="s">
        <v>213</v>
      </c>
      <c r="C735" s="23" t="s">
        <v>319</v>
      </c>
      <c r="D735" s="10" t="s">
        <v>226</v>
      </c>
      <c r="E735" s="10" t="s">
        <v>52</v>
      </c>
      <c r="F735" s="27" t="s">
        <v>63</v>
      </c>
      <c r="G735" s="88" t="s">
        <v>42</v>
      </c>
      <c r="H735" s="88" t="s">
        <v>43</v>
      </c>
      <c r="I735" s="89" t="s">
        <v>44</v>
      </c>
      <c r="J735" s="90"/>
      <c r="K735" s="24">
        <f>K740+K736</f>
        <v>12422</v>
      </c>
      <c r="L735" s="24">
        <f>L740+L736</f>
        <v>0</v>
      </c>
      <c r="M735" s="24">
        <f>M740+M736</f>
        <v>12422</v>
      </c>
    </row>
    <row r="736" spans="1:13" s="7" customFormat="1" ht="54" customHeight="1" x14ac:dyDescent="0.35">
      <c r="A736" s="11"/>
      <c r="B736" s="498" t="s">
        <v>332</v>
      </c>
      <c r="C736" s="23" t="s">
        <v>319</v>
      </c>
      <c r="D736" s="10" t="s">
        <v>226</v>
      </c>
      <c r="E736" s="10" t="s">
        <v>52</v>
      </c>
      <c r="F736" s="661" t="s">
        <v>63</v>
      </c>
      <c r="G736" s="662" t="s">
        <v>89</v>
      </c>
      <c r="H736" s="662" t="s">
        <v>43</v>
      </c>
      <c r="I736" s="663" t="s">
        <v>44</v>
      </c>
      <c r="J736" s="10"/>
      <c r="K736" s="24">
        <f t="shared" ref="K736:M738" si="95">K737</f>
        <v>900.3</v>
      </c>
      <c r="L736" s="24">
        <f t="shared" si="95"/>
        <v>0</v>
      </c>
      <c r="M736" s="24">
        <f t="shared" si="95"/>
        <v>900.3</v>
      </c>
    </row>
    <row r="737" spans="1:13" s="7" customFormat="1" ht="90" customHeight="1" x14ac:dyDescent="0.35">
      <c r="A737" s="11"/>
      <c r="B737" s="559" t="s">
        <v>325</v>
      </c>
      <c r="C737" s="23" t="s">
        <v>319</v>
      </c>
      <c r="D737" s="10" t="s">
        <v>226</v>
      </c>
      <c r="E737" s="10" t="s">
        <v>52</v>
      </c>
      <c r="F737" s="661" t="s">
        <v>63</v>
      </c>
      <c r="G737" s="662" t="s">
        <v>89</v>
      </c>
      <c r="H737" s="662" t="s">
        <v>63</v>
      </c>
      <c r="I737" s="663" t="s">
        <v>44</v>
      </c>
      <c r="J737" s="10"/>
      <c r="K737" s="24">
        <f t="shared" si="95"/>
        <v>900.3</v>
      </c>
      <c r="L737" s="24">
        <f t="shared" si="95"/>
        <v>0</v>
      </c>
      <c r="M737" s="24">
        <f t="shared" si="95"/>
        <v>900.3</v>
      </c>
    </row>
    <row r="738" spans="1:13" s="7" customFormat="1" ht="36" customHeight="1" x14ac:dyDescent="0.35">
      <c r="A738" s="11"/>
      <c r="B738" s="505" t="s">
        <v>320</v>
      </c>
      <c r="C738" s="23" t="s">
        <v>319</v>
      </c>
      <c r="D738" s="10" t="s">
        <v>226</v>
      </c>
      <c r="E738" s="10" t="s">
        <v>52</v>
      </c>
      <c r="F738" s="661" t="s">
        <v>63</v>
      </c>
      <c r="G738" s="662" t="s">
        <v>89</v>
      </c>
      <c r="H738" s="662" t="s">
        <v>63</v>
      </c>
      <c r="I738" s="663" t="s">
        <v>321</v>
      </c>
      <c r="J738" s="10"/>
      <c r="K738" s="24">
        <f t="shared" si="95"/>
        <v>900.3</v>
      </c>
      <c r="L738" s="24">
        <f t="shared" si="95"/>
        <v>0</v>
      </c>
      <c r="M738" s="24">
        <f t="shared" si="95"/>
        <v>900.3</v>
      </c>
    </row>
    <row r="739" spans="1:13" s="7" customFormat="1" ht="54" customHeight="1" x14ac:dyDescent="0.35">
      <c r="A739" s="11"/>
      <c r="B739" s="498" t="s">
        <v>55</v>
      </c>
      <c r="C739" s="23" t="s">
        <v>319</v>
      </c>
      <c r="D739" s="10" t="s">
        <v>226</v>
      </c>
      <c r="E739" s="10" t="s">
        <v>52</v>
      </c>
      <c r="F739" s="661" t="s">
        <v>63</v>
      </c>
      <c r="G739" s="662" t="s">
        <v>89</v>
      </c>
      <c r="H739" s="662" t="s">
        <v>63</v>
      </c>
      <c r="I739" s="663" t="s">
        <v>321</v>
      </c>
      <c r="J739" s="10" t="s">
        <v>56</v>
      </c>
      <c r="K739" s="24">
        <f>769.9+0.9-97.5+227</f>
        <v>900.3</v>
      </c>
      <c r="L739" s="24">
        <f>M739-K739</f>
        <v>0</v>
      </c>
      <c r="M739" s="24">
        <f>769.9+0.9-97.5+227</f>
        <v>900.3</v>
      </c>
    </row>
    <row r="740" spans="1:13" s="7" customFormat="1" ht="54" customHeight="1" x14ac:dyDescent="0.35">
      <c r="A740" s="11"/>
      <c r="B740" s="498" t="s">
        <v>216</v>
      </c>
      <c r="C740" s="23" t="s">
        <v>319</v>
      </c>
      <c r="D740" s="10" t="s">
        <v>226</v>
      </c>
      <c r="E740" s="10" t="s">
        <v>52</v>
      </c>
      <c r="F740" s="661" t="s">
        <v>63</v>
      </c>
      <c r="G740" s="662" t="s">
        <v>30</v>
      </c>
      <c r="H740" s="662" t="s">
        <v>43</v>
      </c>
      <c r="I740" s="663" t="s">
        <v>44</v>
      </c>
      <c r="J740" s="10"/>
      <c r="K740" s="24">
        <f>K741</f>
        <v>11521.7</v>
      </c>
      <c r="L740" s="24">
        <f>L741</f>
        <v>0</v>
      </c>
      <c r="M740" s="24">
        <f>M741</f>
        <v>11521.7</v>
      </c>
    </row>
    <row r="741" spans="1:13" s="7" customFormat="1" ht="36" customHeight="1" x14ac:dyDescent="0.35">
      <c r="A741" s="11"/>
      <c r="B741" s="498" t="s">
        <v>287</v>
      </c>
      <c r="C741" s="23" t="s">
        <v>319</v>
      </c>
      <c r="D741" s="10" t="s">
        <v>226</v>
      </c>
      <c r="E741" s="10" t="s">
        <v>52</v>
      </c>
      <c r="F741" s="661" t="s">
        <v>63</v>
      </c>
      <c r="G741" s="662" t="s">
        <v>30</v>
      </c>
      <c r="H741" s="662" t="s">
        <v>37</v>
      </c>
      <c r="I741" s="663" t="s">
        <v>44</v>
      </c>
      <c r="J741" s="10"/>
      <c r="K741" s="24">
        <f>K742+K746</f>
        <v>11521.7</v>
      </c>
      <c r="L741" s="24">
        <f>L742+L746</f>
        <v>0</v>
      </c>
      <c r="M741" s="24">
        <f>M742+M746</f>
        <v>11521.7</v>
      </c>
    </row>
    <row r="742" spans="1:13" s="7" customFormat="1" ht="36" customHeight="1" x14ac:dyDescent="0.35">
      <c r="A742" s="11"/>
      <c r="B742" s="498" t="s">
        <v>47</v>
      </c>
      <c r="C742" s="23" t="s">
        <v>319</v>
      </c>
      <c r="D742" s="10" t="s">
        <v>226</v>
      </c>
      <c r="E742" s="10" t="s">
        <v>52</v>
      </c>
      <c r="F742" s="661" t="s">
        <v>63</v>
      </c>
      <c r="G742" s="662" t="s">
        <v>30</v>
      </c>
      <c r="H742" s="662" t="s">
        <v>37</v>
      </c>
      <c r="I742" s="663" t="s">
        <v>48</v>
      </c>
      <c r="J742" s="90"/>
      <c r="K742" s="24">
        <f>K743+K744+K745</f>
        <v>3487.2000000000003</v>
      </c>
      <c r="L742" s="24">
        <f>L743+L744+L745</f>
        <v>0</v>
      </c>
      <c r="M742" s="24">
        <f>M743+M744+M745</f>
        <v>3487.2000000000003</v>
      </c>
    </row>
    <row r="743" spans="1:13" s="7" customFormat="1" ht="108" customHeight="1" x14ac:dyDescent="0.35">
      <c r="A743" s="11"/>
      <c r="B743" s="498" t="s">
        <v>49</v>
      </c>
      <c r="C743" s="23" t="s">
        <v>319</v>
      </c>
      <c r="D743" s="10" t="s">
        <v>226</v>
      </c>
      <c r="E743" s="10" t="s">
        <v>52</v>
      </c>
      <c r="F743" s="661" t="s">
        <v>63</v>
      </c>
      <c r="G743" s="662" t="s">
        <v>30</v>
      </c>
      <c r="H743" s="662" t="s">
        <v>37</v>
      </c>
      <c r="I743" s="663" t="s">
        <v>48</v>
      </c>
      <c r="J743" s="90" t="s">
        <v>50</v>
      </c>
      <c r="K743" s="24">
        <f>3157.9+36</f>
        <v>3193.9</v>
      </c>
      <c r="L743" s="24">
        <f>M743-K743</f>
        <v>0</v>
      </c>
      <c r="M743" s="24">
        <f>3157.9+36</f>
        <v>3193.9</v>
      </c>
    </row>
    <row r="744" spans="1:13" s="7" customFormat="1" ht="54" customHeight="1" x14ac:dyDescent="0.35">
      <c r="A744" s="11"/>
      <c r="B744" s="498" t="s">
        <v>55</v>
      </c>
      <c r="C744" s="23" t="s">
        <v>319</v>
      </c>
      <c r="D744" s="10" t="s">
        <v>226</v>
      </c>
      <c r="E744" s="10" t="s">
        <v>52</v>
      </c>
      <c r="F744" s="661" t="s">
        <v>63</v>
      </c>
      <c r="G744" s="662" t="s">
        <v>30</v>
      </c>
      <c r="H744" s="662" t="s">
        <v>37</v>
      </c>
      <c r="I744" s="663" t="s">
        <v>48</v>
      </c>
      <c r="J744" s="90" t="s">
        <v>56</v>
      </c>
      <c r="K744" s="24">
        <f>250.2+34.6</f>
        <v>284.8</v>
      </c>
      <c r="L744" s="24">
        <f>M744-K744</f>
        <v>0</v>
      </c>
      <c r="M744" s="24">
        <f>250.2+34.6</f>
        <v>284.8</v>
      </c>
    </row>
    <row r="745" spans="1:13" s="7" customFormat="1" ht="18" customHeight="1" x14ac:dyDescent="0.35">
      <c r="A745" s="11"/>
      <c r="B745" s="498" t="s">
        <v>57</v>
      </c>
      <c r="C745" s="23" t="s">
        <v>319</v>
      </c>
      <c r="D745" s="10" t="s">
        <v>226</v>
      </c>
      <c r="E745" s="10" t="s">
        <v>52</v>
      </c>
      <c r="F745" s="661" t="s">
        <v>63</v>
      </c>
      <c r="G745" s="662" t="s">
        <v>30</v>
      </c>
      <c r="H745" s="662" t="s">
        <v>37</v>
      </c>
      <c r="I745" s="663" t="s">
        <v>48</v>
      </c>
      <c r="J745" s="10" t="s">
        <v>58</v>
      </c>
      <c r="K745" s="24">
        <v>8.5</v>
      </c>
      <c r="L745" s="24">
        <f>M745-K745</f>
        <v>0</v>
      </c>
      <c r="M745" s="24">
        <v>8.5</v>
      </c>
    </row>
    <row r="746" spans="1:13" s="7" customFormat="1" ht="36" customHeight="1" x14ac:dyDescent="0.35">
      <c r="A746" s="11"/>
      <c r="B746" s="531" t="s">
        <v>466</v>
      </c>
      <c r="C746" s="23" t="s">
        <v>319</v>
      </c>
      <c r="D746" s="10" t="s">
        <v>226</v>
      </c>
      <c r="E746" s="10" t="s">
        <v>52</v>
      </c>
      <c r="F746" s="661" t="s">
        <v>63</v>
      </c>
      <c r="G746" s="662" t="s">
        <v>30</v>
      </c>
      <c r="H746" s="662" t="s">
        <v>37</v>
      </c>
      <c r="I746" s="663" t="s">
        <v>91</v>
      </c>
      <c r="J746" s="10"/>
      <c r="K746" s="24">
        <f>K747+K748+K749</f>
        <v>8034.5000000000009</v>
      </c>
      <c r="L746" s="24">
        <f>L747+L748+L749</f>
        <v>0</v>
      </c>
      <c r="M746" s="24">
        <f>M747+M748+M749</f>
        <v>8034.5000000000009</v>
      </c>
    </row>
    <row r="747" spans="1:13" s="7" customFormat="1" ht="108" customHeight="1" x14ac:dyDescent="0.35">
      <c r="A747" s="11"/>
      <c r="B747" s="498" t="s">
        <v>49</v>
      </c>
      <c r="C747" s="136" t="s">
        <v>319</v>
      </c>
      <c r="D747" s="90" t="s">
        <v>226</v>
      </c>
      <c r="E747" s="90" t="s">
        <v>52</v>
      </c>
      <c r="F747" s="661" t="s">
        <v>63</v>
      </c>
      <c r="G747" s="662" t="s">
        <v>30</v>
      </c>
      <c r="H747" s="662" t="s">
        <v>37</v>
      </c>
      <c r="I747" s="663" t="s">
        <v>91</v>
      </c>
      <c r="J747" s="90" t="s">
        <v>50</v>
      </c>
      <c r="K747" s="24">
        <f>7283.1-1470.7+1470.7</f>
        <v>7283.1</v>
      </c>
      <c r="L747" s="24">
        <f>M747-K747</f>
        <v>0</v>
      </c>
      <c r="M747" s="24">
        <f>7283.1-1470.7+1470.7</f>
        <v>7283.1</v>
      </c>
    </row>
    <row r="748" spans="1:13" s="7" customFormat="1" ht="54" customHeight="1" x14ac:dyDescent="0.35">
      <c r="A748" s="11"/>
      <c r="B748" s="498" t="s">
        <v>55</v>
      </c>
      <c r="C748" s="136" t="s">
        <v>319</v>
      </c>
      <c r="D748" s="90" t="s">
        <v>226</v>
      </c>
      <c r="E748" s="90" t="s">
        <v>52</v>
      </c>
      <c r="F748" s="661" t="s">
        <v>63</v>
      </c>
      <c r="G748" s="662" t="s">
        <v>30</v>
      </c>
      <c r="H748" s="662" t="s">
        <v>37</v>
      </c>
      <c r="I748" s="663" t="s">
        <v>91</v>
      </c>
      <c r="J748" s="90" t="s">
        <v>56</v>
      </c>
      <c r="K748" s="24">
        <f>642.6+107.2</f>
        <v>749.80000000000007</v>
      </c>
      <c r="L748" s="24">
        <f>M748-K748</f>
        <v>0</v>
      </c>
      <c r="M748" s="24">
        <f>642.6+107.2</f>
        <v>749.80000000000007</v>
      </c>
    </row>
    <row r="749" spans="1:13" s="7" customFormat="1" ht="18" customHeight="1" x14ac:dyDescent="0.35">
      <c r="A749" s="11"/>
      <c r="B749" s="498" t="s">
        <v>57</v>
      </c>
      <c r="C749" s="136" t="s">
        <v>319</v>
      </c>
      <c r="D749" s="90" t="s">
        <v>226</v>
      </c>
      <c r="E749" s="90" t="s">
        <v>52</v>
      </c>
      <c r="F749" s="661" t="s">
        <v>63</v>
      </c>
      <c r="G749" s="662" t="s">
        <v>30</v>
      </c>
      <c r="H749" s="662" t="s">
        <v>37</v>
      </c>
      <c r="I749" s="663" t="s">
        <v>91</v>
      </c>
      <c r="J749" s="10" t="s">
        <v>58</v>
      </c>
      <c r="K749" s="24">
        <v>1.6</v>
      </c>
      <c r="L749" s="24">
        <f>M749-K749</f>
        <v>0</v>
      </c>
      <c r="M749" s="24">
        <v>1.6</v>
      </c>
    </row>
    <row r="750" spans="1:13" s="124" customFormat="1" ht="18" customHeight="1" x14ac:dyDescent="0.35">
      <c r="A750" s="197"/>
      <c r="B750" s="560"/>
      <c r="C750" s="136"/>
      <c r="D750" s="90"/>
      <c r="E750" s="90"/>
      <c r="F750" s="661"/>
      <c r="G750" s="662"/>
      <c r="H750" s="662"/>
      <c r="I750" s="195"/>
      <c r="J750" s="196"/>
      <c r="K750" s="243"/>
      <c r="L750" s="243"/>
      <c r="M750" s="243"/>
    </row>
    <row r="751" spans="1:13" s="111" customFormat="1" ht="52.2" customHeight="1" x14ac:dyDescent="0.3">
      <c r="A751" s="110">
        <v>7</v>
      </c>
      <c r="B751" s="535" t="s">
        <v>10</v>
      </c>
      <c r="C751" s="18" t="s">
        <v>295</v>
      </c>
      <c r="D751" s="19"/>
      <c r="E751" s="19"/>
      <c r="F751" s="20"/>
      <c r="G751" s="21"/>
      <c r="H751" s="21"/>
      <c r="I751" s="22"/>
      <c r="J751" s="19"/>
      <c r="K751" s="32">
        <f>K759+K752</f>
        <v>79617.2</v>
      </c>
      <c r="L751" s="32">
        <f>L759+L752</f>
        <v>-141.80000000000064</v>
      </c>
      <c r="M751" s="32">
        <f>M759+M752</f>
        <v>79475.399999999994</v>
      </c>
    </row>
    <row r="752" spans="1:13" s="111" customFormat="1" ht="18" customHeight="1" x14ac:dyDescent="0.35">
      <c r="A752" s="110"/>
      <c r="B752" s="495" t="s">
        <v>36</v>
      </c>
      <c r="C752" s="199" t="s">
        <v>295</v>
      </c>
      <c r="D752" s="28" t="s">
        <v>37</v>
      </c>
      <c r="E752" s="28"/>
      <c r="F752" s="191"/>
      <c r="G752" s="192"/>
      <c r="H752" s="192"/>
      <c r="I752" s="193"/>
      <c r="J752" s="28"/>
      <c r="K752" s="194">
        <f t="shared" ref="K752:M756" si="96">K753</f>
        <v>60.8</v>
      </c>
      <c r="L752" s="194">
        <f t="shared" si="96"/>
        <v>0</v>
      </c>
      <c r="M752" s="194">
        <f t="shared" si="96"/>
        <v>60.8</v>
      </c>
    </row>
    <row r="753" spans="1:13" s="111" customFormat="1" ht="18" customHeight="1" x14ac:dyDescent="0.35">
      <c r="A753" s="110"/>
      <c r="B753" s="495" t="s">
        <v>70</v>
      </c>
      <c r="C753" s="199" t="s">
        <v>295</v>
      </c>
      <c r="D753" s="28" t="s">
        <v>37</v>
      </c>
      <c r="E753" s="28" t="s">
        <v>71</v>
      </c>
      <c r="F753" s="191"/>
      <c r="G753" s="192"/>
      <c r="H753" s="192"/>
      <c r="I753" s="193"/>
      <c r="J753" s="28"/>
      <c r="K753" s="194">
        <f t="shared" si="96"/>
        <v>60.8</v>
      </c>
      <c r="L753" s="194">
        <f t="shared" si="96"/>
        <v>0</v>
      </c>
      <c r="M753" s="194">
        <f t="shared" si="96"/>
        <v>60.8</v>
      </c>
    </row>
    <row r="754" spans="1:13" s="111" customFormat="1" ht="54" customHeight="1" x14ac:dyDescent="0.35">
      <c r="A754" s="110"/>
      <c r="B754" s="498" t="s">
        <v>217</v>
      </c>
      <c r="C754" s="199" t="s">
        <v>295</v>
      </c>
      <c r="D754" s="28" t="s">
        <v>37</v>
      </c>
      <c r="E754" s="28" t="s">
        <v>71</v>
      </c>
      <c r="F754" s="191" t="s">
        <v>52</v>
      </c>
      <c r="G754" s="192" t="s">
        <v>42</v>
      </c>
      <c r="H754" s="192" t="s">
        <v>43</v>
      </c>
      <c r="I754" s="193" t="s">
        <v>44</v>
      </c>
      <c r="J754" s="28"/>
      <c r="K754" s="194">
        <f t="shared" si="96"/>
        <v>60.8</v>
      </c>
      <c r="L754" s="194">
        <f t="shared" si="96"/>
        <v>0</v>
      </c>
      <c r="M754" s="194">
        <f t="shared" si="96"/>
        <v>60.8</v>
      </c>
    </row>
    <row r="755" spans="1:13" s="111" customFormat="1" ht="36" customHeight="1" x14ac:dyDescent="0.35">
      <c r="A755" s="110"/>
      <c r="B755" s="498" t="s">
        <v>220</v>
      </c>
      <c r="C755" s="199" t="s">
        <v>295</v>
      </c>
      <c r="D755" s="28" t="s">
        <v>37</v>
      </c>
      <c r="E755" s="28" t="s">
        <v>71</v>
      </c>
      <c r="F755" s="191" t="s">
        <v>52</v>
      </c>
      <c r="G755" s="192" t="s">
        <v>89</v>
      </c>
      <c r="H755" s="192" t="s">
        <v>43</v>
      </c>
      <c r="I755" s="193" t="s">
        <v>44</v>
      </c>
      <c r="J755" s="28"/>
      <c r="K755" s="194">
        <f t="shared" si="96"/>
        <v>60.8</v>
      </c>
      <c r="L755" s="194">
        <f t="shared" si="96"/>
        <v>0</v>
      </c>
      <c r="M755" s="194">
        <f t="shared" si="96"/>
        <v>60.8</v>
      </c>
    </row>
    <row r="756" spans="1:13" s="111" customFormat="1" ht="36" customHeight="1" x14ac:dyDescent="0.35">
      <c r="A756" s="110"/>
      <c r="B756" s="495" t="s">
        <v>356</v>
      </c>
      <c r="C756" s="199" t="s">
        <v>295</v>
      </c>
      <c r="D756" s="28" t="s">
        <v>37</v>
      </c>
      <c r="E756" s="28" t="s">
        <v>71</v>
      </c>
      <c r="F756" s="191" t="s">
        <v>52</v>
      </c>
      <c r="G756" s="192" t="s">
        <v>89</v>
      </c>
      <c r="H756" s="192" t="s">
        <v>63</v>
      </c>
      <c r="I756" s="193" t="s">
        <v>44</v>
      </c>
      <c r="J756" s="28"/>
      <c r="K756" s="194">
        <f t="shared" si="96"/>
        <v>60.8</v>
      </c>
      <c r="L756" s="194">
        <f t="shared" si="96"/>
        <v>0</v>
      </c>
      <c r="M756" s="194">
        <f t="shared" si="96"/>
        <v>60.8</v>
      </c>
    </row>
    <row r="757" spans="1:13" s="111" customFormat="1" ht="54" customHeight="1" x14ac:dyDescent="0.35">
      <c r="A757" s="110"/>
      <c r="B757" s="561" t="s">
        <v>357</v>
      </c>
      <c r="C757" s="199" t="s">
        <v>295</v>
      </c>
      <c r="D757" s="28" t="s">
        <v>37</v>
      </c>
      <c r="E757" s="28" t="s">
        <v>71</v>
      </c>
      <c r="F757" s="191" t="s">
        <v>52</v>
      </c>
      <c r="G757" s="192" t="s">
        <v>89</v>
      </c>
      <c r="H757" s="192" t="s">
        <v>63</v>
      </c>
      <c r="I757" s="193" t="s">
        <v>105</v>
      </c>
      <c r="J757" s="28"/>
      <c r="K757" s="194">
        <f>K758</f>
        <v>60.8</v>
      </c>
      <c r="L757" s="194">
        <f>L758</f>
        <v>0</v>
      </c>
      <c r="M757" s="194">
        <f>M758</f>
        <v>60.8</v>
      </c>
    </row>
    <row r="758" spans="1:13" s="111" customFormat="1" ht="54" customHeight="1" x14ac:dyDescent="0.35">
      <c r="A758" s="110"/>
      <c r="B758" s="498" t="s">
        <v>55</v>
      </c>
      <c r="C758" s="199" t="s">
        <v>295</v>
      </c>
      <c r="D758" s="28" t="s">
        <v>37</v>
      </c>
      <c r="E758" s="28" t="s">
        <v>71</v>
      </c>
      <c r="F758" s="191" t="s">
        <v>52</v>
      </c>
      <c r="G758" s="192" t="s">
        <v>89</v>
      </c>
      <c r="H758" s="192" t="s">
        <v>63</v>
      </c>
      <c r="I758" s="193" t="s">
        <v>105</v>
      </c>
      <c r="J758" s="28" t="s">
        <v>56</v>
      </c>
      <c r="K758" s="194">
        <f>38.4+22.4</f>
        <v>60.8</v>
      </c>
      <c r="L758" s="24">
        <f>M758-K758</f>
        <v>0</v>
      </c>
      <c r="M758" s="194">
        <f>38.4+22.4</f>
        <v>60.8</v>
      </c>
    </row>
    <row r="759" spans="1:13" s="7" customFormat="1" ht="18" customHeight="1" x14ac:dyDescent="0.35">
      <c r="A759" s="11"/>
      <c r="B759" s="538" t="s">
        <v>327</v>
      </c>
      <c r="C759" s="23" t="s">
        <v>295</v>
      </c>
      <c r="D759" s="10" t="s">
        <v>67</v>
      </c>
      <c r="E759" s="10"/>
      <c r="F759" s="661"/>
      <c r="G759" s="662"/>
      <c r="H759" s="662"/>
      <c r="I759" s="663"/>
      <c r="J759" s="10"/>
      <c r="K759" s="24">
        <f>K760+K781+K816+K794</f>
        <v>79556.399999999994</v>
      </c>
      <c r="L759" s="24">
        <f>L760+L781+L816+L794</f>
        <v>-141.80000000000064</v>
      </c>
      <c r="M759" s="24">
        <f>M760+M781+M816+M794</f>
        <v>79414.599999999991</v>
      </c>
    </row>
    <row r="760" spans="1:13" s="111" customFormat="1" ht="18" customHeight="1" x14ac:dyDescent="0.35">
      <c r="A760" s="11"/>
      <c r="B760" s="538" t="s">
        <v>365</v>
      </c>
      <c r="C760" s="23" t="s">
        <v>295</v>
      </c>
      <c r="D760" s="10" t="s">
        <v>67</v>
      </c>
      <c r="E760" s="10" t="s">
        <v>37</v>
      </c>
      <c r="F760" s="661"/>
      <c r="G760" s="662"/>
      <c r="H760" s="662"/>
      <c r="I760" s="663"/>
      <c r="J760" s="10"/>
      <c r="K760" s="24">
        <f>K761</f>
        <v>8867.1064800000004</v>
      </c>
      <c r="L760" s="24">
        <f>L761</f>
        <v>249.80000000000018</v>
      </c>
      <c r="M760" s="24">
        <f>M761</f>
        <v>9116.9064800000015</v>
      </c>
    </row>
    <row r="761" spans="1:13" s="111" customFormat="1" ht="54" customHeight="1" x14ac:dyDescent="0.35">
      <c r="A761" s="11"/>
      <c r="B761" s="498" t="s">
        <v>217</v>
      </c>
      <c r="C761" s="23" t="s">
        <v>295</v>
      </c>
      <c r="D761" s="10" t="s">
        <v>67</v>
      </c>
      <c r="E761" s="10" t="s">
        <v>37</v>
      </c>
      <c r="F761" s="661" t="s">
        <v>52</v>
      </c>
      <c r="G761" s="662" t="s">
        <v>42</v>
      </c>
      <c r="H761" s="662" t="s">
        <v>43</v>
      </c>
      <c r="I761" s="663" t="s">
        <v>44</v>
      </c>
      <c r="J761" s="10"/>
      <c r="K761" s="24">
        <f>K762+K766</f>
        <v>8867.1064800000004</v>
      </c>
      <c r="L761" s="24">
        <f>L762+L766</f>
        <v>249.80000000000018</v>
      </c>
      <c r="M761" s="24">
        <f>M762+M766</f>
        <v>9116.9064800000015</v>
      </c>
    </row>
    <row r="762" spans="1:13" s="111" customFormat="1" ht="36" customHeight="1" x14ac:dyDescent="0.35">
      <c r="A762" s="11"/>
      <c r="B762" s="538" t="s">
        <v>218</v>
      </c>
      <c r="C762" s="23" t="s">
        <v>295</v>
      </c>
      <c r="D762" s="10" t="s">
        <v>67</v>
      </c>
      <c r="E762" s="10" t="s">
        <v>37</v>
      </c>
      <c r="F762" s="661" t="s">
        <v>52</v>
      </c>
      <c r="G762" s="662" t="s">
        <v>45</v>
      </c>
      <c r="H762" s="662" t="s">
        <v>43</v>
      </c>
      <c r="I762" s="663" t="s">
        <v>44</v>
      </c>
      <c r="J762" s="10"/>
      <c r="K762" s="24">
        <f>K763</f>
        <v>66</v>
      </c>
      <c r="L762" s="24">
        <f>L763</f>
        <v>0</v>
      </c>
      <c r="M762" s="24">
        <f>M763</f>
        <v>66</v>
      </c>
    </row>
    <row r="763" spans="1:13" s="111" customFormat="1" ht="18" customHeight="1" x14ac:dyDescent="0.35">
      <c r="A763" s="11"/>
      <c r="B763" s="498" t="s">
        <v>282</v>
      </c>
      <c r="C763" s="23" t="s">
        <v>295</v>
      </c>
      <c r="D763" s="10" t="s">
        <v>67</v>
      </c>
      <c r="E763" s="10" t="s">
        <v>37</v>
      </c>
      <c r="F763" s="661" t="s">
        <v>52</v>
      </c>
      <c r="G763" s="662" t="s">
        <v>45</v>
      </c>
      <c r="H763" s="662" t="s">
        <v>37</v>
      </c>
      <c r="I763" s="663" t="s">
        <v>44</v>
      </c>
      <c r="J763" s="10"/>
      <c r="K763" s="24">
        <f t="shared" ref="K763:M764" si="97">K764</f>
        <v>66</v>
      </c>
      <c r="L763" s="24">
        <f t="shared" si="97"/>
        <v>0</v>
      </c>
      <c r="M763" s="24">
        <f t="shared" si="97"/>
        <v>66</v>
      </c>
    </row>
    <row r="764" spans="1:13" s="111" customFormat="1" ht="36" customHeight="1" x14ac:dyDescent="0.35">
      <c r="A764" s="11"/>
      <c r="B764" s="498" t="s">
        <v>283</v>
      </c>
      <c r="C764" s="23" t="s">
        <v>295</v>
      </c>
      <c r="D764" s="10" t="s">
        <v>67</v>
      </c>
      <c r="E764" s="10" t="s">
        <v>37</v>
      </c>
      <c r="F764" s="661" t="s">
        <v>52</v>
      </c>
      <c r="G764" s="662" t="s">
        <v>45</v>
      </c>
      <c r="H764" s="662" t="s">
        <v>37</v>
      </c>
      <c r="I764" s="663" t="s">
        <v>284</v>
      </c>
      <c r="J764" s="10"/>
      <c r="K764" s="24">
        <f t="shared" si="97"/>
        <v>66</v>
      </c>
      <c r="L764" s="24">
        <f t="shared" si="97"/>
        <v>0</v>
      </c>
      <c r="M764" s="24">
        <f t="shared" si="97"/>
        <v>66</v>
      </c>
    </row>
    <row r="765" spans="1:13" s="111" customFormat="1" ht="36" customHeight="1" x14ac:dyDescent="0.35">
      <c r="A765" s="11"/>
      <c r="B765" s="498" t="s">
        <v>120</v>
      </c>
      <c r="C765" s="23" t="s">
        <v>295</v>
      </c>
      <c r="D765" s="10" t="s">
        <v>67</v>
      </c>
      <c r="E765" s="10" t="s">
        <v>37</v>
      </c>
      <c r="F765" s="661" t="s">
        <v>52</v>
      </c>
      <c r="G765" s="662" t="s">
        <v>45</v>
      </c>
      <c r="H765" s="662" t="s">
        <v>37</v>
      </c>
      <c r="I765" s="663" t="s">
        <v>284</v>
      </c>
      <c r="J765" s="10" t="s">
        <v>121</v>
      </c>
      <c r="K765" s="24">
        <f>315+63-312</f>
        <v>66</v>
      </c>
      <c r="L765" s="24">
        <f>M765-K765</f>
        <v>0</v>
      </c>
      <c r="M765" s="24">
        <f>315+63-312</f>
        <v>66</v>
      </c>
    </row>
    <row r="766" spans="1:13" s="7" customFormat="1" ht="36" customHeight="1" x14ac:dyDescent="0.35">
      <c r="A766" s="11"/>
      <c r="B766" s="498" t="s">
        <v>220</v>
      </c>
      <c r="C766" s="23" t="s">
        <v>295</v>
      </c>
      <c r="D766" s="10" t="s">
        <v>67</v>
      </c>
      <c r="E766" s="10" t="s">
        <v>37</v>
      </c>
      <c r="F766" s="661" t="s">
        <v>52</v>
      </c>
      <c r="G766" s="662" t="s">
        <v>89</v>
      </c>
      <c r="H766" s="662" t="s">
        <v>43</v>
      </c>
      <c r="I766" s="663" t="s">
        <v>44</v>
      </c>
      <c r="J766" s="10"/>
      <c r="K766" s="24">
        <f>K767+K774</f>
        <v>8801.1064800000004</v>
      </c>
      <c r="L766" s="24">
        <f>L767+L774</f>
        <v>249.80000000000018</v>
      </c>
      <c r="M766" s="24">
        <f>M767+M774</f>
        <v>9050.9064800000015</v>
      </c>
    </row>
    <row r="767" spans="1:13" s="111" customFormat="1" ht="36.6" customHeight="1" x14ac:dyDescent="0.35">
      <c r="A767" s="11"/>
      <c r="B767" s="498" t="s">
        <v>366</v>
      </c>
      <c r="C767" s="23" t="s">
        <v>295</v>
      </c>
      <c r="D767" s="10" t="s">
        <v>67</v>
      </c>
      <c r="E767" s="10" t="s">
        <v>37</v>
      </c>
      <c r="F767" s="661" t="s">
        <v>52</v>
      </c>
      <c r="G767" s="662" t="s">
        <v>89</v>
      </c>
      <c r="H767" s="662" t="s">
        <v>39</v>
      </c>
      <c r="I767" s="663" t="s">
        <v>44</v>
      </c>
      <c r="J767" s="10"/>
      <c r="K767" s="24">
        <f>K768+K772</f>
        <v>4221.5064800000009</v>
      </c>
      <c r="L767" s="24">
        <f>L768+L772</f>
        <v>0</v>
      </c>
      <c r="M767" s="24">
        <f>M768+M772</f>
        <v>4221.5064800000009</v>
      </c>
    </row>
    <row r="768" spans="1:13" s="111" customFormat="1" ht="36" customHeight="1" x14ac:dyDescent="0.35">
      <c r="A768" s="11"/>
      <c r="B768" s="531" t="s">
        <v>466</v>
      </c>
      <c r="C768" s="23" t="s">
        <v>295</v>
      </c>
      <c r="D768" s="10" t="s">
        <v>67</v>
      </c>
      <c r="E768" s="10" t="s">
        <v>37</v>
      </c>
      <c r="F768" s="661" t="s">
        <v>52</v>
      </c>
      <c r="G768" s="662" t="s">
        <v>89</v>
      </c>
      <c r="H768" s="662" t="s">
        <v>39</v>
      </c>
      <c r="I768" s="663" t="s">
        <v>91</v>
      </c>
      <c r="J768" s="10"/>
      <c r="K768" s="24">
        <f>K769+K770+K771</f>
        <v>3912.8184800000017</v>
      </c>
      <c r="L768" s="24">
        <f>L769+L770+L771</f>
        <v>0</v>
      </c>
      <c r="M768" s="24">
        <f>M769+M770+M771</f>
        <v>3912.8184800000017</v>
      </c>
    </row>
    <row r="769" spans="1:14" s="111" customFormat="1" ht="108" customHeight="1" x14ac:dyDescent="0.35">
      <c r="A769" s="11"/>
      <c r="B769" s="498" t="s">
        <v>49</v>
      </c>
      <c r="C769" s="23" t="s">
        <v>295</v>
      </c>
      <c r="D769" s="10" t="s">
        <v>67</v>
      </c>
      <c r="E769" s="10" t="s">
        <v>37</v>
      </c>
      <c r="F769" s="661" t="s">
        <v>52</v>
      </c>
      <c r="G769" s="662" t="s">
        <v>89</v>
      </c>
      <c r="H769" s="662" t="s">
        <v>39</v>
      </c>
      <c r="I769" s="663" t="s">
        <v>91</v>
      </c>
      <c r="J769" s="10" t="s">
        <v>50</v>
      </c>
      <c r="K769" s="24">
        <f>20027.9+85+852.7-17793.32805</f>
        <v>3172.2719500000021</v>
      </c>
      <c r="L769" s="24">
        <f>M769-K769</f>
        <v>0</v>
      </c>
      <c r="M769" s="24">
        <f>20027.9+85+852.7-17793.32805</f>
        <v>3172.2719500000021</v>
      </c>
    </row>
    <row r="770" spans="1:14" s="7" customFormat="1" ht="54" customHeight="1" x14ac:dyDescent="0.35">
      <c r="A770" s="11"/>
      <c r="B770" s="498" t="s">
        <v>55</v>
      </c>
      <c r="C770" s="23" t="s">
        <v>295</v>
      </c>
      <c r="D770" s="10" t="s">
        <v>67</v>
      </c>
      <c r="E770" s="10" t="s">
        <v>37</v>
      </c>
      <c r="F770" s="661" t="s">
        <v>52</v>
      </c>
      <c r="G770" s="662" t="s">
        <v>89</v>
      </c>
      <c r="H770" s="662" t="s">
        <v>39</v>
      </c>
      <c r="I770" s="663" t="s">
        <v>91</v>
      </c>
      <c r="J770" s="10" t="s">
        <v>56</v>
      </c>
      <c r="K770" s="24">
        <f>5504.9-0.1+2070.5-6834.83343</f>
        <v>740.46656999999959</v>
      </c>
      <c r="L770" s="24">
        <f>M770-K770</f>
        <v>0</v>
      </c>
      <c r="M770" s="24">
        <f>5504.9-0.1+2070.5-6834.83343</f>
        <v>740.46656999999959</v>
      </c>
    </row>
    <row r="771" spans="1:14" s="111" customFormat="1" ht="18" customHeight="1" x14ac:dyDescent="0.35">
      <c r="A771" s="11"/>
      <c r="B771" s="498" t="s">
        <v>57</v>
      </c>
      <c r="C771" s="23" t="s">
        <v>295</v>
      </c>
      <c r="D771" s="10" t="s">
        <v>67</v>
      </c>
      <c r="E771" s="10" t="s">
        <v>37</v>
      </c>
      <c r="F771" s="661" t="s">
        <v>52</v>
      </c>
      <c r="G771" s="662" t="s">
        <v>89</v>
      </c>
      <c r="H771" s="662" t="s">
        <v>39</v>
      </c>
      <c r="I771" s="663" t="s">
        <v>91</v>
      </c>
      <c r="J771" s="10" t="s">
        <v>58</v>
      </c>
      <c r="K771" s="24">
        <f>60.6+1105.5-1166.02004</f>
        <v>7.9959999999800857E-2</v>
      </c>
      <c r="L771" s="24">
        <f>M771-K771</f>
        <v>0</v>
      </c>
      <c r="M771" s="24">
        <f>60.6+1105.5-1166.02004</f>
        <v>7.9959999999800857E-2</v>
      </c>
    </row>
    <row r="772" spans="1:14" s="111" customFormat="1" ht="54" customHeight="1" x14ac:dyDescent="0.35">
      <c r="A772" s="11"/>
      <c r="B772" s="498" t="s">
        <v>219</v>
      </c>
      <c r="C772" s="23" t="s">
        <v>295</v>
      </c>
      <c r="D772" s="10" t="s">
        <v>67</v>
      </c>
      <c r="E772" s="10" t="s">
        <v>37</v>
      </c>
      <c r="F772" s="661" t="s">
        <v>52</v>
      </c>
      <c r="G772" s="662" t="s">
        <v>89</v>
      </c>
      <c r="H772" s="662" t="s">
        <v>39</v>
      </c>
      <c r="I772" s="663" t="s">
        <v>297</v>
      </c>
      <c r="J772" s="10"/>
      <c r="K772" s="24">
        <f>K773</f>
        <v>308.68799999999919</v>
      </c>
      <c r="L772" s="24">
        <f>L773</f>
        <v>0</v>
      </c>
      <c r="M772" s="24">
        <f>M773</f>
        <v>308.68799999999919</v>
      </c>
    </row>
    <row r="773" spans="1:14" s="111" customFormat="1" ht="54" customHeight="1" x14ac:dyDescent="0.35">
      <c r="A773" s="11"/>
      <c r="B773" s="498" t="s">
        <v>55</v>
      </c>
      <c r="C773" s="23" t="s">
        <v>295</v>
      </c>
      <c r="D773" s="10" t="s">
        <v>67</v>
      </c>
      <c r="E773" s="10" t="s">
        <v>37</v>
      </c>
      <c r="F773" s="661" t="s">
        <v>52</v>
      </c>
      <c r="G773" s="662" t="s">
        <v>89</v>
      </c>
      <c r="H773" s="662" t="s">
        <v>39</v>
      </c>
      <c r="I773" s="663" t="s">
        <v>297</v>
      </c>
      <c r="J773" s="10" t="s">
        <v>56</v>
      </c>
      <c r="K773" s="24">
        <f>4190.2+238.7-4120.212</f>
        <v>308.68799999999919</v>
      </c>
      <c r="L773" s="24">
        <f>M773-K773</f>
        <v>0</v>
      </c>
      <c r="M773" s="24">
        <f>4190.2+238.7-4120.212</f>
        <v>308.68799999999919</v>
      </c>
    </row>
    <row r="774" spans="1:14" s="111" customFormat="1" ht="36" customHeight="1" x14ac:dyDescent="0.35">
      <c r="A774" s="11"/>
      <c r="B774" s="498" t="s">
        <v>566</v>
      </c>
      <c r="C774" s="23" t="s">
        <v>295</v>
      </c>
      <c r="D774" s="10" t="s">
        <v>67</v>
      </c>
      <c r="E774" s="10" t="s">
        <v>37</v>
      </c>
      <c r="F774" s="661" t="s">
        <v>52</v>
      </c>
      <c r="G774" s="662" t="s">
        <v>89</v>
      </c>
      <c r="H774" s="662" t="s">
        <v>52</v>
      </c>
      <c r="I774" s="663" t="s">
        <v>44</v>
      </c>
      <c r="J774" s="10"/>
      <c r="K774" s="24">
        <f>K775+K779</f>
        <v>4579.5999999999995</v>
      </c>
      <c r="L774" s="24">
        <f>L775+L779</f>
        <v>249.80000000000018</v>
      </c>
      <c r="M774" s="24">
        <f>M775+M779</f>
        <v>4829.3999999999996</v>
      </c>
    </row>
    <row r="775" spans="1:14" s="111" customFormat="1" ht="36" customHeight="1" x14ac:dyDescent="0.35">
      <c r="A775" s="11"/>
      <c r="B775" s="498" t="s">
        <v>466</v>
      </c>
      <c r="C775" s="23" t="s">
        <v>295</v>
      </c>
      <c r="D775" s="10" t="s">
        <v>67</v>
      </c>
      <c r="E775" s="10" t="s">
        <v>37</v>
      </c>
      <c r="F775" s="661" t="s">
        <v>52</v>
      </c>
      <c r="G775" s="662" t="s">
        <v>89</v>
      </c>
      <c r="H775" s="662" t="s">
        <v>52</v>
      </c>
      <c r="I775" s="663" t="s">
        <v>91</v>
      </c>
      <c r="J775" s="10"/>
      <c r="K775" s="24">
        <f>K776+K777+K778</f>
        <v>3677.2999999999997</v>
      </c>
      <c r="L775" s="24">
        <f>L776+L777+L778</f>
        <v>249.80000000000018</v>
      </c>
      <c r="M775" s="24">
        <f>M776+M777+M778</f>
        <v>3927.1</v>
      </c>
    </row>
    <row r="776" spans="1:14" s="111" customFormat="1" ht="108" customHeight="1" x14ac:dyDescent="0.35">
      <c r="A776" s="11"/>
      <c r="B776" s="498" t="s">
        <v>49</v>
      </c>
      <c r="C776" s="23" t="s">
        <v>295</v>
      </c>
      <c r="D776" s="10" t="s">
        <v>67</v>
      </c>
      <c r="E776" s="10" t="s">
        <v>37</v>
      </c>
      <c r="F776" s="661" t="s">
        <v>52</v>
      </c>
      <c r="G776" s="662" t="s">
        <v>89</v>
      </c>
      <c r="H776" s="662" t="s">
        <v>52</v>
      </c>
      <c r="I776" s="663" t="s">
        <v>91</v>
      </c>
      <c r="J776" s="10" t="s">
        <v>50</v>
      </c>
      <c r="K776" s="24">
        <v>2045</v>
      </c>
      <c r="L776" s="24">
        <f>M776-K776</f>
        <v>34.900000000000091</v>
      </c>
      <c r="M776" s="24">
        <f>2045+34.9</f>
        <v>2079.9</v>
      </c>
    </row>
    <row r="777" spans="1:14" s="111" customFormat="1" ht="54" customHeight="1" x14ac:dyDescent="0.35">
      <c r="A777" s="11"/>
      <c r="B777" s="498" t="s">
        <v>55</v>
      </c>
      <c r="C777" s="23" t="s">
        <v>295</v>
      </c>
      <c r="D777" s="10" t="s">
        <v>67</v>
      </c>
      <c r="E777" s="10" t="s">
        <v>37</v>
      </c>
      <c r="F777" s="661" t="s">
        <v>52</v>
      </c>
      <c r="G777" s="662" t="s">
        <v>89</v>
      </c>
      <c r="H777" s="662" t="s">
        <v>52</v>
      </c>
      <c r="I777" s="663" t="s">
        <v>91</v>
      </c>
      <c r="J777" s="10" t="s">
        <v>56</v>
      </c>
      <c r="K777" s="24">
        <f>1194.6+429</f>
        <v>1623.6</v>
      </c>
      <c r="L777" s="24">
        <f>M777-K777</f>
        <v>187.90000000000009</v>
      </c>
      <c r="M777" s="24">
        <f>1194.6+429+187.9</f>
        <v>1811.5</v>
      </c>
    </row>
    <row r="778" spans="1:14" s="111" customFormat="1" ht="18" customHeight="1" x14ac:dyDescent="0.35">
      <c r="A778" s="11"/>
      <c r="B778" s="498" t="s">
        <v>57</v>
      </c>
      <c r="C778" s="23" t="s">
        <v>295</v>
      </c>
      <c r="D778" s="10" t="s">
        <v>67</v>
      </c>
      <c r="E778" s="10" t="s">
        <v>37</v>
      </c>
      <c r="F778" s="661" t="s">
        <v>52</v>
      </c>
      <c r="G778" s="662" t="s">
        <v>89</v>
      </c>
      <c r="H778" s="662" t="s">
        <v>52</v>
      </c>
      <c r="I778" s="663" t="s">
        <v>91</v>
      </c>
      <c r="J778" s="10" t="s">
        <v>58</v>
      </c>
      <c r="K778" s="24">
        <v>8.6999999999999993</v>
      </c>
      <c r="L778" s="24">
        <f>M778-K778</f>
        <v>27.000000000000004</v>
      </c>
      <c r="M778" s="24">
        <f>8.7+27</f>
        <v>35.700000000000003</v>
      </c>
    </row>
    <row r="779" spans="1:14" s="111" customFormat="1" ht="54" customHeight="1" x14ac:dyDescent="0.35">
      <c r="A779" s="11"/>
      <c r="B779" s="498" t="s">
        <v>219</v>
      </c>
      <c r="C779" s="23" t="s">
        <v>295</v>
      </c>
      <c r="D779" s="10" t="s">
        <v>67</v>
      </c>
      <c r="E779" s="10" t="s">
        <v>37</v>
      </c>
      <c r="F779" s="661" t="s">
        <v>52</v>
      </c>
      <c r="G779" s="662" t="s">
        <v>89</v>
      </c>
      <c r="H779" s="662" t="s">
        <v>52</v>
      </c>
      <c r="I779" s="663" t="s">
        <v>297</v>
      </c>
      <c r="J779" s="10"/>
      <c r="K779" s="24">
        <f>K780</f>
        <v>902.3</v>
      </c>
      <c r="L779" s="24">
        <f>L780</f>
        <v>0</v>
      </c>
      <c r="M779" s="24">
        <f>M780</f>
        <v>902.3</v>
      </c>
    </row>
    <row r="780" spans="1:14" s="111" customFormat="1" ht="54" customHeight="1" x14ac:dyDescent="0.35">
      <c r="A780" s="11"/>
      <c r="B780" s="498" t="s">
        <v>55</v>
      </c>
      <c r="C780" s="23" t="s">
        <v>295</v>
      </c>
      <c r="D780" s="10" t="s">
        <v>67</v>
      </c>
      <c r="E780" s="10" t="s">
        <v>37</v>
      </c>
      <c r="F780" s="661" t="s">
        <v>52</v>
      </c>
      <c r="G780" s="662" t="s">
        <v>89</v>
      </c>
      <c r="H780" s="662" t="s">
        <v>52</v>
      </c>
      <c r="I780" s="663" t="s">
        <v>297</v>
      </c>
      <c r="J780" s="10" t="s">
        <v>56</v>
      </c>
      <c r="K780" s="24">
        <v>902.3</v>
      </c>
      <c r="L780" s="24">
        <f>M780-K780</f>
        <v>0</v>
      </c>
      <c r="M780" s="24">
        <v>902.3</v>
      </c>
    </row>
    <row r="781" spans="1:14" s="7" customFormat="1" ht="18" customHeight="1" x14ac:dyDescent="0.35">
      <c r="A781" s="11"/>
      <c r="B781" s="538" t="s">
        <v>298</v>
      </c>
      <c r="C781" s="23" t="s">
        <v>295</v>
      </c>
      <c r="D781" s="10" t="s">
        <v>67</v>
      </c>
      <c r="E781" s="10" t="s">
        <v>39</v>
      </c>
      <c r="F781" s="661"/>
      <c r="G781" s="662"/>
      <c r="H781" s="662"/>
      <c r="I781" s="663"/>
      <c r="J781" s="10"/>
      <c r="K781" s="24">
        <f t="shared" ref="K781:M781" si="98">K782</f>
        <v>27257.599999999999</v>
      </c>
      <c r="L781" s="24">
        <f t="shared" si="98"/>
        <v>-43.799999999999955</v>
      </c>
      <c r="M781" s="24">
        <f t="shared" si="98"/>
        <v>27213.8</v>
      </c>
      <c r="N781" s="141"/>
    </row>
    <row r="782" spans="1:14" s="7" customFormat="1" ht="54" customHeight="1" x14ac:dyDescent="0.35">
      <c r="A782" s="11"/>
      <c r="B782" s="498" t="s">
        <v>217</v>
      </c>
      <c r="C782" s="23" t="s">
        <v>295</v>
      </c>
      <c r="D782" s="10" t="s">
        <v>67</v>
      </c>
      <c r="E782" s="10" t="s">
        <v>39</v>
      </c>
      <c r="F782" s="661" t="s">
        <v>52</v>
      </c>
      <c r="G782" s="662" t="s">
        <v>42</v>
      </c>
      <c r="H782" s="662" t="s">
        <v>43</v>
      </c>
      <c r="I782" s="663" t="s">
        <v>44</v>
      </c>
      <c r="J782" s="10"/>
      <c r="K782" s="24">
        <f>K783+K790</f>
        <v>27257.599999999999</v>
      </c>
      <c r="L782" s="24">
        <f>L783+L790</f>
        <v>-43.799999999999955</v>
      </c>
      <c r="M782" s="24">
        <f>M783+M790</f>
        <v>27213.8</v>
      </c>
    </row>
    <row r="783" spans="1:14" s="7" customFormat="1" ht="36" customHeight="1" x14ac:dyDescent="0.35">
      <c r="A783" s="11"/>
      <c r="B783" s="538" t="s">
        <v>218</v>
      </c>
      <c r="C783" s="23" t="s">
        <v>295</v>
      </c>
      <c r="D783" s="10" t="s">
        <v>67</v>
      </c>
      <c r="E783" s="10" t="s">
        <v>39</v>
      </c>
      <c r="F783" s="661" t="s">
        <v>52</v>
      </c>
      <c r="G783" s="662" t="s">
        <v>45</v>
      </c>
      <c r="H783" s="662" t="s">
        <v>43</v>
      </c>
      <c r="I783" s="663" t="s">
        <v>44</v>
      </c>
      <c r="J783" s="10"/>
      <c r="K783" s="24">
        <f>K784+K787</f>
        <v>2445.6</v>
      </c>
      <c r="L783" s="24">
        <f>L784+L787</f>
        <v>-43.799999999999955</v>
      </c>
      <c r="M783" s="24">
        <f>M784+M787</f>
        <v>2401.8000000000002</v>
      </c>
      <c r="N783" s="141"/>
    </row>
    <row r="784" spans="1:14" s="7" customFormat="1" ht="54" customHeight="1" x14ac:dyDescent="0.35">
      <c r="A784" s="11"/>
      <c r="B784" s="498" t="s">
        <v>296</v>
      </c>
      <c r="C784" s="23" t="s">
        <v>295</v>
      </c>
      <c r="D784" s="10" t="s">
        <v>67</v>
      </c>
      <c r="E784" s="10" t="s">
        <v>39</v>
      </c>
      <c r="F784" s="661" t="s">
        <v>52</v>
      </c>
      <c r="G784" s="662" t="s">
        <v>45</v>
      </c>
      <c r="H784" s="662" t="s">
        <v>39</v>
      </c>
      <c r="I784" s="663" t="s">
        <v>44</v>
      </c>
      <c r="J784" s="10"/>
      <c r="K784" s="24">
        <f t="shared" ref="K784:M784" si="99">K785</f>
        <v>910.6</v>
      </c>
      <c r="L784" s="24">
        <f t="shared" si="99"/>
        <v>0</v>
      </c>
      <c r="M784" s="24">
        <f t="shared" si="99"/>
        <v>910.6</v>
      </c>
      <c r="N784" s="141"/>
    </row>
    <row r="785" spans="1:14" s="7" customFormat="1" ht="54" customHeight="1" x14ac:dyDescent="0.35">
      <c r="A785" s="11"/>
      <c r="B785" s="498" t="s">
        <v>219</v>
      </c>
      <c r="C785" s="23" t="s">
        <v>295</v>
      </c>
      <c r="D785" s="10" t="s">
        <v>67</v>
      </c>
      <c r="E785" s="10" t="s">
        <v>39</v>
      </c>
      <c r="F785" s="661" t="s">
        <v>52</v>
      </c>
      <c r="G785" s="662" t="s">
        <v>45</v>
      </c>
      <c r="H785" s="662" t="s">
        <v>39</v>
      </c>
      <c r="I785" s="663" t="s">
        <v>297</v>
      </c>
      <c r="J785" s="10"/>
      <c r="K785" s="24">
        <f>SUM(K786:K786)</f>
        <v>910.6</v>
      </c>
      <c r="L785" s="24">
        <f>SUM(L786:L786)</f>
        <v>0</v>
      </c>
      <c r="M785" s="24">
        <f>SUM(M786:M786)</f>
        <v>910.6</v>
      </c>
    </row>
    <row r="786" spans="1:14" s="7" customFormat="1" ht="54" customHeight="1" x14ac:dyDescent="0.35">
      <c r="A786" s="11"/>
      <c r="B786" s="498" t="s">
        <v>55</v>
      </c>
      <c r="C786" s="23" t="s">
        <v>295</v>
      </c>
      <c r="D786" s="10" t="s">
        <v>67</v>
      </c>
      <c r="E786" s="10" t="s">
        <v>39</v>
      </c>
      <c r="F786" s="661" t="s">
        <v>52</v>
      </c>
      <c r="G786" s="662" t="s">
        <v>45</v>
      </c>
      <c r="H786" s="662" t="s">
        <v>39</v>
      </c>
      <c r="I786" s="663" t="s">
        <v>297</v>
      </c>
      <c r="J786" s="10" t="s">
        <v>56</v>
      </c>
      <c r="K786" s="24">
        <f>629.7+280.9</f>
        <v>910.6</v>
      </c>
      <c r="L786" s="24">
        <f>M786-K786</f>
        <v>0</v>
      </c>
      <c r="M786" s="24">
        <f>629.7+280.9</f>
        <v>910.6</v>
      </c>
      <c r="N786" s="141"/>
    </row>
    <row r="787" spans="1:14" s="7" customFormat="1" ht="27.75" customHeight="1" x14ac:dyDescent="0.35">
      <c r="A787" s="11"/>
      <c r="B787" s="498" t="s">
        <v>492</v>
      </c>
      <c r="C787" s="23" t="s">
        <v>295</v>
      </c>
      <c r="D787" s="10" t="s">
        <v>67</v>
      </c>
      <c r="E787" s="10" t="s">
        <v>39</v>
      </c>
      <c r="F787" s="661" t="s">
        <v>52</v>
      </c>
      <c r="G787" s="662" t="s">
        <v>45</v>
      </c>
      <c r="H787" s="662" t="s">
        <v>491</v>
      </c>
      <c r="I787" s="663" t="s">
        <v>44</v>
      </c>
      <c r="J787" s="10"/>
      <c r="K787" s="24">
        <f t="shared" ref="K787:M788" si="100">K788</f>
        <v>1535</v>
      </c>
      <c r="L787" s="24">
        <f t="shared" si="100"/>
        <v>-43.799999999999955</v>
      </c>
      <c r="M787" s="24">
        <f t="shared" si="100"/>
        <v>1491.2</v>
      </c>
      <c r="N787" s="141"/>
    </row>
    <row r="788" spans="1:14" s="7" customFormat="1" ht="54" customHeight="1" x14ac:dyDescent="0.35">
      <c r="A788" s="11"/>
      <c r="B788" s="498" t="s">
        <v>493</v>
      </c>
      <c r="C788" s="23" t="s">
        <v>295</v>
      </c>
      <c r="D788" s="10" t="s">
        <v>67</v>
      </c>
      <c r="E788" s="10" t="s">
        <v>39</v>
      </c>
      <c r="F788" s="661" t="s">
        <v>52</v>
      </c>
      <c r="G788" s="662" t="s">
        <v>45</v>
      </c>
      <c r="H788" s="662" t="s">
        <v>491</v>
      </c>
      <c r="I788" s="663" t="s">
        <v>503</v>
      </c>
      <c r="J788" s="10"/>
      <c r="K788" s="24">
        <f t="shared" si="100"/>
        <v>1535</v>
      </c>
      <c r="L788" s="24">
        <f t="shared" si="100"/>
        <v>-43.799999999999955</v>
      </c>
      <c r="M788" s="24">
        <f t="shared" si="100"/>
        <v>1491.2</v>
      </c>
      <c r="N788" s="141"/>
    </row>
    <row r="789" spans="1:14" s="7" customFormat="1" ht="54" customHeight="1" x14ac:dyDescent="0.35">
      <c r="A789" s="11"/>
      <c r="B789" s="498" t="s">
        <v>55</v>
      </c>
      <c r="C789" s="23" t="s">
        <v>295</v>
      </c>
      <c r="D789" s="10" t="s">
        <v>67</v>
      </c>
      <c r="E789" s="10" t="s">
        <v>39</v>
      </c>
      <c r="F789" s="661" t="s">
        <v>52</v>
      </c>
      <c r="G789" s="662" t="s">
        <v>45</v>
      </c>
      <c r="H789" s="662" t="s">
        <v>491</v>
      </c>
      <c r="I789" s="663" t="s">
        <v>503</v>
      </c>
      <c r="J789" s="10" t="s">
        <v>56</v>
      </c>
      <c r="K789" s="24">
        <f>2863.4+88.6-1417</f>
        <v>1535</v>
      </c>
      <c r="L789" s="24">
        <f>M789-K789</f>
        <v>-43.799999999999955</v>
      </c>
      <c r="M789" s="24">
        <f>2863.4+88.6-1417-43.8</f>
        <v>1491.2</v>
      </c>
      <c r="N789" s="141"/>
    </row>
    <row r="790" spans="1:14" s="7" customFormat="1" ht="36" x14ac:dyDescent="0.35">
      <c r="A790" s="11"/>
      <c r="B790" s="498" t="s">
        <v>220</v>
      </c>
      <c r="C790" s="23" t="s">
        <v>295</v>
      </c>
      <c r="D790" s="10" t="s">
        <v>67</v>
      </c>
      <c r="E790" s="10" t="s">
        <v>39</v>
      </c>
      <c r="F790" s="661" t="s">
        <v>52</v>
      </c>
      <c r="G790" s="662" t="s">
        <v>89</v>
      </c>
      <c r="H790" s="662" t="s">
        <v>43</v>
      </c>
      <c r="I790" s="663" t="s">
        <v>44</v>
      </c>
      <c r="J790" s="10"/>
      <c r="K790" s="24">
        <f t="shared" ref="K790:M792" si="101">K791</f>
        <v>24812</v>
      </c>
      <c r="L790" s="24">
        <f t="shared" si="101"/>
        <v>0</v>
      </c>
      <c r="M790" s="24">
        <f t="shared" si="101"/>
        <v>24812</v>
      </c>
      <c r="N790" s="141"/>
    </row>
    <row r="791" spans="1:14" s="7" customFormat="1" ht="42" customHeight="1" x14ac:dyDescent="0.35">
      <c r="A791" s="11"/>
      <c r="B791" s="498" t="s">
        <v>366</v>
      </c>
      <c r="C791" s="23" t="s">
        <v>295</v>
      </c>
      <c r="D791" s="10" t="s">
        <v>67</v>
      </c>
      <c r="E791" s="10" t="s">
        <v>39</v>
      </c>
      <c r="F791" s="661" t="s">
        <v>52</v>
      </c>
      <c r="G791" s="662" t="s">
        <v>89</v>
      </c>
      <c r="H791" s="662" t="s">
        <v>39</v>
      </c>
      <c r="I791" s="663" t="s">
        <v>44</v>
      </c>
      <c r="J791" s="10"/>
      <c r="K791" s="24">
        <f t="shared" si="101"/>
        <v>24812</v>
      </c>
      <c r="L791" s="24">
        <f t="shared" si="101"/>
        <v>0</v>
      </c>
      <c r="M791" s="24">
        <f t="shared" si="101"/>
        <v>24812</v>
      </c>
      <c r="N791" s="141"/>
    </row>
    <row r="792" spans="1:14" s="7" customFormat="1" ht="90" x14ac:dyDescent="0.35">
      <c r="A792" s="11"/>
      <c r="B792" s="498" t="s">
        <v>738</v>
      </c>
      <c r="C792" s="23" t="s">
        <v>295</v>
      </c>
      <c r="D792" s="10" t="s">
        <v>67</v>
      </c>
      <c r="E792" s="10" t="s">
        <v>39</v>
      </c>
      <c r="F792" s="661" t="s">
        <v>52</v>
      </c>
      <c r="G792" s="662" t="s">
        <v>89</v>
      </c>
      <c r="H792" s="662" t="s">
        <v>39</v>
      </c>
      <c r="I792" s="663" t="s">
        <v>737</v>
      </c>
      <c r="J792" s="10"/>
      <c r="K792" s="24">
        <f t="shared" si="101"/>
        <v>24812</v>
      </c>
      <c r="L792" s="24">
        <f t="shared" si="101"/>
        <v>0</v>
      </c>
      <c r="M792" s="24">
        <f t="shared" si="101"/>
        <v>24812</v>
      </c>
      <c r="N792" s="141"/>
    </row>
    <row r="793" spans="1:14" s="7" customFormat="1" ht="54" customHeight="1" x14ac:dyDescent="0.35">
      <c r="A793" s="11"/>
      <c r="B793" s="498" t="s">
        <v>55</v>
      </c>
      <c r="C793" s="23" t="s">
        <v>295</v>
      </c>
      <c r="D793" s="10" t="s">
        <v>67</v>
      </c>
      <c r="E793" s="10" t="s">
        <v>39</v>
      </c>
      <c r="F793" s="661" t="s">
        <v>52</v>
      </c>
      <c r="G793" s="662" t="s">
        <v>89</v>
      </c>
      <c r="H793" s="662" t="s">
        <v>39</v>
      </c>
      <c r="I793" s="663" t="s">
        <v>737</v>
      </c>
      <c r="J793" s="10" t="s">
        <v>56</v>
      </c>
      <c r="K793" s="24">
        <v>24812</v>
      </c>
      <c r="L793" s="24">
        <f>M793-K793</f>
        <v>0</v>
      </c>
      <c r="M793" s="24">
        <v>24812</v>
      </c>
      <c r="N793" s="141"/>
    </row>
    <row r="794" spans="1:14" s="7" customFormat="1" ht="18" x14ac:dyDescent="0.35">
      <c r="A794" s="11"/>
      <c r="B794" s="498" t="s">
        <v>707</v>
      </c>
      <c r="C794" s="23" t="s">
        <v>295</v>
      </c>
      <c r="D794" s="10" t="s">
        <v>67</v>
      </c>
      <c r="E794" s="10" t="s">
        <v>63</v>
      </c>
      <c r="F794" s="661"/>
      <c r="G794" s="662"/>
      <c r="H794" s="662"/>
      <c r="I794" s="663"/>
      <c r="J794" s="10"/>
      <c r="K794" s="24">
        <f>K795</f>
        <v>40460.593520000002</v>
      </c>
      <c r="L794" s="24">
        <f>L795</f>
        <v>-347.80000000000086</v>
      </c>
      <c r="M794" s="24">
        <f>M795</f>
        <v>40112.793519999992</v>
      </c>
      <c r="N794" s="141"/>
    </row>
    <row r="795" spans="1:14" s="7" customFormat="1" ht="54" x14ac:dyDescent="0.35">
      <c r="A795" s="11"/>
      <c r="B795" s="498" t="s">
        <v>217</v>
      </c>
      <c r="C795" s="23" t="s">
        <v>295</v>
      </c>
      <c r="D795" s="10" t="s">
        <v>67</v>
      </c>
      <c r="E795" s="10" t="s">
        <v>63</v>
      </c>
      <c r="F795" s="661" t="s">
        <v>52</v>
      </c>
      <c r="G795" s="662" t="s">
        <v>42</v>
      </c>
      <c r="H795" s="662" t="s">
        <v>43</v>
      </c>
      <c r="I795" s="663" t="s">
        <v>44</v>
      </c>
      <c r="J795" s="10"/>
      <c r="K795" s="24">
        <f>K796+K800</f>
        <v>40460.593520000002</v>
      </c>
      <c r="L795" s="24">
        <f>L796+L800</f>
        <v>-347.80000000000086</v>
      </c>
      <c r="M795" s="24">
        <f>M796+M800</f>
        <v>40112.793519999992</v>
      </c>
      <c r="N795" s="141"/>
    </row>
    <row r="796" spans="1:14" s="7" customFormat="1" ht="36" x14ac:dyDescent="0.35">
      <c r="A796" s="11"/>
      <c r="B796" s="538" t="s">
        <v>218</v>
      </c>
      <c r="C796" s="23" t="s">
        <v>295</v>
      </c>
      <c r="D796" s="10" t="s">
        <v>67</v>
      </c>
      <c r="E796" s="10" t="s">
        <v>63</v>
      </c>
      <c r="F796" s="661" t="s">
        <v>52</v>
      </c>
      <c r="G796" s="662" t="s">
        <v>45</v>
      </c>
      <c r="H796" s="662" t="s">
        <v>43</v>
      </c>
      <c r="I796" s="663" t="s">
        <v>44</v>
      </c>
      <c r="J796" s="10"/>
      <c r="K796" s="24">
        <f>K797</f>
        <v>276</v>
      </c>
      <c r="L796" s="24">
        <f>L797</f>
        <v>0</v>
      </c>
      <c r="M796" s="24">
        <f>M797</f>
        <v>276</v>
      </c>
      <c r="N796" s="141"/>
    </row>
    <row r="797" spans="1:14" s="7" customFormat="1" ht="18" x14ac:dyDescent="0.35">
      <c r="A797" s="11"/>
      <c r="B797" s="498" t="s">
        <v>282</v>
      </c>
      <c r="C797" s="23" t="s">
        <v>295</v>
      </c>
      <c r="D797" s="10" t="s">
        <v>67</v>
      </c>
      <c r="E797" s="10" t="s">
        <v>63</v>
      </c>
      <c r="F797" s="661" t="s">
        <v>52</v>
      </c>
      <c r="G797" s="662" t="s">
        <v>45</v>
      </c>
      <c r="H797" s="662" t="s">
        <v>37</v>
      </c>
      <c r="I797" s="663" t="s">
        <v>44</v>
      </c>
      <c r="J797" s="10"/>
      <c r="K797" s="24">
        <f t="shared" ref="K797:M798" si="102">K798</f>
        <v>276</v>
      </c>
      <c r="L797" s="24">
        <f t="shared" si="102"/>
        <v>0</v>
      </c>
      <c r="M797" s="24">
        <f t="shared" si="102"/>
        <v>276</v>
      </c>
      <c r="N797" s="141"/>
    </row>
    <row r="798" spans="1:14" s="7" customFormat="1" ht="36" x14ac:dyDescent="0.35">
      <c r="A798" s="11"/>
      <c r="B798" s="498" t="s">
        <v>283</v>
      </c>
      <c r="C798" s="23" t="s">
        <v>295</v>
      </c>
      <c r="D798" s="10" t="s">
        <v>67</v>
      </c>
      <c r="E798" s="10" t="s">
        <v>63</v>
      </c>
      <c r="F798" s="661" t="s">
        <v>52</v>
      </c>
      <c r="G798" s="662" t="s">
        <v>45</v>
      </c>
      <c r="H798" s="662" t="s">
        <v>37</v>
      </c>
      <c r="I798" s="663" t="s">
        <v>284</v>
      </c>
      <c r="J798" s="10"/>
      <c r="K798" s="24">
        <f t="shared" si="102"/>
        <v>276</v>
      </c>
      <c r="L798" s="24">
        <f t="shared" si="102"/>
        <v>0</v>
      </c>
      <c r="M798" s="24">
        <f t="shared" si="102"/>
        <v>276</v>
      </c>
      <c r="N798" s="141"/>
    </row>
    <row r="799" spans="1:14" s="7" customFormat="1" ht="36" x14ac:dyDescent="0.35">
      <c r="A799" s="11"/>
      <c r="B799" s="498" t="s">
        <v>120</v>
      </c>
      <c r="C799" s="23" t="s">
        <v>295</v>
      </c>
      <c r="D799" s="10" t="s">
        <v>67</v>
      </c>
      <c r="E799" s="10" t="s">
        <v>63</v>
      </c>
      <c r="F799" s="661" t="s">
        <v>52</v>
      </c>
      <c r="G799" s="662" t="s">
        <v>45</v>
      </c>
      <c r="H799" s="662" t="s">
        <v>37</v>
      </c>
      <c r="I799" s="663" t="s">
        <v>284</v>
      </c>
      <c r="J799" s="10" t="s">
        <v>121</v>
      </c>
      <c r="K799" s="24">
        <f>312-36</f>
        <v>276</v>
      </c>
      <c r="L799" s="24">
        <f>M799-K799</f>
        <v>0</v>
      </c>
      <c r="M799" s="24">
        <f>312-36</f>
        <v>276</v>
      </c>
      <c r="N799" s="141"/>
    </row>
    <row r="800" spans="1:14" s="7" customFormat="1" ht="36" x14ac:dyDescent="0.35">
      <c r="A800" s="11"/>
      <c r="B800" s="498" t="s">
        <v>220</v>
      </c>
      <c r="C800" s="23" t="s">
        <v>295</v>
      </c>
      <c r="D800" s="10" t="s">
        <v>67</v>
      </c>
      <c r="E800" s="10" t="s">
        <v>63</v>
      </c>
      <c r="F800" s="661" t="s">
        <v>52</v>
      </c>
      <c r="G800" s="662" t="s">
        <v>89</v>
      </c>
      <c r="H800" s="662" t="s">
        <v>43</v>
      </c>
      <c r="I800" s="663" t="s">
        <v>44</v>
      </c>
      <c r="J800" s="10"/>
      <c r="K800" s="24">
        <f>K801</f>
        <v>40184.593520000002</v>
      </c>
      <c r="L800" s="24">
        <f>L801</f>
        <v>-347.80000000000086</v>
      </c>
      <c r="M800" s="24">
        <f>M801</f>
        <v>39836.793519999992</v>
      </c>
      <c r="N800" s="141"/>
    </row>
    <row r="801" spans="1:14" s="7" customFormat="1" ht="18" x14ac:dyDescent="0.35">
      <c r="A801" s="11"/>
      <c r="B801" s="498" t="s">
        <v>366</v>
      </c>
      <c r="C801" s="23" t="s">
        <v>295</v>
      </c>
      <c r="D801" s="10" t="s">
        <v>67</v>
      </c>
      <c r="E801" s="10" t="s">
        <v>63</v>
      </c>
      <c r="F801" s="661" t="s">
        <v>52</v>
      </c>
      <c r="G801" s="662" t="s">
        <v>89</v>
      </c>
      <c r="H801" s="662" t="s">
        <v>39</v>
      </c>
      <c r="I801" s="663" t="s">
        <v>44</v>
      </c>
      <c r="J801" s="10"/>
      <c r="K801" s="24">
        <f>K802+K812+K806+K808+K814+K810</f>
        <v>40184.593520000002</v>
      </c>
      <c r="L801" s="24">
        <f>L802+L812+L806+L808+L814+L810</f>
        <v>-347.80000000000086</v>
      </c>
      <c r="M801" s="24">
        <f>M802+M812+M806+M808+M814+M810</f>
        <v>39836.793519999992</v>
      </c>
      <c r="N801" s="141"/>
    </row>
    <row r="802" spans="1:14" s="7" customFormat="1" ht="36" x14ac:dyDescent="0.35">
      <c r="A802" s="11"/>
      <c r="B802" s="531" t="s">
        <v>466</v>
      </c>
      <c r="C802" s="23" t="s">
        <v>295</v>
      </c>
      <c r="D802" s="10" t="s">
        <v>67</v>
      </c>
      <c r="E802" s="10" t="s">
        <v>63</v>
      </c>
      <c r="F802" s="661" t="s">
        <v>52</v>
      </c>
      <c r="G802" s="662" t="s">
        <v>89</v>
      </c>
      <c r="H802" s="662" t="s">
        <v>39</v>
      </c>
      <c r="I802" s="663" t="s">
        <v>91</v>
      </c>
      <c r="J802" s="10"/>
      <c r="K802" s="24">
        <f>K803+K804+K805</f>
        <v>30921.981520000001</v>
      </c>
      <c r="L802" s="24">
        <f>L803+L804+L805</f>
        <v>359.99999999999932</v>
      </c>
      <c r="M802" s="24">
        <f>M803+M804+M805</f>
        <v>31281.981519999994</v>
      </c>
      <c r="N802" s="141"/>
    </row>
    <row r="803" spans="1:14" s="7" customFormat="1" ht="108" x14ac:dyDescent="0.35">
      <c r="A803" s="11"/>
      <c r="B803" s="498" t="s">
        <v>49</v>
      </c>
      <c r="C803" s="23" t="s">
        <v>295</v>
      </c>
      <c r="D803" s="10" t="s">
        <v>67</v>
      </c>
      <c r="E803" s="10" t="s">
        <v>63</v>
      </c>
      <c r="F803" s="661" t="s">
        <v>52</v>
      </c>
      <c r="G803" s="662" t="s">
        <v>89</v>
      </c>
      <c r="H803" s="662" t="s">
        <v>39</v>
      </c>
      <c r="I803" s="663" t="s">
        <v>91</v>
      </c>
      <c r="J803" s="10" t="s">
        <v>50</v>
      </c>
      <c r="K803" s="24">
        <f>17793.32805+97.6+857.2</f>
        <v>18748.128049999999</v>
      </c>
      <c r="L803" s="24">
        <f>M803-K803</f>
        <v>0</v>
      </c>
      <c r="M803" s="24">
        <f>17793.32805+97.6+857.2</f>
        <v>18748.128049999999</v>
      </c>
      <c r="N803" s="141"/>
    </row>
    <row r="804" spans="1:14" s="7" customFormat="1" ht="54" x14ac:dyDescent="0.35">
      <c r="A804" s="11"/>
      <c r="B804" s="498" t="s">
        <v>55</v>
      </c>
      <c r="C804" s="23" t="s">
        <v>295</v>
      </c>
      <c r="D804" s="10" t="s">
        <v>67</v>
      </c>
      <c r="E804" s="10" t="s">
        <v>63</v>
      </c>
      <c r="F804" s="661" t="s">
        <v>52</v>
      </c>
      <c r="G804" s="662" t="s">
        <v>89</v>
      </c>
      <c r="H804" s="662" t="s">
        <v>39</v>
      </c>
      <c r="I804" s="663" t="s">
        <v>91</v>
      </c>
      <c r="J804" s="10" t="s">
        <v>56</v>
      </c>
      <c r="K804" s="24">
        <f>6834.83343+2385.6-5.9+5.9+539.5+10+750.1+52+180.5+186.4+62.8</f>
        <v>11001.733429999998</v>
      </c>
      <c r="L804" s="24">
        <f>M804-K804</f>
        <v>15.799999999999272</v>
      </c>
      <c r="M804" s="24">
        <f>6834.83343+2385.6-5.9+5.9+539.5+10+750.1+52+180.5+186.4+62.8-344.2+360</f>
        <v>11017.533429999998</v>
      </c>
      <c r="N804" s="141"/>
    </row>
    <row r="805" spans="1:14" s="7" customFormat="1" ht="18" x14ac:dyDescent="0.35">
      <c r="A805" s="11"/>
      <c r="B805" s="498" t="s">
        <v>57</v>
      </c>
      <c r="C805" s="23" t="s">
        <v>295</v>
      </c>
      <c r="D805" s="10" t="s">
        <v>67</v>
      </c>
      <c r="E805" s="10" t="s">
        <v>63</v>
      </c>
      <c r="F805" s="661" t="s">
        <v>52</v>
      </c>
      <c r="G805" s="662" t="s">
        <v>89</v>
      </c>
      <c r="H805" s="662" t="s">
        <v>39</v>
      </c>
      <c r="I805" s="663" t="s">
        <v>91</v>
      </c>
      <c r="J805" s="10" t="s">
        <v>58</v>
      </c>
      <c r="K805" s="24">
        <f>1166.02004+6.1</f>
        <v>1172.12004</v>
      </c>
      <c r="L805" s="24">
        <f>M805-K805</f>
        <v>344.20000000000005</v>
      </c>
      <c r="M805" s="24">
        <f>1166.02004+6.1+344.2</f>
        <v>1516.3200400000001</v>
      </c>
      <c r="N805" s="141"/>
    </row>
    <row r="806" spans="1:14" s="7" customFormat="1" ht="54" x14ac:dyDescent="0.35">
      <c r="A806" s="11"/>
      <c r="B806" s="498" t="s">
        <v>219</v>
      </c>
      <c r="C806" s="23" t="s">
        <v>295</v>
      </c>
      <c r="D806" s="10" t="s">
        <v>67</v>
      </c>
      <c r="E806" s="10" t="s">
        <v>63</v>
      </c>
      <c r="F806" s="661" t="s">
        <v>52</v>
      </c>
      <c r="G806" s="662" t="s">
        <v>89</v>
      </c>
      <c r="H806" s="662" t="s">
        <v>39</v>
      </c>
      <c r="I806" s="663" t="s">
        <v>297</v>
      </c>
      <c r="J806" s="10"/>
      <c r="K806" s="24">
        <f>K807</f>
        <v>1734.6120000000005</v>
      </c>
      <c r="L806" s="24">
        <f>L807</f>
        <v>0</v>
      </c>
      <c r="M806" s="24">
        <f>M807</f>
        <v>1734.6120000000005</v>
      </c>
      <c r="N806" s="141"/>
    </row>
    <row r="807" spans="1:14" s="7" customFormat="1" ht="54" x14ac:dyDescent="0.35">
      <c r="A807" s="11"/>
      <c r="B807" s="498" t="s">
        <v>55</v>
      </c>
      <c r="C807" s="23" t="s">
        <v>295</v>
      </c>
      <c r="D807" s="10" t="s">
        <v>67</v>
      </c>
      <c r="E807" s="10" t="s">
        <v>63</v>
      </c>
      <c r="F807" s="661" t="s">
        <v>52</v>
      </c>
      <c r="G807" s="662" t="s">
        <v>89</v>
      </c>
      <c r="H807" s="662" t="s">
        <v>39</v>
      </c>
      <c r="I807" s="663" t="s">
        <v>297</v>
      </c>
      <c r="J807" s="10" t="s">
        <v>56</v>
      </c>
      <c r="K807" s="24">
        <f>4120.212-2385.6</f>
        <v>1734.6120000000005</v>
      </c>
      <c r="L807" s="24">
        <f>M807-K807</f>
        <v>0</v>
      </c>
      <c r="M807" s="24">
        <f>4120.212-2385.6</f>
        <v>1734.6120000000005</v>
      </c>
      <c r="N807" s="141"/>
    </row>
    <row r="808" spans="1:14" s="7" customFormat="1" ht="180" x14ac:dyDescent="0.35">
      <c r="A808" s="11"/>
      <c r="B808" s="498" t="s">
        <v>440</v>
      </c>
      <c r="C808" s="23" t="s">
        <v>295</v>
      </c>
      <c r="D808" s="10" t="s">
        <v>67</v>
      </c>
      <c r="E808" s="10" t="s">
        <v>63</v>
      </c>
      <c r="F808" s="661" t="s">
        <v>52</v>
      </c>
      <c r="G808" s="662" t="s">
        <v>89</v>
      </c>
      <c r="H808" s="662" t="s">
        <v>39</v>
      </c>
      <c r="I808" s="663" t="s">
        <v>393</v>
      </c>
      <c r="J808" s="10"/>
      <c r="K808" s="24">
        <f>K809</f>
        <v>15.599999999999994</v>
      </c>
      <c r="L808" s="24">
        <f>L809</f>
        <v>0</v>
      </c>
      <c r="M808" s="24">
        <f>M809</f>
        <v>15.599999999999994</v>
      </c>
      <c r="N808" s="141"/>
    </row>
    <row r="809" spans="1:14" s="7" customFormat="1" ht="108" x14ac:dyDescent="0.35">
      <c r="A809" s="11"/>
      <c r="B809" s="498" t="s">
        <v>49</v>
      </c>
      <c r="C809" s="23" t="s">
        <v>295</v>
      </c>
      <c r="D809" s="10" t="s">
        <v>67</v>
      </c>
      <c r="E809" s="10" t="s">
        <v>63</v>
      </c>
      <c r="F809" s="661" t="s">
        <v>52</v>
      </c>
      <c r="G809" s="662" t="s">
        <v>89</v>
      </c>
      <c r="H809" s="662" t="s">
        <v>39</v>
      </c>
      <c r="I809" s="663" t="s">
        <v>393</v>
      </c>
      <c r="J809" s="10" t="s">
        <v>50</v>
      </c>
      <c r="K809" s="24">
        <f>187.5-171.9</f>
        <v>15.599999999999994</v>
      </c>
      <c r="L809" s="24">
        <f>M809-K809</f>
        <v>0</v>
      </c>
      <c r="M809" s="24">
        <f>187.5-171.9</f>
        <v>15.599999999999994</v>
      </c>
      <c r="N809" s="141"/>
    </row>
    <row r="810" spans="1:14" s="7" customFormat="1" ht="54" x14ac:dyDescent="0.35">
      <c r="A810" s="11"/>
      <c r="B810" s="566" t="s">
        <v>696</v>
      </c>
      <c r="C810" s="23" t="s">
        <v>295</v>
      </c>
      <c r="D810" s="10" t="s">
        <v>67</v>
      </c>
      <c r="E810" s="10" t="s">
        <v>63</v>
      </c>
      <c r="F810" s="661" t="s">
        <v>52</v>
      </c>
      <c r="G810" s="662" t="s">
        <v>89</v>
      </c>
      <c r="H810" s="662" t="s">
        <v>39</v>
      </c>
      <c r="I810" s="663" t="s">
        <v>695</v>
      </c>
      <c r="J810" s="10"/>
      <c r="K810" s="24">
        <f>K811</f>
        <v>388.9</v>
      </c>
      <c r="L810" s="24">
        <f>L811</f>
        <v>0</v>
      </c>
      <c r="M810" s="24">
        <f>M811</f>
        <v>388.9</v>
      </c>
      <c r="N810" s="141"/>
    </row>
    <row r="811" spans="1:14" s="7" customFormat="1" ht="54" x14ac:dyDescent="0.35">
      <c r="A811" s="11"/>
      <c r="B811" s="498" t="s">
        <v>55</v>
      </c>
      <c r="C811" s="23" t="s">
        <v>295</v>
      </c>
      <c r="D811" s="10" t="s">
        <v>67</v>
      </c>
      <c r="E811" s="10" t="s">
        <v>63</v>
      </c>
      <c r="F811" s="661" t="s">
        <v>52</v>
      </c>
      <c r="G811" s="662" t="s">
        <v>89</v>
      </c>
      <c r="H811" s="662" t="s">
        <v>39</v>
      </c>
      <c r="I811" s="663" t="s">
        <v>695</v>
      </c>
      <c r="J811" s="10" t="s">
        <v>56</v>
      </c>
      <c r="K811" s="24">
        <v>388.9</v>
      </c>
      <c r="L811" s="24">
        <f>M811-K811</f>
        <v>0</v>
      </c>
      <c r="M811" s="24">
        <v>388.9</v>
      </c>
      <c r="N811" s="141"/>
    </row>
    <row r="812" spans="1:14" s="7" customFormat="1" ht="54" x14ac:dyDescent="0.35">
      <c r="A812" s="11"/>
      <c r="B812" s="498" t="s">
        <v>442</v>
      </c>
      <c r="C812" s="23" t="s">
        <v>295</v>
      </c>
      <c r="D812" s="10" t="s">
        <v>67</v>
      </c>
      <c r="E812" s="10" t="s">
        <v>63</v>
      </c>
      <c r="F812" s="661" t="s">
        <v>52</v>
      </c>
      <c r="G812" s="662" t="s">
        <v>89</v>
      </c>
      <c r="H812" s="662" t="s">
        <v>39</v>
      </c>
      <c r="I812" s="663" t="s">
        <v>413</v>
      </c>
      <c r="J812" s="10"/>
      <c r="K812" s="24">
        <f>K813</f>
        <v>2003.5</v>
      </c>
      <c r="L812" s="24">
        <f>L813</f>
        <v>0</v>
      </c>
      <c r="M812" s="24">
        <f>M813</f>
        <v>2003.5</v>
      </c>
      <c r="N812" s="141"/>
    </row>
    <row r="813" spans="1:14" s="7" customFormat="1" ht="108" x14ac:dyDescent="0.35">
      <c r="A813" s="11"/>
      <c r="B813" s="498" t="s">
        <v>49</v>
      </c>
      <c r="C813" s="23" t="s">
        <v>295</v>
      </c>
      <c r="D813" s="10" t="s">
        <v>67</v>
      </c>
      <c r="E813" s="10" t="s">
        <v>63</v>
      </c>
      <c r="F813" s="661" t="s">
        <v>52</v>
      </c>
      <c r="G813" s="662" t="s">
        <v>89</v>
      </c>
      <c r="H813" s="662" t="s">
        <v>39</v>
      </c>
      <c r="I813" s="663" t="s">
        <v>413</v>
      </c>
      <c r="J813" s="10" t="s">
        <v>50</v>
      </c>
      <c r="K813" s="24">
        <f>1884.7+118.8</f>
        <v>2003.5</v>
      </c>
      <c r="L813" s="24">
        <f>M813-K813</f>
        <v>0</v>
      </c>
      <c r="M813" s="24">
        <f>1884.7+118.8</f>
        <v>2003.5</v>
      </c>
      <c r="N813" s="141"/>
    </row>
    <row r="814" spans="1:14" s="7" customFormat="1" ht="162" x14ac:dyDescent="0.35">
      <c r="A814" s="11"/>
      <c r="B814" s="498" t="s">
        <v>579</v>
      </c>
      <c r="C814" s="23" t="s">
        <v>295</v>
      </c>
      <c r="D814" s="10" t="s">
        <v>67</v>
      </c>
      <c r="E814" s="10" t="s">
        <v>63</v>
      </c>
      <c r="F814" s="661" t="s">
        <v>52</v>
      </c>
      <c r="G814" s="662" t="s">
        <v>89</v>
      </c>
      <c r="H814" s="662" t="s">
        <v>39</v>
      </c>
      <c r="I814" s="663" t="s">
        <v>578</v>
      </c>
      <c r="J814" s="10"/>
      <c r="K814" s="24">
        <f>K815</f>
        <v>5120</v>
      </c>
      <c r="L814" s="24">
        <f>L815</f>
        <v>-707.80000000000018</v>
      </c>
      <c r="M814" s="24">
        <f>M815</f>
        <v>4412.2</v>
      </c>
      <c r="N814" s="141"/>
    </row>
    <row r="815" spans="1:14" s="7" customFormat="1" ht="54" x14ac:dyDescent="0.35">
      <c r="A815" s="11"/>
      <c r="B815" s="498" t="s">
        <v>55</v>
      </c>
      <c r="C815" s="23" t="s">
        <v>295</v>
      </c>
      <c r="D815" s="10" t="s">
        <v>67</v>
      </c>
      <c r="E815" s="10" t="s">
        <v>63</v>
      </c>
      <c r="F815" s="661" t="s">
        <v>52</v>
      </c>
      <c r="G815" s="662" t="s">
        <v>89</v>
      </c>
      <c r="H815" s="662" t="s">
        <v>39</v>
      </c>
      <c r="I815" s="663" t="s">
        <v>578</v>
      </c>
      <c r="J815" s="10" t="s">
        <v>56</v>
      </c>
      <c r="K815" s="24">
        <v>5120</v>
      </c>
      <c r="L815" s="24">
        <f>M815-K815</f>
        <v>-707.80000000000018</v>
      </c>
      <c r="M815" s="24">
        <f>5120-689.7-18.1</f>
        <v>4412.2</v>
      </c>
      <c r="N815" s="141"/>
    </row>
    <row r="816" spans="1:14" s="7" customFormat="1" ht="36" customHeight="1" x14ac:dyDescent="0.35">
      <c r="A816" s="11"/>
      <c r="B816" s="538" t="s">
        <v>199</v>
      </c>
      <c r="C816" s="23" t="s">
        <v>295</v>
      </c>
      <c r="D816" s="10" t="s">
        <v>67</v>
      </c>
      <c r="E816" s="10" t="s">
        <v>65</v>
      </c>
      <c r="F816" s="661"/>
      <c r="G816" s="662"/>
      <c r="H816" s="662"/>
      <c r="I816" s="663"/>
      <c r="J816" s="10"/>
      <c r="K816" s="24">
        <f t="shared" ref="K816:M819" si="103">K817</f>
        <v>2971.1000000000004</v>
      </c>
      <c r="L816" s="24">
        <f t="shared" si="103"/>
        <v>0</v>
      </c>
      <c r="M816" s="24">
        <f t="shared" si="103"/>
        <v>2971.1000000000004</v>
      </c>
      <c r="N816" s="141"/>
    </row>
    <row r="817" spans="1:14" s="7" customFormat="1" ht="54" customHeight="1" x14ac:dyDescent="0.35">
      <c r="A817" s="11"/>
      <c r="B817" s="498" t="s">
        <v>217</v>
      </c>
      <c r="C817" s="23" t="s">
        <v>295</v>
      </c>
      <c r="D817" s="10" t="s">
        <v>67</v>
      </c>
      <c r="E817" s="10" t="s">
        <v>65</v>
      </c>
      <c r="F817" s="661" t="s">
        <v>52</v>
      </c>
      <c r="G817" s="662" t="s">
        <v>42</v>
      </c>
      <c r="H817" s="662" t="s">
        <v>43</v>
      </c>
      <c r="I817" s="663" t="s">
        <v>44</v>
      </c>
      <c r="J817" s="10"/>
      <c r="K817" s="24">
        <f t="shared" si="103"/>
        <v>2971.1000000000004</v>
      </c>
      <c r="L817" s="24">
        <f t="shared" si="103"/>
        <v>0</v>
      </c>
      <c r="M817" s="24">
        <f t="shared" si="103"/>
        <v>2971.1000000000004</v>
      </c>
      <c r="N817" s="141"/>
    </row>
    <row r="818" spans="1:14" s="7" customFormat="1" ht="36" customHeight="1" x14ac:dyDescent="0.35">
      <c r="A818" s="11"/>
      <c r="B818" s="505" t="s">
        <v>220</v>
      </c>
      <c r="C818" s="23" t="s">
        <v>295</v>
      </c>
      <c r="D818" s="10" t="s">
        <v>67</v>
      </c>
      <c r="E818" s="10" t="s">
        <v>65</v>
      </c>
      <c r="F818" s="661" t="s">
        <v>52</v>
      </c>
      <c r="G818" s="662" t="s">
        <v>89</v>
      </c>
      <c r="H818" s="662" t="s">
        <v>43</v>
      </c>
      <c r="I818" s="663" t="s">
        <v>44</v>
      </c>
      <c r="J818" s="10"/>
      <c r="K818" s="24">
        <f t="shared" si="103"/>
        <v>2971.1000000000004</v>
      </c>
      <c r="L818" s="24">
        <f t="shared" si="103"/>
        <v>0</v>
      </c>
      <c r="M818" s="24">
        <f t="shared" si="103"/>
        <v>2971.1000000000004</v>
      </c>
      <c r="N818" s="141"/>
    </row>
    <row r="819" spans="1:14" s="7" customFormat="1" ht="36" customHeight="1" x14ac:dyDescent="0.35">
      <c r="A819" s="11"/>
      <c r="B819" s="498" t="s">
        <v>287</v>
      </c>
      <c r="C819" s="23" t="s">
        <v>295</v>
      </c>
      <c r="D819" s="10" t="s">
        <v>67</v>
      </c>
      <c r="E819" s="10" t="s">
        <v>65</v>
      </c>
      <c r="F819" s="661" t="s">
        <v>52</v>
      </c>
      <c r="G819" s="662" t="s">
        <v>89</v>
      </c>
      <c r="H819" s="662" t="s">
        <v>37</v>
      </c>
      <c r="I819" s="663" t="s">
        <v>44</v>
      </c>
      <c r="J819" s="10"/>
      <c r="K819" s="24">
        <f t="shared" si="103"/>
        <v>2971.1000000000004</v>
      </c>
      <c r="L819" s="24">
        <f t="shared" si="103"/>
        <v>0</v>
      </c>
      <c r="M819" s="24">
        <f t="shared" si="103"/>
        <v>2971.1000000000004</v>
      </c>
      <c r="N819" s="141"/>
    </row>
    <row r="820" spans="1:14" s="7" customFormat="1" ht="36" customHeight="1" x14ac:dyDescent="0.35">
      <c r="A820" s="11"/>
      <c r="B820" s="498" t="s">
        <v>47</v>
      </c>
      <c r="C820" s="23" t="s">
        <v>295</v>
      </c>
      <c r="D820" s="10" t="s">
        <v>67</v>
      </c>
      <c r="E820" s="10" t="s">
        <v>65</v>
      </c>
      <c r="F820" s="661" t="s">
        <v>52</v>
      </c>
      <c r="G820" s="662" t="s">
        <v>89</v>
      </c>
      <c r="H820" s="662" t="s">
        <v>37</v>
      </c>
      <c r="I820" s="663" t="s">
        <v>48</v>
      </c>
      <c r="J820" s="10"/>
      <c r="K820" s="24">
        <f>K821+K822+K823</f>
        <v>2971.1000000000004</v>
      </c>
      <c r="L820" s="24">
        <f>L821+L822+L823</f>
        <v>0</v>
      </c>
      <c r="M820" s="24">
        <f>M821+M822+M823</f>
        <v>2971.1000000000004</v>
      </c>
      <c r="N820" s="141"/>
    </row>
    <row r="821" spans="1:14" s="7" customFormat="1" ht="108" customHeight="1" x14ac:dyDescent="0.35">
      <c r="A821" s="11"/>
      <c r="B821" s="498" t="s">
        <v>49</v>
      </c>
      <c r="C821" s="23" t="s">
        <v>295</v>
      </c>
      <c r="D821" s="10" t="s">
        <v>67</v>
      </c>
      <c r="E821" s="10" t="s">
        <v>65</v>
      </c>
      <c r="F821" s="661" t="s">
        <v>52</v>
      </c>
      <c r="G821" s="662" t="s">
        <v>89</v>
      </c>
      <c r="H821" s="662" t="s">
        <v>37</v>
      </c>
      <c r="I821" s="663" t="s">
        <v>48</v>
      </c>
      <c r="J821" s="10" t="s">
        <v>50</v>
      </c>
      <c r="K821" s="24">
        <v>2910.9</v>
      </c>
      <c r="L821" s="24">
        <f>M821-K821</f>
        <v>0</v>
      </c>
      <c r="M821" s="24">
        <v>2910.9</v>
      </c>
      <c r="N821" s="141"/>
    </row>
    <row r="822" spans="1:14" s="7" customFormat="1" ht="54" customHeight="1" x14ac:dyDescent="0.35">
      <c r="A822" s="11"/>
      <c r="B822" s="498" t="s">
        <v>55</v>
      </c>
      <c r="C822" s="23" t="s">
        <v>295</v>
      </c>
      <c r="D822" s="10" t="s">
        <v>67</v>
      </c>
      <c r="E822" s="10" t="s">
        <v>65</v>
      </c>
      <c r="F822" s="661" t="s">
        <v>52</v>
      </c>
      <c r="G822" s="662" t="s">
        <v>89</v>
      </c>
      <c r="H822" s="662" t="s">
        <v>37</v>
      </c>
      <c r="I822" s="663" t="s">
        <v>48</v>
      </c>
      <c r="J822" s="10" t="s">
        <v>56</v>
      </c>
      <c r="K822" s="24">
        <v>58.3</v>
      </c>
      <c r="L822" s="24">
        <f>M822-K822</f>
        <v>0</v>
      </c>
      <c r="M822" s="24">
        <v>58.3</v>
      </c>
      <c r="N822" s="141"/>
    </row>
    <row r="823" spans="1:14" s="7" customFormat="1" ht="18" customHeight="1" x14ac:dyDescent="0.35">
      <c r="A823" s="11"/>
      <c r="B823" s="498" t="s">
        <v>57</v>
      </c>
      <c r="C823" s="23" t="s">
        <v>295</v>
      </c>
      <c r="D823" s="10" t="s">
        <v>67</v>
      </c>
      <c r="E823" s="10" t="s">
        <v>65</v>
      </c>
      <c r="F823" s="661" t="s">
        <v>52</v>
      </c>
      <c r="G823" s="662" t="s">
        <v>89</v>
      </c>
      <c r="H823" s="662" t="s">
        <v>37</v>
      </c>
      <c r="I823" s="663" t="s">
        <v>48</v>
      </c>
      <c r="J823" s="10" t="s">
        <v>58</v>
      </c>
      <c r="K823" s="24">
        <v>1.9</v>
      </c>
      <c r="L823" s="24">
        <f>M823-K823</f>
        <v>0</v>
      </c>
      <c r="M823" s="24">
        <v>1.9</v>
      </c>
      <c r="N823" s="141"/>
    </row>
    <row r="824" spans="1:14" s="7" customFormat="1" ht="18" customHeight="1" x14ac:dyDescent="0.35">
      <c r="A824" s="11"/>
      <c r="B824" s="498"/>
      <c r="C824" s="23"/>
      <c r="D824" s="10"/>
      <c r="E824" s="10"/>
      <c r="F824" s="661"/>
      <c r="G824" s="662"/>
      <c r="H824" s="662"/>
      <c r="I824" s="663"/>
      <c r="J824" s="10"/>
      <c r="K824" s="24"/>
      <c r="L824" s="24"/>
      <c r="M824" s="24"/>
      <c r="N824" s="141"/>
    </row>
    <row r="825" spans="1:14" s="111" customFormat="1" ht="52.2" customHeight="1" x14ac:dyDescent="0.3">
      <c r="A825" s="110">
        <v>8</v>
      </c>
      <c r="B825" s="535" t="s">
        <v>11</v>
      </c>
      <c r="C825" s="18" t="s">
        <v>291</v>
      </c>
      <c r="D825" s="19"/>
      <c r="E825" s="19"/>
      <c r="F825" s="20"/>
      <c r="G825" s="21"/>
      <c r="H825" s="21"/>
      <c r="I825" s="22"/>
      <c r="J825" s="19"/>
      <c r="K825" s="32">
        <f>K839+K826</f>
        <v>9738.27</v>
      </c>
      <c r="L825" s="32">
        <f>L839+L826</f>
        <v>95</v>
      </c>
      <c r="M825" s="32">
        <f>M839+M826</f>
        <v>9833.27</v>
      </c>
    </row>
    <row r="826" spans="1:14" s="111" customFormat="1" ht="18" customHeight="1" x14ac:dyDescent="0.35">
      <c r="A826" s="110"/>
      <c r="B826" s="498" t="s">
        <v>36</v>
      </c>
      <c r="C826" s="23" t="s">
        <v>291</v>
      </c>
      <c r="D826" s="10" t="s">
        <v>37</v>
      </c>
      <c r="E826" s="10"/>
      <c r="F826" s="661"/>
      <c r="G826" s="662"/>
      <c r="H826" s="662"/>
      <c r="I826" s="663"/>
      <c r="J826" s="10"/>
      <c r="K826" s="194">
        <f t="shared" ref="K826:M828" si="104">K827</f>
        <v>238.60000000000002</v>
      </c>
      <c r="L826" s="194">
        <f t="shared" si="104"/>
        <v>-26.5</v>
      </c>
      <c r="M826" s="194">
        <f t="shared" si="104"/>
        <v>212.10000000000002</v>
      </c>
    </row>
    <row r="827" spans="1:14" s="111" customFormat="1" ht="18" customHeight="1" x14ac:dyDescent="0.35">
      <c r="A827" s="110"/>
      <c r="B827" s="498" t="s">
        <v>70</v>
      </c>
      <c r="C827" s="23" t="s">
        <v>291</v>
      </c>
      <c r="D827" s="10" t="s">
        <v>37</v>
      </c>
      <c r="E827" s="10" t="s">
        <v>71</v>
      </c>
      <c r="F827" s="661"/>
      <c r="G827" s="662"/>
      <c r="H827" s="662"/>
      <c r="I827" s="663"/>
      <c r="J827" s="10"/>
      <c r="K827" s="194">
        <f t="shared" si="104"/>
        <v>238.60000000000002</v>
      </c>
      <c r="L827" s="194">
        <f t="shared" si="104"/>
        <v>-26.5</v>
      </c>
      <c r="M827" s="194">
        <f t="shared" si="104"/>
        <v>212.10000000000002</v>
      </c>
    </row>
    <row r="828" spans="1:14" s="111" customFormat="1" ht="54" customHeight="1" x14ac:dyDescent="0.35">
      <c r="A828" s="110"/>
      <c r="B828" s="498" t="s">
        <v>221</v>
      </c>
      <c r="C828" s="23" t="s">
        <v>291</v>
      </c>
      <c r="D828" s="10" t="s">
        <v>37</v>
      </c>
      <c r="E828" s="10" t="s">
        <v>71</v>
      </c>
      <c r="F828" s="661" t="s">
        <v>65</v>
      </c>
      <c r="G828" s="662" t="s">
        <v>42</v>
      </c>
      <c r="H828" s="662" t="s">
        <v>43</v>
      </c>
      <c r="I828" s="663" t="s">
        <v>44</v>
      </c>
      <c r="J828" s="10"/>
      <c r="K828" s="194">
        <f t="shared" si="104"/>
        <v>238.60000000000002</v>
      </c>
      <c r="L828" s="194">
        <f t="shared" si="104"/>
        <v>-26.5</v>
      </c>
      <c r="M828" s="194">
        <f t="shared" si="104"/>
        <v>212.10000000000002</v>
      </c>
    </row>
    <row r="829" spans="1:14" s="111" customFormat="1" ht="36" customHeight="1" x14ac:dyDescent="0.35">
      <c r="A829" s="110"/>
      <c r="B829" s="498" t="s">
        <v>220</v>
      </c>
      <c r="C829" s="23" t="s">
        <v>291</v>
      </c>
      <c r="D829" s="10" t="s">
        <v>37</v>
      </c>
      <c r="E829" s="10" t="s">
        <v>71</v>
      </c>
      <c r="F829" s="661" t="s">
        <v>65</v>
      </c>
      <c r="G829" s="662" t="s">
        <v>89</v>
      </c>
      <c r="H829" s="662" t="s">
        <v>43</v>
      </c>
      <c r="I829" s="663" t="s">
        <v>44</v>
      </c>
      <c r="J829" s="10"/>
      <c r="K829" s="194">
        <f>K830+K833+K836</f>
        <v>238.60000000000002</v>
      </c>
      <c r="L829" s="194">
        <f>L830+L833+L836</f>
        <v>-26.5</v>
      </c>
      <c r="M829" s="194">
        <f>M830+M833+M836</f>
        <v>212.10000000000002</v>
      </c>
    </row>
    <row r="830" spans="1:14" s="111" customFormat="1" ht="36" customHeight="1" x14ac:dyDescent="0.35">
      <c r="A830" s="110"/>
      <c r="B830" s="561" t="s">
        <v>356</v>
      </c>
      <c r="C830" s="23" t="s">
        <v>291</v>
      </c>
      <c r="D830" s="10" t="s">
        <v>37</v>
      </c>
      <c r="E830" s="10" t="s">
        <v>71</v>
      </c>
      <c r="F830" s="661" t="s">
        <v>65</v>
      </c>
      <c r="G830" s="662" t="s">
        <v>89</v>
      </c>
      <c r="H830" s="662" t="s">
        <v>39</v>
      </c>
      <c r="I830" s="663" t="s">
        <v>44</v>
      </c>
      <c r="J830" s="10"/>
      <c r="K830" s="194">
        <f t="shared" ref="K830:M831" si="105">K831</f>
        <v>179.6</v>
      </c>
      <c r="L830" s="194">
        <f t="shared" si="105"/>
        <v>-26.5</v>
      </c>
      <c r="M830" s="194">
        <f t="shared" si="105"/>
        <v>153.1</v>
      </c>
    </row>
    <row r="831" spans="1:14" s="111" customFormat="1" ht="54" customHeight="1" x14ac:dyDescent="0.35">
      <c r="A831" s="110"/>
      <c r="B831" s="561" t="s">
        <v>357</v>
      </c>
      <c r="C831" s="23" t="s">
        <v>291</v>
      </c>
      <c r="D831" s="10" t="s">
        <v>37</v>
      </c>
      <c r="E831" s="10" t="s">
        <v>71</v>
      </c>
      <c r="F831" s="661" t="s">
        <v>65</v>
      </c>
      <c r="G831" s="662" t="s">
        <v>89</v>
      </c>
      <c r="H831" s="662" t="s">
        <v>39</v>
      </c>
      <c r="I831" s="663" t="s">
        <v>105</v>
      </c>
      <c r="J831" s="10"/>
      <c r="K831" s="194">
        <f t="shared" si="105"/>
        <v>179.6</v>
      </c>
      <c r="L831" s="194">
        <f t="shared" si="105"/>
        <v>-26.5</v>
      </c>
      <c r="M831" s="194">
        <f t="shared" si="105"/>
        <v>153.1</v>
      </c>
    </row>
    <row r="832" spans="1:14" s="111" customFormat="1" ht="54" customHeight="1" x14ac:dyDescent="0.35">
      <c r="A832" s="110"/>
      <c r="B832" s="561" t="s">
        <v>55</v>
      </c>
      <c r="C832" s="23" t="s">
        <v>291</v>
      </c>
      <c r="D832" s="10" t="s">
        <v>37</v>
      </c>
      <c r="E832" s="10" t="s">
        <v>71</v>
      </c>
      <c r="F832" s="661" t="s">
        <v>65</v>
      </c>
      <c r="G832" s="662" t="s">
        <v>89</v>
      </c>
      <c r="H832" s="662" t="s">
        <v>39</v>
      </c>
      <c r="I832" s="663" t="s">
        <v>105</v>
      </c>
      <c r="J832" s="10" t="s">
        <v>56</v>
      </c>
      <c r="K832" s="194">
        <f>82.8+96.8</f>
        <v>179.6</v>
      </c>
      <c r="L832" s="24">
        <f>M832-K832</f>
        <v>-26.5</v>
      </c>
      <c r="M832" s="194">
        <f>82.8+96.8-26.5</f>
        <v>153.1</v>
      </c>
    </row>
    <row r="833" spans="1:13" s="111" customFormat="1" ht="36" customHeight="1" x14ac:dyDescent="0.35">
      <c r="A833" s="110"/>
      <c r="B833" s="498" t="s">
        <v>470</v>
      </c>
      <c r="C833" s="23" t="s">
        <v>291</v>
      </c>
      <c r="D833" s="10" t="s">
        <v>37</v>
      </c>
      <c r="E833" s="10" t="s">
        <v>71</v>
      </c>
      <c r="F833" s="661" t="s">
        <v>65</v>
      </c>
      <c r="G833" s="662" t="s">
        <v>89</v>
      </c>
      <c r="H833" s="662" t="s">
        <v>63</v>
      </c>
      <c r="I833" s="663" t="s">
        <v>44</v>
      </c>
      <c r="J833" s="10"/>
      <c r="K833" s="194">
        <f t="shared" ref="K833:M834" si="106">K834</f>
        <v>14.8</v>
      </c>
      <c r="L833" s="194">
        <f t="shared" si="106"/>
        <v>0</v>
      </c>
      <c r="M833" s="194">
        <f t="shared" si="106"/>
        <v>14.8</v>
      </c>
    </row>
    <row r="834" spans="1:13" s="111" customFormat="1" ht="18" customHeight="1" x14ac:dyDescent="0.35">
      <c r="A834" s="110"/>
      <c r="B834" s="498" t="s">
        <v>468</v>
      </c>
      <c r="C834" s="23" t="s">
        <v>291</v>
      </c>
      <c r="D834" s="10" t="s">
        <v>37</v>
      </c>
      <c r="E834" s="10" t="s">
        <v>71</v>
      </c>
      <c r="F834" s="661" t="s">
        <v>65</v>
      </c>
      <c r="G834" s="662" t="s">
        <v>89</v>
      </c>
      <c r="H834" s="662" t="s">
        <v>63</v>
      </c>
      <c r="I834" s="663" t="s">
        <v>469</v>
      </c>
      <c r="J834" s="10"/>
      <c r="K834" s="194">
        <f t="shared" si="106"/>
        <v>14.8</v>
      </c>
      <c r="L834" s="194">
        <f t="shared" si="106"/>
        <v>0</v>
      </c>
      <c r="M834" s="194">
        <f t="shared" si="106"/>
        <v>14.8</v>
      </c>
    </row>
    <row r="835" spans="1:13" s="111" customFormat="1" ht="54" customHeight="1" x14ac:dyDescent="0.35">
      <c r="A835" s="110"/>
      <c r="B835" s="561" t="s">
        <v>55</v>
      </c>
      <c r="C835" s="23" t="s">
        <v>291</v>
      </c>
      <c r="D835" s="10" t="s">
        <v>37</v>
      </c>
      <c r="E835" s="10" t="s">
        <v>71</v>
      </c>
      <c r="F835" s="661" t="s">
        <v>65</v>
      </c>
      <c r="G835" s="662" t="s">
        <v>89</v>
      </c>
      <c r="H835" s="662" t="s">
        <v>63</v>
      </c>
      <c r="I835" s="663" t="s">
        <v>469</v>
      </c>
      <c r="J835" s="28" t="s">
        <v>56</v>
      </c>
      <c r="K835" s="194">
        <v>14.8</v>
      </c>
      <c r="L835" s="24">
        <f>M835-K835</f>
        <v>0</v>
      </c>
      <c r="M835" s="194">
        <v>14.8</v>
      </c>
    </row>
    <row r="836" spans="1:13" s="111" customFormat="1" ht="36" customHeight="1" x14ac:dyDescent="0.35">
      <c r="A836" s="110"/>
      <c r="B836" s="561" t="s">
        <v>473</v>
      </c>
      <c r="C836" s="23" t="s">
        <v>291</v>
      </c>
      <c r="D836" s="10" t="s">
        <v>37</v>
      </c>
      <c r="E836" s="10" t="s">
        <v>71</v>
      </c>
      <c r="F836" s="661" t="s">
        <v>65</v>
      </c>
      <c r="G836" s="662" t="s">
        <v>89</v>
      </c>
      <c r="H836" s="662" t="s">
        <v>52</v>
      </c>
      <c r="I836" s="663" t="s">
        <v>44</v>
      </c>
      <c r="J836" s="19"/>
      <c r="K836" s="194">
        <f t="shared" ref="K836:M837" si="107">K837</f>
        <v>44.2</v>
      </c>
      <c r="L836" s="194">
        <f t="shared" si="107"/>
        <v>0</v>
      </c>
      <c r="M836" s="194">
        <f t="shared" si="107"/>
        <v>44.2</v>
      </c>
    </row>
    <row r="837" spans="1:13" s="111" customFormat="1" ht="36" customHeight="1" x14ac:dyDescent="0.35">
      <c r="A837" s="110"/>
      <c r="B837" s="562" t="s">
        <v>127</v>
      </c>
      <c r="C837" s="23" t="s">
        <v>291</v>
      </c>
      <c r="D837" s="10" t="s">
        <v>37</v>
      </c>
      <c r="E837" s="10" t="s">
        <v>71</v>
      </c>
      <c r="F837" s="661" t="s">
        <v>65</v>
      </c>
      <c r="G837" s="662" t="s">
        <v>89</v>
      </c>
      <c r="H837" s="662" t="s">
        <v>52</v>
      </c>
      <c r="I837" s="663" t="s">
        <v>90</v>
      </c>
      <c r="J837" s="19"/>
      <c r="K837" s="194">
        <f t="shared" si="107"/>
        <v>44.2</v>
      </c>
      <c r="L837" s="194">
        <f t="shared" si="107"/>
        <v>0</v>
      </c>
      <c r="M837" s="194">
        <f t="shared" si="107"/>
        <v>44.2</v>
      </c>
    </row>
    <row r="838" spans="1:13" s="111" customFormat="1" ht="54" customHeight="1" x14ac:dyDescent="0.35">
      <c r="A838" s="110"/>
      <c r="B838" s="561" t="s">
        <v>55</v>
      </c>
      <c r="C838" s="23" t="s">
        <v>291</v>
      </c>
      <c r="D838" s="10" t="s">
        <v>37</v>
      </c>
      <c r="E838" s="10" t="s">
        <v>71</v>
      </c>
      <c r="F838" s="661" t="s">
        <v>65</v>
      </c>
      <c r="G838" s="662" t="s">
        <v>89</v>
      </c>
      <c r="H838" s="662" t="s">
        <v>52</v>
      </c>
      <c r="I838" s="663" t="s">
        <v>90</v>
      </c>
      <c r="J838" s="28" t="s">
        <v>56</v>
      </c>
      <c r="K838" s="194">
        <v>44.2</v>
      </c>
      <c r="L838" s="24">
        <f>M838-K838</f>
        <v>0</v>
      </c>
      <c r="M838" s="194">
        <v>44.2</v>
      </c>
    </row>
    <row r="839" spans="1:13" s="7" customFormat="1" ht="18" customHeight="1" x14ac:dyDescent="0.35">
      <c r="A839" s="110"/>
      <c r="B839" s="498" t="s">
        <v>179</v>
      </c>
      <c r="C839" s="23" t="s">
        <v>291</v>
      </c>
      <c r="D839" s="10" t="s">
        <v>224</v>
      </c>
      <c r="E839" s="10"/>
      <c r="F839" s="661"/>
      <c r="G839" s="662"/>
      <c r="H839" s="662"/>
      <c r="I839" s="663"/>
      <c r="J839" s="10"/>
      <c r="K839" s="24">
        <f>K840+K850</f>
        <v>9499.67</v>
      </c>
      <c r="L839" s="24">
        <f>L840+L850</f>
        <v>121.5</v>
      </c>
      <c r="M839" s="24">
        <f>M840+M850</f>
        <v>9621.17</v>
      </c>
    </row>
    <row r="840" spans="1:13" s="111" customFormat="1" ht="18" customHeight="1" x14ac:dyDescent="0.35">
      <c r="A840" s="110"/>
      <c r="B840" s="498" t="s">
        <v>355</v>
      </c>
      <c r="C840" s="23" t="s">
        <v>291</v>
      </c>
      <c r="D840" s="10" t="s">
        <v>224</v>
      </c>
      <c r="E840" s="10" t="s">
        <v>224</v>
      </c>
      <c r="F840" s="661"/>
      <c r="G840" s="662"/>
      <c r="H840" s="662"/>
      <c r="I840" s="663"/>
      <c r="J840" s="10"/>
      <c r="K840" s="24">
        <f t="shared" ref="K840:M842" si="108">K841</f>
        <v>5856.9699999999993</v>
      </c>
      <c r="L840" s="24">
        <f t="shared" si="108"/>
        <v>95</v>
      </c>
      <c r="M840" s="24">
        <f t="shared" si="108"/>
        <v>5951.9699999999993</v>
      </c>
    </row>
    <row r="841" spans="1:13" s="111" customFormat="1" ht="54" customHeight="1" x14ac:dyDescent="0.35">
      <c r="A841" s="110"/>
      <c r="B841" s="498" t="s">
        <v>221</v>
      </c>
      <c r="C841" s="23" t="s">
        <v>291</v>
      </c>
      <c r="D841" s="10" t="s">
        <v>224</v>
      </c>
      <c r="E841" s="10" t="s">
        <v>224</v>
      </c>
      <c r="F841" s="661" t="s">
        <v>65</v>
      </c>
      <c r="G841" s="662" t="s">
        <v>42</v>
      </c>
      <c r="H841" s="662" t="s">
        <v>43</v>
      </c>
      <c r="I841" s="663" t="s">
        <v>44</v>
      </c>
      <c r="J841" s="10"/>
      <c r="K841" s="24">
        <f t="shared" si="108"/>
        <v>5856.9699999999993</v>
      </c>
      <c r="L841" s="24">
        <f t="shared" si="108"/>
        <v>95</v>
      </c>
      <c r="M841" s="24">
        <f t="shared" si="108"/>
        <v>5951.9699999999993</v>
      </c>
    </row>
    <row r="842" spans="1:13" s="111" customFormat="1" ht="18" customHeight="1" x14ac:dyDescent="0.35">
      <c r="A842" s="110"/>
      <c r="B842" s="498" t="s">
        <v>222</v>
      </c>
      <c r="C842" s="23" t="s">
        <v>291</v>
      </c>
      <c r="D842" s="10" t="s">
        <v>224</v>
      </c>
      <c r="E842" s="10" t="s">
        <v>224</v>
      </c>
      <c r="F842" s="661" t="s">
        <v>65</v>
      </c>
      <c r="G842" s="662" t="s">
        <v>45</v>
      </c>
      <c r="H842" s="662" t="s">
        <v>43</v>
      </c>
      <c r="I842" s="663" t="s">
        <v>44</v>
      </c>
      <c r="J842" s="10"/>
      <c r="K842" s="24">
        <f t="shared" si="108"/>
        <v>5856.9699999999993</v>
      </c>
      <c r="L842" s="24">
        <f t="shared" si="108"/>
        <v>95</v>
      </c>
      <c r="M842" s="24">
        <f t="shared" si="108"/>
        <v>5951.9699999999993</v>
      </c>
    </row>
    <row r="843" spans="1:13" s="111" customFormat="1" ht="84" customHeight="1" x14ac:dyDescent="0.35">
      <c r="A843" s="110"/>
      <c r="B843" s="498" t="s">
        <v>292</v>
      </c>
      <c r="C843" s="23" t="s">
        <v>291</v>
      </c>
      <c r="D843" s="10" t="s">
        <v>224</v>
      </c>
      <c r="E843" s="10" t="s">
        <v>224</v>
      </c>
      <c r="F843" s="661" t="s">
        <v>65</v>
      </c>
      <c r="G843" s="662" t="s">
        <v>45</v>
      </c>
      <c r="H843" s="662" t="s">
        <v>37</v>
      </c>
      <c r="I843" s="663" t="s">
        <v>44</v>
      </c>
      <c r="J843" s="10"/>
      <c r="K843" s="24">
        <f>K844+K848</f>
        <v>5856.9699999999993</v>
      </c>
      <c r="L843" s="24">
        <f>L844+L848</f>
        <v>95</v>
      </c>
      <c r="M843" s="24">
        <f>M844+M848</f>
        <v>5951.9699999999993</v>
      </c>
    </row>
    <row r="844" spans="1:13" s="111" customFormat="1" ht="51" customHeight="1" x14ac:dyDescent="0.35">
      <c r="A844" s="110"/>
      <c r="B844" s="531" t="s">
        <v>466</v>
      </c>
      <c r="C844" s="23" t="s">
        <v>291</v>
      </c>
      <c r="D844" s="10" t="s">
        <v>224</v>
      </c>
      <c r="E844" s="10" t="s">
        <v>224</v>
      </c>
      <c r="F844" s="661" t="s">
        <v>65</v>
      </c>
      <c r="G844" s="662" t="s">
        <v>45</v>
      </c>
      <c r="H844" s="662" t="s">
        <v>37</v>
      </c>
      <c r="I844" s="663" t="s">
        <v>91</v>
      </c>
      <c r="J844" s="10"/>
      <c r="K844" s="24">
        <f>K845+K846+K847</f>
        <v>4303.7</v>
      </c>
      <c r="L844" s="24">
        <f>L845+L846+L847</f>
        <v>0</v>
      </c>
      <c r="M844" s="24">
        <f>M845+M846+M847</f>
        <v>4303.7</v>
      </c>
    </row>
    <row r="845" spans="1:13" s="111" customFormat="1" ht="108" customHeight="1" x14ac:dyDescent="0.35">
      <c r="A845" s="11"/>
      <c r="B845" s="498" t="s">
        <v>49</v>
      </c>
      <c r="C845" s="23" t="s">
        <v>291</v>
      </c>
      <c r="D845" s="10" t="s">
        <v>224</v>
      </c>
      <c r="E845" s="10" t="s">
        <v>224</v>
      </c>
      <c r="F845" s="661" t="s">
        <v>65</v>
      </c>
      <c r="G845" s="662" t="s">
        <v>45</v>
      </c>
      <c r="H845" s="662" t="s">
        <v>37</v>
      </c>
      <c r="I845" s="663" t="s">
        <v>91</v>
      </c>
      <c r="J845" s="10" t="s">
        <v>50</v>
      </c>
      <c r="K845" s="24">
        <f>3408.1+469.2</f>
        <v>3877.2999999999997</v>
      </c>
      <c r="L845" s="24">
        <f>M845-K845</f>
        <v>0</v>
      </c>
      <c r="M845" s="24">
        <f>3408.1+469.2</f>
        <v>3877.2999999999997</v>
      </c>
    </row>
    <row r="846" spans="1:13" s="7" customFormat="1" ht="54" customHeight="1" x14ac:dyDescent="0.35">
      <c r="A846" s="11"/>
      <c r="B846" s="498" t="s">
        <v>55</v>
      </c>
      <c r="C846" s="23" t="s">
        <v>291</v>
      </c>
      <c r="D846" s="10" t="s">
        <v>224</v>
      </c>
      <c r="E846" s="10" t="s">
        <v>224</v>
      </c>
      <c r="F846" s="661" t="s">
        <v>65</v>
      </c>
      <c r="G846" s="662" t="s">
        <v>45</v>
      </c>
      <c r="H846" s="662" t="s">
        <v>37</v>
      </c>
      <c r="I846" s="663" t="s">
        <v>91</v>
      </c>
      <c r="J846" s="10" t="s">
        <v>56</v>
      </c>
      <c r="K846" s="24">
        <f>324.3-40+59.4+40</f>
        <v>383.7</v>
      </c>
      <c r="L846" s="24">
        <f>M846-K846</f>
        <v>0</v>
      </c>
      <c r="M846" s="24">
        <f>324.3-40+59.4+40</f>
        <v>383.7</v>
      </c>
    </row>
    <row r="847" spans="1:13" s="7" customFormat="1" ht="18" customHeight="1" x14ac:dyDescent="0.35">
      <c r="A847" s="11"/>
      <c r="B847" s="498" t="s">
        <v>57</v>
      </c>
      <c r="C847" s="23" t="s">
        <v>291</v>
      </c>
      <c r="D847" s="10" t="s">
        <v>224</v>
      </c>
      <c r="E847" s="10" t="s">
        <v>224</v>
      </c>
      <c r="F847" s="661" t="s">
        <v>65</v>
      </c>
      <c r="G847" s="662" t="s">
        <v>45</v>
      </c>
      <c r="H847" s="662" t="s">
        <v>37</v>
      </c>
      <c r="I847" s="663" t="s">
        <v>91</v>
      </c>
      <c r="J847" s="10" t="s">
        <v>58</v>
      </c>
      <c r="K847" s="24">
        <f>2.7+40</f>
        <v>42.7</v>
      </c>
      <c r="L847" s="24">
        <f>M847-K847</f>
        <v>0</v>
      </c>
      <c r="M847" s="24">
        <f>2.7+40</f>
        <v>42.7</v>
      </c>
    </row>
    <row r="848" spans="1:13" s="7" customFormat="1" ht="36" customHeight="1" x14ac:dyDescent="0.35">
      <c r="A848" s="11"/>
      <c r="B848" s="498" t="s">
        <v>293</v>
      </c>
      <c r="C848" s="23" t="s">
        <v>291</v>
      </c>
      <c r="D848" s="10" t="s">
        <v>224</v>
      </c>
      <c r="E848" s="10" t="s">
        <v>224</v>
      </c>
      <c r="F848" s="661" t="s">
        <v>65</v>
      </c>
      <c r="G848" s="662" t="s">
        <v>45</v>
      </c>
      <c r="H848" s="662" t="s">
        <v>37</v>
      </c>
      <c r="I848" s="663" t="s">
        <v>294</v>
      </c>
      <c r="J848" s="10"/>
      <c r="K848" s="24">
        <f>K849</f>
        <v>1553.27</v>
      </c>
      <c r="L848" s="24">
        <f>L849</f>
        <v>95</v>
      </c>
      <c r="M848" s="24">
        <f>M849</f>
        <v>1648.27</v>
      </c>
    </row>
    <row r="849" spans="1:14" s="7" customFormat="1" ht="54" customHeight="1" x14ac:dyDescent="0.35">
      <c r="A849" s="11"/>
      <c r="B849" s="498" t="s">
        <v>55</v>
      </c>
      <c r="C849" s="23" t="s">
        <v>291</v>
      </c>
      <c r="D849" s="10" t="s">
        <v>224</v>
      </c>
      <c r="E849" s="10" t="s">
        <v>224</v>
      </c>
      <c r="F849" s="661" t="s">
        <v>65</v>
      </c>
      <c r="G849" s="662" t="s">
        <v>45</v>
      </c>
      <c r="H849" s="662" t="s">
        <v>37</v>
      </c>
      <c r="I849" s="663" t="s">
        <v>294</v>
      </c>
      <c r="J849" s="10" t="s">
        <v>56</v>
      </c>
      <c r="K849" s="24">
        <f>452.7+405.5+200.97+494.1</f>
        <v>1553.27</v>
      </c>
      <c r="L849" s="24">
        <f>M849-K849</f>
        <v>95</v>
      </c>
      <c r="M849" s="24">
        <f>452.7+405.5+200.97+494.1+95</f>
        <v>1648.27</v>
      </c>
    </row>
    <row r="850" spans="1:14" s="7" customFormat="1" ht="18" customHeight="1" x14ac:dyDescent="0.35">
      <c r="A850" s="11"/>
      <c r="B850" s="498" t="s">
        <v>186</v>
      </c>
      <c r="C850" s="136" t="s">
        <v>291</v>
      </c>
      <c r="D850" s="10" t="s">
        <v>224</v>
      </c>
      <c r="E850" s="10" t="s">
        <v>79</v>
      </c>
      <c r="F850" s="661"/>
      <c r="G850" s="662"/>
      <c r="H850" s="662"/>
      <c r="I850" s="663"/>
      <c r="J850" s="10"/>
      <c r="K850" s="24">
        <f t="shared" ref="K850:M852" si="109">K851</f>
        <v>3642.7000000000003</v>
      </c>
      <c r="L850" s="24">
        <f t="shared" si="109"/>
        <v>26.5</v>
      </c>
      <c r="M850" s="24">
        <f t="shared" si="109"/>
        <v>3669.2000000000003</v>
      </c>
      <c r="N850" s="141"/>
    </row>
    <row r="851" spans="1:14" s="7" customFormat="1" ht="54" customHeight="1" x14ac:dyDescent="0.35">
      <c r="A851" s="11"/>
      <c r="B851" s="498" t="s">
        <v>221</v>
      </c>
      <c r="C851" s="136" t="s">
        <v>291</v>
      </c>
      <c r="D851" s="10" t="s">
        <v>224</v>
      </c>
      <c r="E851" s="10" t="s">
        <v>79</v>
      </c>
      <c r="F851" s="661" t="s">
        <v>65</v>
      </c>
      <c r="G851" s="662" t="s">
        <v>42</v>
      </c>
      <c r="H851" s="662" t="s">
        <v>43</v>
      </c>
      <c r="I851" s="663" t="s">
        <v>44</v>
      </c>
      <c r="J851" s="10"/>
      <c r="K851" s="24">
        <f t="shared" si="109"/>
        <v>3642.7000000000003</v>
      </c>
      <c r="L851" s="24">
        <f t="shared" si="109"/>
        <v>26.5</v>
      </c>
      <c r="M851" s="24">
        <f t="shared" si="109"/>
        <v>3669.2000000000003</v>
      </c>
      <c r="N851" s="141"/>
    </row>
    <row r="852" spans="1:14" s="7" customFormat="1" ht="36" customHeight="1" x14ac:dyDescent="0.35">
      <c r="A852" s="11"/>
      <c r="B852" s="498" t="s">
        <v>220</v>
      </c>
      <c r="C852" s="23" t="s">
        <v>291</v>
      </c>
      <c r="D852" s="10" t="s">
        <v>224</v>
      </c>
      <c r="E852" s="10" t="s">
        <v>79</v>
      </c>
      <c r="F852" s="661" t="s">
        <v>65</v>
      </c>
      <c r="G852" s="662" t="s">
        <v>89</v>
      </c>
      <c r="H852" s="662" t="s">
        <v>43</v>
      </c>
      <c r="I852" s="663" t="s">
        <v>44</v>
      </c>
      <c r="J852" s="10"/>
      <c r="K852" s="24">
        <f t="shared" si="109"/>
        <v>3642.7000000000003</v>
      </c>
      <c r="L852" s="24">
        <f t="shared" si="109"/>
        <v>26.5</v>
      </c>
      <c r="M852" s="24">
        <f t="shared" si="109"/>
        <v>3669.2000000000003</v>
      </c>
    </row>
    <row r="853" spans="1:14" s="111" customFormat="1" ht="36" customHeight="1" x14ac:dyDescent="0.35">
      <c r="A853" s="11"/>
      <c r="B853" s="498" t="s">
        <v>287</v>
      </c>
      <c r="C853" s="23" t="s">
        <v>291</v>
      </c>
      <c r="D853" s="10" t="s">
        <v>224</v>
      </c>
      <c r="E853" s="10" t="s">
        <v>79</v>
      </c>
      <c r="F853" s="661" t="s">
        <v>65</v>
      </c>
      <c r="G853" s="662" t="s">
        <v>89</v>
      </c>
      <c r="H853" s="662" t="s">
        <v>37</v>
      </c>
      <c r="I853" s="663" t="s">
        <v>44</v>
      </c>
      <c r="J853" s="10"/>
      <c r="K853" s="24">
        <f>K854</f>
        <v>3642.7000000000003</v>
      </c>
      <c r="L853" s="24">
        <f>L854</f>
        <v>26.5</v>
      </c>
      <c r="M853" s="24">
        <f>M854</f>
        <v>3669.2000000000003</v>
      </c>
    </row>
    <row r="854" spans="1:14" s="7" customFormat="1" ht="36" customHeight="1" x14ac:dyDescent="0.35">
      <c r="A854" s="11"/>
      <c r="B854" s="498" t="s">
        <v>47</v>
      </c>
      <c r="C854" s="23" t="s">
        <v>291</v>
      </c>
      <c r="D854" s="10" t="s">
        <v>224</v>
      </c>
      <c r="E854" s="10" t="s">
        <v>79</v>
      </c>
      <c r="F854" s="661" t="s">
        <v>65</v>
      </c>
      <c r="G854" s="662" t="s">
        <v>89</v>
      </c>
      <c r="H854" s="662" t="s">
        <v>37</v>
      </c>
      <c r="I854" s="663" t="s">
        <v>48</v>
      </c>
      <c r="J854" s="10"/>
      <c r="K854" s="24">
        <f>K855+K856+K857</f>
        <v>3642.7000000000003</v>
      </c>
      <c r="L854" s="24">
        <f>L855+L856+L857</f>
        <v>26.5</v>
      </c>
      <c r="M854" s="24">
        <f>M855+M856+M857</f>
        <v>3669.2000000000003</v>
      </c>
    </row>
    <row r="855" spans="1:14" s="7" customFormat="1" ht="108" customHeight="1" x14ac:dyDescent="0.35">
      <c r="A855" s="11"/>
      <c r="B855" s="498" t="s">
        <v>49</v>
      </c>
      <c r="C855" s="23" t="s">
        <v>291</v>
      </c>
      <c r="D855" s="10" t="s">
        <v>224</v>
      </c>
      <c r="E855" s="10" t="s">
        <v>79</v>
      </c>
      <c r="F855" s="661" t="s">
        <v>65</v>
      </c>
      <c r="G855" s="662" t="s">
        <v>89</v>
      </c>
      <c r="H855" s="662" t="s">
        <v>37</v>
      </c>
      <c r="I855" s="663" t="s">
        <v>48</v>
      </c>
      <c r="J855" s="10" t="s">
        <v>50</v>
      </c>
      <c r="K855" s="24">
        <f>3167.4+55.4</f>
        <v>3222.8</v>
      </c>
      <c r="L855" s="24">
        <f>M855-K855</f>
        <v>0</v>
      </c>
      <c r="M855" s="24">
        <f>3167.4+55.4</f>
        <v>3222.8</v>
      </c>
      <c r="N855" s="141"/>
    </row>
    <row r="856" spans="1:14" s="7" customFormat="1" ht="54" customHeight="1" x14ac:dyDescent="0.35">
      <c r="A856" s="11"/>
      <c r="B856" s="498" t="s">
        <v>55</v>
      </c>
      <c r="C856" s="136" t="s">
        <v>291</v>
      </c>
      <c r="D856" s="90" t="s">
        <v>224</v>
      </c>
      <c r="E856" s="90" t="s">
        <v>79</v>
      </c>
      <c r="F856" s="661" t="s">
        <v>65</v>
      </c>
      <c r="G856" s="662" t="s">
        <v>89</v>
      </c>
      <c r="H856" s="662" t="s">
        <v>37</v>
      </c>
      <c r="I856" s="663" t="s">
        <v>48</v>
      </c>
      <c r="J856" s="10" t="s">
        <v>56</v>
      </c>
      <c r="K856" s="24">
        <f>355.2+29.5+33.9</f>
        <v>418.59999999999997</v>
      </c>
      <c r="L856" s="24">
        <f>M856-K856</f>
        <v>26.5</v>
      </c>
      <c r="M856" s="24">
        <f>355.2+29.5+33.9+26.5</f>
        <v>445.09999999999997</v>
      </c>
    </row>
    <row r="857" spans="1:14" s="7" customFormat="1" ht="18" customHeight="1" x14ac:dyDescent="0.35">
      <c r="A857" s="11"/>
      <c r="B857" s="498" t="s">
        <v>57</v>
      </c>
      <c r="C857" s="136" t="s">
        <v>291</v>
      </c>
      <c r="D857" s="90" t="s">
        <v>224</v>
      </c>
      <c r="E857" s="90" t="s">
        <v>79</v>
      </c>
      <c r="F857" s="661" t="s">
        <v>65</v>
      </c>
      <c r="G857" s="662" t="s">
        <v>89</v>
      </c>
      <c r="H857" s="662" t="s">
        <v>37</v>
      </c>
      <c r="I857" s="663" t="s">
        <v>48</v>
      </c>
      <c r="J857" s="10" t="s">
        <v>58</v>
      </c>
      <c r="K857" s="24">
        <v>1.3</v>
      </c>
      <c r="L857" s="24">
        <f>M857-K857</f>
        <v>0</v>
      </c>
      <c r="M857" s="24">
        <v>1.3</v>
      </c>
      <c r="N857" s="141"/>
    </row>
    <row r="858" spans="1:14" s="7" customFormat="1" ht="18" customHeight="1" x14ac:dyDescent="0.35">
      <c r="A858" s="11"/>
      <c r="B858" s="498"/>
      <c r="C858" s="136"/>
      <c r="D858" s="90"/>
      <c r="E858" s="90"/>
      <c r="F858" s="661"/>
      <c r="G858" s="662"/>
      <c r="H858" s="662"/>
      <c r="I858" s="663"/>
      <c r="J858" s="10"/>
      <c r="K858" s="24"/>
      <c r="L858" s="24"/>
      <c r="M858" s="24"/>
      <c r="N858" s="141"/>
    </row>
    <row r="859" spans="1:14" s="111" customFormat="1" ht="52.2" customHeight="1" x14ac:dyDescent="0.3">
      <c r="A859" s="110">
        <v>9</v>
      </c>
      <c r="B859" s="535" t="s">
        <v>12</v>
      </c>
      <c r="C859" s="18" t="s">
        <v>299</v>
      </c>
      <c r="D859" s="19"/>
      <c r="E859" s="19"/>
      <c r="F859" s="20"/>
      <c r="G859" s="21"/>
      <c r="H859" s="21"/>
      <c r="I859" s="22"/>
      <c r="J859" s="19"/>
      <c r="K859" s="32">
        <f>K860</f>
        <v>71271.600000000006</v>
      </c>
      <c r="L859" s="32">
        <f>L860</f>
        <v>0</v>
      </c>
      <c r="M859" s="32">
        <f>M860</f>
        <v>71271.600000000006</v>
      </c>
    </row>
    <row r="860" spans="1:14" s="7" customFormat="1" ht="18" customHeight="1" x14ac:dyDescent="0.35">
      <c r="A860" s="11"/>
      <c r="B860" s="538" t="s">
        <v>119</v>
      </c>
      <c r="C860" s="23" t="s">
        <v>299</v>
      </c>
      <c r="D860" s="10" t="s">
        <v>104</v>
      </c>
      <c r="E860" s="10"/>
      <c r="F860" s="661"/>
      <c r="G860" s="662"/>
      <c r="H860" s="662"/>
      <c r="I860" s="663"/>
      <c r="J860" s="10"/>
      <c r="K860" s="24">
        <f>K861+K882</f>
        <v>71271.600000000006</v>
      </c>
      <c r="L860" s="24">
        <f>L861+L882</f>
        <v>0</v>
      </c>
      <c r="M860" s="24">
        <f>M861+M882</f>
        <v>71271.600000000006</v>
      </c>
    </row>
    <row r="861" spans="1:14" s="7" customFormat="1" ht="18" customHeight="1" x14ac:dyDescent="0.35">
      <c r="A861" s="11"/>
      <c r="B861" s="498" t="s">
        <v>193</v>
      </c>
      <c r="C861" s="23" t="s">
        <v>299</v>
      </c>
      <c r="D861" s="10" t="s">
        <v>104</v>
      </c>
      <c r="E861" s="10" t="s">
        <v>52</v>
      </c>
      <c r="F861" s="661"/>
      <c r="G861" s="662"/>
      <c r="H861" s="662"/>
      <c r="I861" s="663"/>
      <c r="J861" s="10"/>
      <c r="K861" s="24">
        <f t="shared" ref="K861:M862" si="110">K862</f>
        <v>62568.6</v>
      </c>
      <c r="L861" s="24">
        <f t="shared" si="110"/>
        <v>0</v>
      </c>
      <c r="M861" s="24">
        <f t="shared" si="110"/>
        <v>62568.6</v>
      </c>
    </row>
    <row r="862" spans="1:14" s="7" customFormat="1" ht="54" customHeight="1" x14ac:dyDescent="0.35">
      <c r="A862" s="11"/>
      <c r="B862" s="505" t="s">
        <v>230</v>
      </c>
      <c r="C862" s="23" t="s">
        <v>299</v>
      </c>
      <c r="D862" s="10" t="s">
        <v>104</v>
      </c>
      <c r="E862" s="10" t="s">
        <v>52</v>
      </c>
      <c r="F862" s="661" t="s">
        <v>79</v>
      </c>
      <c r="G862" s="662" t="s">
        <v>42</v>
      </c>
      <c r="H862" s="662" t="s">
        <v>43</v>
      </c>
      <c r="I862" s="663" t="s">
        <v>44</v>
      </c>
      <c r="J862" s="10"/>
      <c r="K862" s="24">
        <f t="shared" si="110"/>
        <v>62568.6</v>
      </c>
      <c r="L862" s="24">
        <f t="shared" si="110"/>
        <v>0</v>
      </c>
      <c r="M862" s="24">
        <f t="shared" si="110"/>
        <v>62568.6</v>
      </c>
    </row>
    <row r="863" spans="1:14" s="7" customFormat="1" ht="36" customHeight="1" x14ac:dyDescent="0.35">
      <c r="A863" s="11"/>
      <c r="B863" s="498" t="s">
        <v>344</v>
      </c>
      <c r="C863" s="23" t="s">
        <v>299</v>
      </c>
      <c r="D863" s="10" t="s">
        <v>104</v>
      </c>
      <c r="E863" s="10" t="s">
        <v>52</v>
      </c>
      <c r="F863" s="661" t="s">
        <v>79</v>
      </c>
      <c r="G863" s="662" t="s">
        <v>45</v>
      </c>
      <c r="H863" s="662" t="s">
        <v>43</v>
      </c>
      <c r="I863" s="663" t="s">
        <v>44</v>
      </c>
      <c r="J863" s="10"/>
      <c r="K863" s="24">
        <f>K864+K879</f>
        <v>62568.6</v>
      </c>
      <c r="L863" s="24">
        <f>L864+L879</f>
        <v>0</v>
      </c>
      <c r="M863" s="24">
        <f>M864+M879</f>
        <v>62568.6</v>
      </c>
    </row>
    <row r="864" spans="1:14" s="111" customFormat="1" ht="36" customHeight="1" x14ac:dyDescent="0.35">
      <c r="A864" s="11"/>
      <c r="B864" s="498" t="s">
        <v>290</v>
      </c>
      <c r="C864" s="23" t="s">
        <v>299</v>
      </c>
      <c r="D864" s="10" t="s">
        <v>104</v>
      </c>
      <c r="E864" s="10" t="s">
        <v>52</v>
      </c>
      <c r="F864" s="661" t="s">
        <v>79</v>
      </c>
      <c r="G864" s="662" t="s">
        <v>45</v>
      </c>
      <c r="H864" s="662" t="s">
        <v>37</v>
      </c>
      <c r="I864" s="663" t="s">
        <v>44</v>
      </c>
      <c r="J864" s="10"/>
      <c r="K864" s="24">
        <f>K865+K868+K873+K876+K871</f>
        <v>62563.4</v>
      </c>
      <c r="L864" s="24">
        <f>L865+L868+L873+L876+L871</f>
        <v>0</v>
      </c>
      <c r="M864" s="24">
        <f>M865+M868+M873+M876+M871</f>
        <v>62563.4</v>
      </c>
    </row>
    <row r="865" spans="1:13" s="111" customFormat="1" ht="158.25" customHeight="1" x14ac:dyDescent="0.35">
      <c r="A865" s="11"/>
      <c r="B865" s="563" t="s">
        <v>362</v>
      </c>
      <c r="C865" s="23" t="s">
        <v>299</v>
      </c>
      <c r="D865" s="10" t="s">
        <v>104</v>
      </c>
      <c r="E865" s="10" t="s">
        <v>52</v>
      </c>
      <c r="F865" s="661" t="s">
        <v>79</v>
      </c>
      <c r="G865" s="662" t="s">
        <v>45</v>
      </c>
      <c r="H865" s="662" t="s">
        <v>37</v>
      </c>
      <c r="I865" s="663" t="s">
        <v>549</v>
      </c>
      <c r="J865" s="10"/>
      <c r="K865" s="24">
        <f>SUM(K866:K867)</f>
        <v>35725.5</v>
      </c>
      <c r="L865" s="24">
        <f>SUM(L866:L867)</f>
        <v>0</v>
      </c>
      <c r="M865" s="24">
        <f>SUM(M866:M867)</f>
        <v>35725.5</v>
      </c>
    </row>
    <row r="866" spans="1:13" s="111" customFormat="1" ht="54" customHeight="1" x14ac:dyDescent="0.35">
      <c r="A866" s="11"/>
      <c r="B866" s="498" t="s">
        <v>55</v>
      </c>
      <c r="C866" s="23" t="s">
        <v>299</v>
      </c>
      <c r="D866" s="10" t="s">
        <v>104</v>
      </c>
      <c r="E866" s="10" t="s">
        <v>52</v>
      </c>
      <c r="F866" s="661" t="s">
        <v>79</v>
      </c>
      <c r="G866" s="662" t="s">
        <v>45</v>
      </c>
      <c r="H866" s="662" t="s">
        <v>37</v>
      </c>
      <c r="I866" s="663" t="s">
        <v>549</v>
      </c>
      <c r="J866" s="10" t="s">
        <v>56</v>
      </c>
      <c r="K866" s="24">
        <v>178.6</v>
      </c>
      <c r="L866" s="24">
        <f>M866-K866</f>
        <v>0</v>
      </c>
      <c r="M866" s="24">
        <v>178.6</v>
      </c>
    </row>
    <row r="867" spans="1:13" s="111" customFormat="1" ht="36" customHeight="1" x14ac:dyDescent="0.35">
      <c r="A867" s="11"/>
      <c r="B867" s="498" t="s">
        <v>120</v>
      </c>
      <c r="C867" s="23" t="s">
        <v>299</v>
      </c>
      <c r="D867" s="10" t="s">
        <v>104</v>
      </c>
      <c r="E867" s="10" t="s">
        <v>52</v>
      </c>
      <c r="F867" s="661" t="s">
        <v>79</v>
      </c>
      <c r="G867" s="662" t="s">
        <v>45</v>
      </c>
      <c r="H867" s="662" t="s">
        <v>37</v>
      </c>
      <c r="I867" s="663" t="s">
        <v>549</v>
      </c>
      <c r="J867" s="10" t="s">
        <v>121</v>
      </c>
      <c r="K867" s="24">
        <v>35546.9</v>
      </c>
      <c r="L867" s="24">
        <f>M867-K867</f>
        <v>0</v>
      </c>
      <c r="M867" s="24">
        <v>35546.9</v>
      </c>
    </row>
    <row r="868" spans="1:13" s="111" customFormat="1" ht="90" customHeight="1" x14ac:dyDescent="0.35">
      <c r="A868" s="11"/>
      <c r="B868" s="498" t="s">
        <v>364</v>
      </c>
      <c r="C868" s="23" t="s">
        <v>299</v>
      </c>
      <c r="D868" s="10" t="s">
        <v>104</v>
      </c>
      <c r="E868" s="10" t="s">
        <v>52</v>
      </c>
      <c r="F868" s="661" t="s">
        <v>79</v>
      </c>
      <c r="G868" s="662" t="s">
        <v>45</v>
      </c>
      <c r="H868" s="662" t="s">
        <v>37</v>
      </c>
      <c r="I868" s="663" t="s">
        <v>551</v>
      </c>
      <c r="J868" s="10"/>
      <c r="K868" s="24">
        <f>SUM(K869:K870)</f>
        <v>361.2</v>
      </c>
      <c r="L868" s="24">
        <f>SUM(L869:L870)</f>
        <v>0</v>
      </c>
      <c r="M868" s="24">
        <f>SUM(M869:M870)</f>
        <v>361.2</v>
      </c>
    </row>
    <row r="869" spans="1:13" s="111" customFormat="1" ht="54" customHeight="1" x14ac:dyDescent="0.35">
      <c r="A869" s="11"/>
      <c r="B869" s="498" t="s">
        <v>55</v>
      </c>
      <c r="C869" s="23" t="s">
        <v>299</v>
      </c>
      <c r="D869" s="10" t="s">
        <v>104</v>
      </c>
      <c r="E869" s="10" t="s">
        <v>52</v>
      </c>
      <c r="F869" s="661" t="s">
        <v>79</v>
      </c>
      <c r="G869" s="662" t="s">
        <v>45</v>
      </c>
      <c r="H869" s="662" t="s">
        <v>37</v>
      </c>
      <c r="I869" s="663" t="s">
        <v>551</v>
      </c>
      <c r="J869" s="10" t="s">
        <v>56</v>
      </c>
      <c r="K869" s="24">
        <v>1.8</v>
      </c>
      <c r="L869" s="24">
        <f>M869-K869</f>
        <v>0</v>
      </c>
      <c r="M869" s="24">
        <v>1.8</v>
      </c>
    </row>
    <row r="870" spans="1:13" s="111" customFormat="1" ht="36" customHeight="1" x14ac:dyDescent="0.35">
      <c r="A870" s="11"/>
      <c r="B870" s="498" t="s">
        <v>120</v>
      </c>
      <c r="C870" s="23" t="s">
        <v>299</v>
      </c>
      <c r="D870" s="10" t="s">
        <v>104</v>
      </c>
      <c r="E870" s="10" t="s">
        <v>52</v>
      </c>
      <c r="F870" s="661" t="s">
        <v>79</v>
      </c>
      <c r="G870" s="662" t="s">
        <v>45</v>
      </c>
      <c r="H870" s="662" t="s">
        <v>37</v>
      </c>
      <c r="I870" s="663" t="s">
        <v>551</v>
      </c>
      <c r="J870" s="10" t="s">
        <v>121</v>
      </c>
      <c r="K870" s="24">
        <v>359.4</v>
      </c>
      <c r="L870" s="24">
        <f>M870-K870</f>
        <v>0</v>
      </c>
      <c r="M870" s="24">
        <v>359.4</v>
      </c>
    </row>
    <row r="871" spans="1:13" s="111" customFormat="1" ht="144" x14ac:dyDescent="0.35">
      <c r="A871" s="11"/>
      <c r="B871" s="498" t="s">
        <v>755</v>
      </c>
      <c r="C871" s="23" t="s">
        <v>299</v>
      </c>
      <c r="D871" s="10" t="s">
        <v>104</v>
      </c>
      <c r="E871" s="10" t="s">
        <v>52</v>
      </c>
      <c r="F871" s="661" t="s">
        <v>79</v>
      </c>
      <c r="G871" s="662" t="s">
        <v>45</v>
      </c>
      <c r="H871" s="662" t="s">
        <v>37</v>
      </c>
      <c r="I871" s="663" t="s">
        <v>756</v>
      </c>
      <c r="J871" s="10"/>
      <c r="K871" s="24">
        <f>K872</f>
        <v>119.9</v>
      </c>
      <c r="L871" s="24">
        <f>L872</f>
        <v>0</v>
      </c>
      <c r="M871" s="24">
        <f>M872</f>
        <v>119.9</v>
      </c>
    </row>
    <row r="872" spans="1:13" s="111" customFormat="1" ht="36" customHeight="1" x14ac:dyDescent="0.35">
      <c r="A872" s="11"/>
      <c r="B872" s="498" t="s">
        <v>120</v>
      </c>
      <c r="C872" s="23" t="s">
        <v>299</v>
      </c>
      <c r="D872" s="10" t="s">
        <v>104</v>
      </c>
      <c r="E872" s="10" t="s">
        <v>52</v>
      </c>
      <c r="F872" s="661" t="s">
        <v>79</v>
      </c>
      <c r="G872" s="662" t="s">
        <v>45</v>
      </c>
      <c r="H872" s="662" t="s">
        <v>37</v>
      </c>
      <c r="I872" s="663" t="s">
        <v>756</v>
      </c>
      <c r="J872" s="10" t="s">
        <v>121</v>
      </c>
      <c r="K872" s="24">
        <v>119.9</v>
      </c>
      <c r="L872" s="24">
        <f>M872-K872</f>
        <v>0</v>
      </c>
      <c r="M872" s="24">
        <v>119.9</v>
      </c>
    </row>
    <row r="873" spans="1:13" s="111" customFormat="1" ht="90" customHeight="1" x14ac:dyDescent="0.35">
      <c r="A873" s="11"/>
      <c r="B873" s="498" t="s">
        <v>363</v>
      </c>
      <c r="C873" s="23" t="s">
        <v>299</v>
      </c>
      <c r="D873" s="10" t="s">
        <v>104</v>
      </c>
      <c r="E873" s="10" t="s">
        <v>52</v>
      </c>
      <c r="F873" s="661" t="s">
        <v>79</v>
      </c>
      <c r="G873" s="662" t="s">
        <v>45</v>
      </c>
      <c r="H873" s="662" t="s">
        <v>37</v>
      </c>
      <c r="I873" s="663" t="s">
        <v>550</v>
      </c>
      <c r="J873" s="10"/>
      <c r="K873" s="24">
        <f>SUM(K874:K875)</f>
        <v>26010</v>
      </c>
      <c r="L873" s="24">
        <f>SUM(L874:L875)</f>
        <v>0</v>
      </c>
      <c r="M873" s="24">
        <f>SUM(M874:M875)</f>
        <v>26010</v>
      </c>
    </row>
    <row r="874" spans="1:13" s="111" customFormat="1" ht="54" customHeight="1" x14ac:dyDescent="0.35">
      <c r="A874" s="11"/>
      <c r="B874" s="498" t="s">
        <v>55</v>
      </c>
      <c r="C874" s="23" t="s">
        <v>299</v>
      </c>
      <c r="D874" s="10" t="s">
        <v>104</v>
      </c>
      <c r="E874" s="10" t="s">
        <v>52</v>
      </c>
      <c r="F874" s="661" t="s">
        <v>79</v>
      </c>
      <c r="G874" s="662" t="s">
        <v>45</v>
      </c>
      <c r="H874" s="662" t="s">
        <v>37</v>
      </c>
      <c r="I874" s="663" t="s">
        <v>550</v>
      </c>
      <c r="J874" s="10" t="s">
        <v>56</v>
      </c>
      <c r="K874" s="24">
        <v>130.1</v>
      </c>
      <c r="L874" s="24">
        <f>M874-K874</f>
        <v>0</v>
      </c>
      <c r="M874" s="24">
        <v>130.1</v>
      </c>
    </row>
    <row r="875" spans="1:13" s="111" customFormat="1" ht="36" customHeight="1" x14ac:dyDescent="0.35">
      <c r="A875" s="11"/>
      <c r="B875" s="498" t="s">
        <v>120</v>
      </c>
      <c r="C875" s="23" t="s">
        <v>299</v>
      </c>
      <c r="D875" s="10" t="s">
        <v>104</v>
      </c>
      <c r="E875" s="10" t="s">
        <v>52</v>
      </c>
      <c r="F875" s="661" t="s">
        <v>79</v>
      </c>
      <c r="G875" s="662" t="s">
        <v>45</v>
      </c>
      <c r="H875" s="662" t="s">
        <v>37</v>
      </c>
      <c r="I875" s="663" t="s">
        <v>550</v>
      </c>
      <c r="J875" s="10" t="s">
        <v>121</v>
      </c>
      <c r="K875" s="24">
        <v>25879.9</v>
      </c>
      <c r="L875" s="24">
        <f>M875-K875</f>
        <v>0</v>
      </c>
      <c r="M875" s="24">
        <v>25879.9</v>
      </c>
    </row>
    <row r="876" spans="1:13" s="111" customFormat="1" ht="108" customHeight="1" x14ac:dyDescent="0.35">
      <c r="A876" s="11"/>
      <c r="B876" s="498" t="s">
        <v>368</v>
      </c>
      <c r="C876" s="23" t="s">
        <v>299</v>
      </c>
      <c r="D876" s="10" t="s">
        <v>104</v>
      </c>
      <c r="E876" s="10" t="s">
        <v>52</v>
      </c>
      <c r="F876" s="661" t="s">
        <v>79</v>
      </c>
      <c r="G876" s="662" t="s">
        <v>45</v>
      </c>
      <c r="H876" s="662" t="s">
        <v>37</v>
      </c>
      <c r="I876" s="663" t="s">
        <v>552</v>
      </c>
      <c r="J876" s="10"/>
      <c r="K876" s="24">
        <f>SUM(K877:K878)</f>
        <v>346.8</v>
      </c>
      <c r="L876" s="24">
        <f>SUM(L877:L878)</f>
        <v>0</v>
      </c>
      <c r="M876" s="24">
        <f>SUM(M877:M878)</f>
        <v>346.8</v>
      </c>
    </row>
    <row r="877" spans="1:13" s="111" customFormat="1" ht="54" customHeight="1" x14ac:dyDescent="0.35">
      <c r="A877" s="11"/>
      <c r="B877" s="498" t="s">
        <v>55</v>
      </c>
      <c r="C877" s="23" t="s">
        <v>299</v>
      </c>
      <c r="D877" s="10" t="s">
        <v>104</v>
      </c>
      <c r="E877" s="10" t="s">
        <v>52</v>
      </c>
      <c r="F877" s="661" t="s">
        <v>79</v>
      </c>
      <c r="G877" s="662" t="s">
        <v>45</v>
      </c>
      <c r="H877" s="662" t="s">
        <v>37</v>
      </c>
      <c r="I877" s="663" t="s">
        <v>552</v>
      </c>
      <c r="J877" s="10" t="s">
        <v>56</v>
      </c>
      <c r="K877" s="24">
        <v>1.7</v>
      </c>
      <c r="L877" s="24">
        <f>M877-K877</f>
        <v>0</v>
      </c>
      <c r="M877" s="24">
        <v>1.7</v>
      </c>
    </row>
    <row r="878" spans="1:13" s="111" customFormat="1" ht="36" customHeight="1" x14ac:dyDescent="0.35">
      <c r="A878" s="11"/>
      <c r="B878" s="498" t="s">
        <v>120</v>
      </c>
      <c r="C878" s="23" t="s">
        <v>299</v>
      </c>
      <c r="D878" s="10" t="s">
        <v>104</v>
      </c>
      <c r="E878" s="10" t="s">
        <v>52</v>
      </c>
      <c r="F878" s="661" t="s">
        <v>79</v>
      </c>
      <c r="G878" s="662" t="s">
        <v>45</v>
      </c>
      <c r="H878" s="662" t="s">
        <v>37</v>
      </c>
      <c r="I878" s="663" t="s">
        <v>552</v>
      </c>
      <c r="J878" s="10" t="s">
        <v>121</v>
      </c>
      <c r="K878" s="24">
        <v>345.1</v>
      </c>
      <c r="L878" s="24">
        <f>M878-K878</f>
        <v>0</v>
      </c>
      <c r="M878" s="24">
        <v>345.1</v>
      </c>
    </row>
    <row r="879" spans="1:13" s="111" customFormat="1" ht="90" customHeight="1" x14ac:dyDescent="0.35">
      <c r="A879" s="11"/>
      <c r="B879" s="498" t="s">
        <v>305</v>
      </c>
      <c r="C879" s="23" t="s">
        <v>299</v>
      </c>
      <c r="D879" s="10" t="s">
        <v>104</v>
      </c>
      <c r="E879" s="10" t="s">
        <v>52</v>
      </c>
      <c r="F879" s="661" t="s">
        <v>79</v>
      </c>
      <c r="G879" s="662" t="s">
        <v>45</v>
      </c>
      <c r="H879" s="662" t="s">
        <v>39</v>
      </c>
      <c r="I879" s="663" t="s">
        <v>44</v>
      </c>
      <c r="J879" s="10"/>
      <c r="K879" s="24">
        <f t="shared" ref="K879:M880" si="111">K880</f>
        <v>5.2</v>
      </c>
      <c r="L879" s="24">
        <f t="shared" si="111"/>
        <v>0</v>
      </c>
      <c r="M879" s="24">
        <f t="shared" si="111"/>
        <v>5.2</v>
      </c>
    </row>
    <row r="880" spans="1:13" s="111" customFormat="1" ht="198" customHeight="1" x14ac:dyDescent="0.35">
      <c r="A880" s="11"/>
      <c r="B880" s="498" t="s">
        <v>730</v>
      </c>
      <c r="C880" s="23" t="s">
        <v>299</v>
      </c>
      <c r="D880" s="10" t="s">
        <v>104</v>
      </c>
      <c r="E880" s="10" t="s">
        <v>52</v>
      </c>
      <c r="F880" s="661" t="s">
        <v>79</v>
      </c>
      <c r="G880" s="662" t="s">
        <v>45</v>
      </c>
      <c r="H880" s="662" t="s">
        <v>39</v>
      </c>
      <c r="I880" s="663" t="s">
        <v>603</v>
      </c>
      <c r="J880" s="10"/>
      <c r="K880" s="24">
        <f t="shared" si="111"/>
        <v>5.2</v>
      </c>
      <c r="L880" s="24">
        <f t="shared" si="111"/>
        <v>0</v>
      </c>
      <c r="M880" s="24">
        <f t="shared" si="111"/>
        <v>5.2</v>
      </c>
    </row>
    <row r="881" spans="1:13" s="111" customFormat="1" ht="36" customHeight="1" x14ac:dyDescent="0.35">
      <c r="A881" s="11"/>
      <c r="B881" s="498" t="s">
        <v>120</v>
      </c>
      <c r="C881" s="23" t="s">
        <v>299</v>
      </c>
      <c r="D881" s="10" t="s">
        <v>104</v>
      </c>
      <c r="E881" s="10" t="s">
        <v>52</v>
      </c>
      <c r="F881" s="661" t="s">
        <v>79</v>
      </c>
      <c r="G881" s="662" t="s">
        <v>45</v>
      </c>
      <c r="H881" s="662" t="s">
        <v>39</v>
      </c>
      <c r="I881" s="663" t="s">
        <v>603</v>
      </c>
      <c r="J881" s="10" t="s">
        <v>121</v>
      </c>
      <c r="K881" s="24">
        <v>5.2</v>
      </c>
      <c r="L881" s="24">
        <f>M881-K881</f>
        <v>0</v>
      </c>
      <c r="M881" s="24">
        <v>5.2</v>
      </c>
    </row>
    <row r="882" spans="1:13" s="7" customFormat="1" ht="36" customHeight="1" x14ac:dyDescent="0.35">
      <c r="A882" s="11"/>
      <c r="B882" s="498" t="s">
        <v>301</v>
      </c>
      <c r="C882" s="23" t="s">
        <v>299</v>
      </c>
      <c r="D882" s="10" t="s">
        <v>104</v>
      </c>
      <c r="E882" s="10" t="s">
        <v>81</v>
      </c>
      <c r="F882" s="661"/>
      <c r="G882" s="662"/>
      <c r="H882" s="662"/>
      <c r="I882" s="663"/>
      <c r="J882" s="10"/>
      <c r="K882" s="24">
        <f>K883</f>
        <v>8703</v>
      </c>
      <c r="L882" s="24">
        <f>L883</f>
        <v>0</v>
      </c>
      <c r="M882" s="24">
        <f>M883</f>
        <v>8703</v>
      </c>
    </row>
    <row r="883" spans="1:13" s="7" customFormat="1" ht="54" customHeight="1" x14ac:dyDescent="0.35">
      <c r="A883" s="11"/>
      <c r="B883" s="505" t="s">
        <v>230</v>
      </c>
      <c r="C883" s="23" t="s">
        <v>299</v>
      </c>
      <c r="D883" s="10" t="s">
        <v>104</v>
      </c>
      <c r="E883" s="10" t="s">
        <v>81</v>
      </c>
      <c r="F883" s="661" t="s">
        <v>79</v>
      </c>
      <c r="G883" s="662" t="s">
        <v>42</v>
      </c>
      <c r="H883" s="662" t="s">
        <v>43</v>
      </c>
      <c r="I883" s="663" t="s">
        <v>44</v>
      </c>
      <c r="J883" s="10"/>
      <c r="K883" s="24">
        <f t="shared" ref="K883:M884" si="112">K884</f>
        <v>8703</v>
      </c>
      <c r="L883" s="24">
        <f t="shared" si="112"/>
        <v>0</v>
      </c>
      <c r="M883" s="24">
        <f t="shared" si="112"/>
        <v>8703</v>
      </c>
    </row>
    <row r="884" spans="1:13" s="7" customFormat="1" ht="36" customHeight="1" x14ac:dyDescent="0.35">
      <c r="A884" s="11"/>
      <c r="B884" s="498" t="s">
        <v>344</v>
      </c>
      <c r="C884" s="23" t="s">
        <v>299</v>
      </c>
      <c r="D884" s="10" t="s">
        <v>104</v>
      </c>
      <c r="E884" s="10" t="s">
        <v>81</v>
      </c>
      <c r="F884" s="661" t="s">
        <v>79</v>
      </c>
      <c r="G884" s="662" t="s">
        <v>45</v>
      </c>
      <c r="H884" s="662" t="s">
        <v>43</v>
      </c>
      <c r="I884" s="663" t="s">
        <v>44</v>
      </c>
      <c r="J884" s="10"/>
      <c r="K884" s="24">
        <f t="shared" si="112"/>
        <v>8703</v>
      </c>
      <c r="L884" s="24">
        <f t="shared" si="112"/>
        <v>0</v>
      </c>
      <c r="M884" s="24">
        <f t="shared" si="112"/>
        <v>8703</v>
      </c>
    </row>
    <row r="885" spans="1:13" s="111" customFormat="1" ht="36" customHeight="1" x14ac:dyDescent="0.35">
      <c r="A885" s="11"/>
      <c r="B885" s="498" t="s">
        <v>229</v>
      </c>
      <c r="C885" s="23" t="s">
        <v>299</v>
      </c>
      <c r="D885" s="10" t="s">
        <v>104</v>
      </c>
      <c r="E885" s="10" t="s">
        <v>81</v>
      </c>
      <c r="F885" s="661" t="s">
        <v>79</v>
      </c>
      <c r="G885" s="662" t="s">
        <v>45</v>
      </c>
      <c r="H885" s="662" t="s">
        <v>63</v>
      </c>
      <c r="I885" s="663" t="s">
        <v>44</v>
      </c>
      <c r="J885" s="10"/>
      <c r="K885" s="24">
        <f>K886+K889+K892</f>
        <v>8703</v>
      </c>
      <c r="L885" s="24">
        <f>L886+L889+L892</f>
        <v>0</v>
      </c>
      <c r="M885" s="24">
        <f>M886+M889+M892</f>
        <v>8703</v>
      </c>
    </row>
    <row r="886" spans="1:13" s="111" customFormat="1" ht="272.25" customHeight="1" x14ac:dyDescent="0.35">
      <c r="A886" s="11"/>
      <c r="B886" s="564" t="s">
        <v>232</v>
      </c>
      <c r="C886" s="23" t="s">
        <v>299</v>
      </c>
      <c r="D886" s="10" t="s">
        <v>104</v>
      </c>
      <c r="E886" s="10" t="s">
        <v>81</v>
      </c>
      <c r="F886" s="661" t="s">
        <v>79</v>
      </c>
      <c r="G886" s="662" t="s">
        <v>45</v>
      </c>
      <c r="H886" s="662" t="s">
        <v>63</v>
      </c>
      <c r="I886" s="663" t="s">
        <v>553</v>
      </c>
      <c r="J886" s="10"/>
      <c r="K886" s="24">
        <f>K887+K888</f>
        <v>992.6</v>
      </c>
      <c r="L886" s="24">
        <f>L887+L888</f>
        <v>0</v>
      </c>
      <c r="M886" s="24">
        <f>M887+M888</f>
        <v>992.6</v>
      </c>
    </row>
    <row r="887" spans="1:13" s="111" customFormat="1" ht="108" customHeight="1" x14ac:dyDescent="0.35">
      <c r="A887" s="11"/>
      <c r="B887" s="498" t="s">
        <v>49</v>
      </c>
      <c r="C887" s="23" t="s">
        <v>299</v>
      </c>
      <c r="D887" s="10" t="s">
        <v>104</v>
      </c>
      <c r="E887" s="10" t="s">
        <v>81</v>
      </c>
      <c r="F887" s="661" t="s">
        <v>79</v>
      </c>
      <c r="G887" s="662" t="s">
        <v>45</v>
      </c>
      <c r="H887" s="662" t="s">
        <v>63</v>
      </c>
      <c r="I887" s="663" t="s">
        <v>553</v>
      </c>
      <c r="J887" s="10" t="s">
        <v>50</v>
      </c>
      <c r="K887" s="24">
        <v>830.6</v>
      </c>
      <c r="L887" s="24">
        <f>M887-K887</f>
        <v>0</v>
      </c>
      <c r="M887" s="24">
        <v>830.6</v>
      </c>
    </row>
    <row r="888" spans="1:13" s="111" customFormat="1" ht="54" customHeight="1" x14ac:dyDescent="0.35">
      <c r="A888" s="11"/>
      <c r="B888" s="498" t="s">
        <v>55</v>
      </c>
      <c r="C888" s="23" t="s">
        <v>299</v>
      </c>
      <c r="D888" s="10" t="s">
        <v>104</v>
      </c>
      <c r="E888" s="10" t="s">
        <v>81</v>
      </c>
      <c r="F888" s="661" t="s">
        <v>79</v>
      </c>
      <c r="G888" s="662" t="s">
        <v>45</v>
      </c>
      <c r="H888" s="662" t="s">
        <v>63</v>
      </c>
      <c r="I888" s="663" t="s">
        <v>553</v>
      </c>
      <c r="J888" s="10" t="s">
        <v>56</v>
      </c>
      <c r="K888" s="24">
        <v>162</v>
      </c>
      <c r="L888" s="24">
        <f>M888-K888</f>
        <v>0</v>
      </c>
      <c r="M888" s="24">
        <v>162</v>
      </c>
    </row>
    <row r="889" spans="1:13" s="111" customFormat="1" ht="108" customHeight="1" x14ac:dyDescent="0.35">
      <c r="A889" s="11"/>
      <c r="B889" s="498" t="s">
        <v>461</v>
      </c>
      <c r="C889" s="23" t="s">
        <v>299</v>
      </c>
      <c r="D889" s="10" t="s">
        <v>104</v>
      </c>
      <c r="E889" s="10" t="s">
        <v>81</v>
      </c>
      <c r="F889" s="661" t="s">
        <v>79</v>
      </c>
      <c r="G889" s="662" t="s">
        <v>45</v>
      </c>
      <c r="H889" s="662" t="s">
        <v>63</v>
      </c>
      <c r="I889" s="663" t="s">
        <v>547</v>
      </c>
      <c r="J889" s="10"/>
      <c r="K889" s="24">
        <f>K890+K891</f>
        <v>730</v>
      </c>
      <c r="L889" s="24">
        <f>L890+L891</f>
        <v>0</v>
      </c>
      <c r="M889" s="24">
        <f>M890+M891</f>
        <v>730</v>
      </c>
    </row>
    <row r="890" spans="1:13" s="111" customFormat="1" ht="108" customHeight="1" x14ac:dyDescent="0.35">
      <c r="A890" s="11"/>
      <c r="B890" s="498" t="s">
        <v>49</v>
      </c>
      <c r="C890" s="23" t="s">
        <v>299</v>
      </c>
      <c r="D890" s="10" t="s">
        <v>104</v>
      </c>
      <c r="E890" s="10" t="s">
        <v>81</v>
      </c>
      <c r="F890" s="661" t="s">
        <v>79</v>
      </c>
      <c r="G890" s="662" t="s">
        <v>45</v>
      </c>
      <c r="H890" s="662" t="s">
        <v>63</v>
      </c>
      <c r="I890" s="663" t="s">
        <v>547</v>
      </c>
      <c r="J890" s="10" t="s">
        <v>50</v>
      </c>
      <c r="K890" s="24">
        <v>649</v>
      </c>
      <c r="L890" s="24">
        <f>M890-K890</f>
        <v>67.600000000000023</v>
      </c>
      <c r="M890" s="24">
        <f>649+67.6</f>
        <v>716.6</v>
      </c>
    </row>
    <row r="891" spans="1:13" s="111" customFormat="1" ht="54" customHeight="1" x14ac:dyDescent="0.35">
      <c r="A891" s="11"/>
      <c r="B891" s="498" t="s">
        <v>55</v>
      </c>
      <c r="C891" s="23" t="s">
        <v>299</v>
      </c>
      <c r="D891" s="10" t="s">
        <v>104</v>
      </c>
      <c r="E891" s="10" t="s">
        <v>81</v>
      </c>
      <c r="F891" s="661" t="s">
        <v>79</v>
      </c>
      <c r="G891" s="662" t="s">
        <v>45</v>
      </c>
      <c r="H891" s="662" t="s">
        <v>63</v>
      </c>
      <c r="I891" s="663" t="s">
        <v>547</v>
      </c>
      <c r="J891" s="10" t="s">
        <v>56</v>
      </c>
      <c r="K891" s="24">
        <v>81</v>
      </c>
      <c r="L891" s="24">
        <f>M891-K891</f>
        <v>-67.599999999999994</v>
      </c>
      <c r="M891" s="24">
        <f>81-67.6</f>
        <v>13.400000000000006</v>
      </c>
    </row>
    <row r="892" spans="1:13" s="111" customFormat="1" ht="72" customHeight="1" x14ac:dyDescent="0.35">
      <c r="A892" s="11"/>
      <c r="B892" s="498" t="s">
        <v>231</v>
      </c>
      <c r="C892" s="23" t="s">
        <v>299</v>
      </c>
      <c r="D892" s="10" t="s">
        <v>104</v>
      </c>
      <c r="E892" s="10" t="s">
        <v>81</v>
      </c>
      <c r="F892" s="661" t="s">
        <v>79</v>
      </c>
      <c r="G892" s="662" t="s">
        <v>45</v>
      </c>
      <c r="H892" s="662" t="s">
        <v>63</v>
      </c>
      <c r="I892" s="663" t="s">
        <v>548</v>
      </c>
      <c r="J892" s="10"/>
      <c r="K892" s="24">
        <f>K893+K894</f>
        <v>6980.4</v>
      </c>
      <c r="L892" s="24">
        <f>L893+L894</f>
        <v>0</v>
      </c>
      <c r="M892" s="24">
        <f>M893+M894</f>
        <v>6980.4</v>
      </c>
    </row>
    <row r="893" spans="1:13" s="111" customFormat="1" ht="108" customHeight="1" x14ac:dyDescent="0.35">
      <c r="A893" s="11"/>
      <c r="B893" s="498" t="s">
        <v>49</v>
      </c>
      <c r="C893" s="23" t="s">
        <v>299</v>
      </c>
      <c r="D893" s="10" t="s">
        <v>104</v>
      </c>
      <c r="E893" s="10" t="s">
        <v>81</v>
      </c>
      <c r="F893" s="661" t="s">
        <v>79</v>
      </c>
      <c r="G893" s="662" t="s">
        <v>45</v>
      </c>
      <c r="H893" s="662" t="s">
        <v>63</v>
      </c>
      <c r="I893" s="663" t="s">
        <v>548</v>
      </c>
      <c r="J893" s="10" t="s">
        <v>50</v>
      </c>
      <c r="K893" s="24">
        <v>6251.4</v>
      </c>
      <c r="L893" s="24">
        <f>M893-K893</f>
        <v>490</v>
      </c>
      <c r="M893" s="24">
        <f>6251.4+490</f>
        <v>6741.4</v>
      </c>
    </row>
    <row r="894" spans="1:13" s="111" customFormat="1" ht="54" customHeight="1" x14ac:dyDescent="0.35">
      <c r="A894" s="11"/>
      <c r="B894" s="498" t="s">
        <v>55</v>
      </c>
      <c r="C894" s="23" t="s">
        <v>299</v>
      </c>
      <c r="D894" s="10" t="s">
        <v>104</v>
      </c>
      <c r="E894" s="10" t="s">
        <v>81</v>
      </c>
      <c r="F894" s="661" t="s">
        <v>79</v>
      </c>
      <c r="G894" s="662" t="s">
        <v>45</v>
      </c>
      <c r="H894" s="662" t="s">
        <v>63</v>
      </c>
      <c r="I894" s="663" t="s">
        <v>548</v>
      </c>
      <c r="J894" s="10" t="s">
        <v>56</v>
      </c>
      <c r="K894" s="24">
        <v>729</v>
      </c>
      <c r="L894" s="24">
        <f>M894-K894</f>
        <v>-490</v>
      </c>
      <c r="M894" s="24">
        <f>729-490</f>
        <v>239</v>
      </c>
    </row>
    <row r="895" spans="1:13" s="111" customFormat="1" ht="18" customHeight="1" x14ac:dyDescent="0.35">
      <c r="A895" s="164"/>
      <c r="B895" s="491"/>
      <c r="C895" s="165"/>
      <c r="D895" s="104"/>
      <c r="E895" s="104"/>
      <c r="F895" s="104"/>
      <c r="G895" s="104"/>
      <c r="H895" s="104"/>
      <c r="I895" s="104"/>
      <c r="J895" s="104"/>
      <c r="K895" s="104"/>
      <c r="L895" s="104"/>
      <c r="M895" s="166"/>
    </row>
    <row r="896" spans="1:13" s="111" customFormat="1" ht="18" customHeight="1" x14ac:dyDescent="0.35">
      <c r="A896" s="164"/>
      <c r="B896" s="491"/>
      <c r="C896" s="165"/>
      <c r="D896" s="104"/>
      <c r="E896" s="104"/>
      <c r="F896" s="104"/>
      <c r="G896" s="104"/>
      <c r="H896" s="104"/>
      <c r="I896" s="104"/>
      <c r="J896" s="104"/>
      <c r="K896" s="104"/>
      <c r="L896" s="104"/>
      <c r="M896" s="166"/>
    </row>
    <row r="897" spans="1:14" s="75" customFormat="1" ht="18.75" customHeight="1" x14ac:dyDescent="0.35">
      <c r="A897" s="641" t="s">
        <v>379</v>
      </c>
      <c r="B897" s="76"/>
      <c r="C897" s="77"/>
      <c r="D897" s="77"/>
      <c r="E897" s="77"/>
      <c r="F897" s="42"/>
      <c r="G897" s="105"/>
      <c r="H897" s="137"/>
      <c r="M897" s="463"/>
    </row>
    <row r="898" spans="1:14" s="75" customFormat="1" ht="18.75" customHeight="1" x14ac:dyDescent="0.35">
      <c r="A898" s="641" t="s">
        <v>380</v>
      </c>
      <c r="B898" s="76"/>
      <c r="C898" s="77"/>
      <c r="D898" s="77"/>
      <c r="E898" s="77"/>
      <c r="F898" s="42"/>
      <c r="G898" s="105"/>
      <c r="H898" s="137"/>
      <c r="M898" s="463"/>
    </row>
    <row r="899" spans="1:14" s="75" customFormat="1" ht="18.75" customHeight="1" x14ac:dyDescent="0.35">
      <c r="A899" s="642" t="s">
        <v>381</v>
      </c>
      <c r="B899" s="76"/>
      <c r="E899" s="77"/>
      <c r="F899" s="42"/>
      <c r="K899" s="75" t="s">
        <v>391</v>
      </c>
      <c r="M899" s="649" t="s">
        <v>391</v>
      </c>
    </row>
    <row r="900" spans="1:14" s="167" customFormat="1" ht="18" customHeight="1" x14ac:dyDescent="0.35">
      <c r="A900" s="642"/>
      <c r="B900" s="491"/>
      <c r="C900" s="165"/>
      <c r="D900" s="104"/>
      <c r="E900" s="104"/>
      <c r="F900" s="104"/>
      <c r="G900" s="104"/>
      <c r="H900" s="104"/>
      <c r="I900" s="104"/>
      <c r="J900" s="104"/>
      <c r="K900" s="104"/>
      <c r="L900" s="104"/>
      <c r="M900" s="166"/>
    </row>
    <row r="901" spans="1:14" s="167" customFormat="1" ht="18" customHeight="1" x14ac:dyDescent="0.35">
      <c r="A901" s="164"/>
      <c r="B901" s="491"/>
      <c r="C901" s="165"/>
      <c r="D901" s="104"/>
      <c r="E901" s="104"/>
      <c r="F901" s="104"/>
      <c r="G901" s="104"/>
      <c r="H901" s="104"/>
      <c r="I901" s="104"/>
      <c r="J901" s="104"/>
      <c r="K901" s="104"/>
      <c r="L901" s="104"/>
      <c r="M901" s="166"/>
    </row>
    <row r="902" spans="1:14" s="167" customFormat="1" ht="18" customHeight="1" x14ac:dyDescent="0.35">
      <c r="A902" s="164"/>
      <c r="B902" s="491"/>
      <c r="C902" s="165"/>
      <c r="D902" s="104"/>
      <c r="E902" s="104"/>
      <c r="F902" s="104"/>
      <c r="G902" s="104"/>
      <c r="H902" s="104"/>
      <c r="I902" s="104"/>
      <c r="J902" s="104"/>
      <c r="K902" s="104"/>
      <c r="L902" s="104"/>
      <c r="M902" s="166"/>
    </row>
    <row r="903" spans="1:14" s="167" customFormat="1" ht="18" hidden="1" customHeight="1" x14ac:dyDescent="0.35">
      <c r="A903" s="164"/>
      <c r="B903" s="491"/>
      <c r="C903" s="165"/>
      <c r="D903" s="28" t="s">
        <v>37</v>
      </c>
      <c r="E903" s="28" t="s">
        <v>39</v>
      </c>
      <c r="F903" s="29"/>
      <c r="G903" s="29"/>
      <c r="H903" s="29"/>
      <c r="I903" s="29"/>
      <c r="J903" s="29"/>
      <c r="K903" s="29"/>
      <c r="L903" s="29"/>
      <c r="M903" s="138">
        <f>M17</f>
        <v>2536.8000000000002</v>
      </c>
      <c r="N903" s="168"/>
    </row>
    <row r="904" spans="1:14" s="167" customFormat="1" ht="18" hidden="1" customHeight="1" x14ac:dyDescent="0.35">
      <c r="A904" s="164"/>
      <c r="B904" s="491"/>
      <c r="C904" s="165"/>
      <c r="D904" s="28" t="s">
        <v>37</v>
      </c>
      <c r="E904" s="28" t="s">
        <v>52</v>
      </c>
      <c r="F904" s="29"/>
      <c r="G904" s="29"/>
      <c r="H904" s="29"/>
      <c r="I904" s="29"/>
      <c r="J904" s="29"/>
      <c r="K904" s="29"/>
      <c r="L904" s="29"/>
      <c r="M904" s="138">
        <f>M23</f>
        <v>84433.932450000008</v>
      </c>
      <c r="N904" s="168"/>
    </row>
    <row r="905" spans="1:14" s="167" customFormat="1" ht="18" hidden="1" customHeight="1" x14ac:dyDescent="0.35">
      <c r="A905" s="164"/>
      <c r="B905" s="491"/>
      <c r="C905" s="165"/>
      <c r="D905" s="28" t="s">
        <v>37</v>
      </c>
      <c r="E905" s="28" t="s">
        <v>65</v>
      </c>
      <c r="F905" s="29"/>
      <c r="G905" s="29"/>
      <c r="H905" s="29"/>
      <c r="I905" s="29"/>
      <c r="J905" s="29"/>
      <c r="K905" s="29"/>
      <c r="L905" s="29"/>
      <c r="M905" s="138">
        <f>M45</f>
        <v>19.8</v>
      </c>
      <c r="N905" s="168"/>
    </row>
    <row r="906" spans="1:14" s="167" customFormat="1" ht="18" hidden="1" customHeight="1" x14ac:dyDescent="0.35">
      <c r="A906" s="164"/>
      <c r="B906" s="491"/>
      <c r="C906" s="165"/>
      <c r="D906" s="28" t="s">
        <v>37</v>
      </c>
      <c r="E906" s="28" t="s">
        <v>81</v>
      </c>
      <c r="F906" s="29"/>
      <c r="G906" s="29"/>
      <c r="H906" s="29"/>
      <c r="I906" s="29"/>
      <c r="J906" s="29"/>
      <c r="K906" s="29"/>
      <c r="L906" s="29"/>
      <c r="M906" s="138">
        <f>M293+M341</f>
        <v>37963.306999999993</v>
      </c>
      <c r="N906" s="168"/>
    </row>
    <row r="907" spans="1:14" s="167" customFormat="1" ht="18" hidden="1" customHeight="1" x14ac:dyDescent="0.35">
      <c r="A907" s="164"/>
      <c r="B907" s="491"/>
      <c r="C907" s="165"/>
      <c r="D907" s="28" t="s">
        <v>37</v>
      </c>
      <c r="E907" s="28" t="s">
        <v>67</v>
      </c>
      <c r="F907" s="29"/>
      <c r="G907" s="29"/>
      <c r="H907" s="29"/>
      <c r="I907" s="29"/>
      <c r="J907" s="29"/>
      <c r="K907" s="29"/>
      <c r="L907" s="29"/>
      <c r="M907" s="138">
        <f>M51</f>
        <v>10135.905939999995</v>
      </c>
      <c r="N907" s="168"/>
    </row>
    <row r="908" spans="1:14" s="167" customFormat="1" ht="18" hidden="1" customHeight="1" x14ac:dyDescent="0.35">
      <c r="A908" s="164"/>
      <c r="B908" s="491"/>
      <c r="C908" s="165"/>
      <c r="D908" s="28" t="s">
        <v>37</v>
      </c>
      <c r="E908" s="28" t="s">
        <v>71</v>
      </c>
      <c r="F908" s="29"/>
      <c r="G908" s="29"/>
      <c r="H908" s="29"/>
      <c r="I908" s="29"/>
      <c r="J908" s="29"/>
      <c r="K908" s="29"/>
      <c r="L908" s="29"/>
      <c r="M908" s="138">
        <f>M56+M306+M359+M827+M670+M753+M472</f>
        <v>149885.46863999998</v>
      </c>
      <c r="N908" s="168"/>
    </row>
    <row r="909" spans="1:14" ht="18" hidden="1" customHeight="1" x14ac:dyDescent="0.35">
      <c r="D909" s="139" t="s">
        <v>37</v>
      </c>
      <c r="E909" s="139" t="s">
        <v>43</v>
      </c>
      <c r="F909" s="29"/>
      <c r="G909" s="29"/>
      <c r="H909" s="29"/>
      <c r="I909" s="29"/>
      <c r="J909" s="29"/>
      <c r="K909" s="29"/>
      <c r="L909" s="29"/>
      <c r="M909" s="140">
        <f>SUBTOTAL(9,M903:M908)</f>
        <v>284975.21402999997</v>
      </c>
      <c r="N909" s="169"/>
    </row>
    <row r="910" spans="1:14" ht="18" hidden="1" customHeight="1" x14ac:dyDescent="0.35">
      <c r="D910" s="28"/>
      <c r="E910" s="28"/>
      <c r="F910" s="29"/>
      <c r="G910" s="29"/>
      <c r="H910" s="29"/>
      <c r="I910" s="29"/>
      <c r="J910" s="29"/>
      <c r="K910" s="29"/>
      <c r="L910" s="29"/>
      <c r="M910" s="138"/>
      <c r="N910" s="168"/>
    </row>
    <row r="911" spans="1:14" ht="18" hidden="1" customHeight="1" x14ac:dyDescent="0.35">
      <c r="D911" s="28" t="s">
        <v>63</v>
      </c>
      <c r="E911" s="28" t="s">
        <v>104</v>
      </c>
      <c r="F911" s="29"/>
      <c r="G911" s="29"/>
      <c r="H911" s="29"/>
      <c r="I911" s="29"/>
      <c r="J911" s="29"/>
      <c r="K911" s="29"/>
      <c r="L911" s="29"/>
      <c r="M911" s="138">
        <f>M95</f>
        <v>9496.6999999999989</v>
      </c>
      <c r="N911" s="168"/>
    </row>
    <row r="912" spans="1:14" ht="18" hidden="1" customHeight="1" x14ac:dyDescent="0.35">
      <c r="D912" s="28" t="s">
        <v>63</v>
      </c>
      <c r="E912" s="28" t="s">
        <v>88</v>
      </c>
      <c r="F912" s="29"/>
      <c r="G912" s="29"/>
      <c r="H912" s="29"/>
      <c r="I912" s="29"/>
      <c r="J912" s="29"/>
      <c r="K912" s="29"/>
      <c r="L912" s="29"/>
      <c r="M912" s="138">
        <f>M107</f>
        <v>13053.647999999999</v>
      </c>
      <c r="N912" s="168"/>
    </row>
    <row r="913" spans="4:14" ht="18" hidden="1" customHeight="1" x14ac:dyDescent="0.35">
      <c r="D913" s="139" t="s">
        <v>63</v>
      </c>
      <c r="E913" s="139" t="s">
        <v>43</v>
      </c>
      <c r="F913" s="29"/>
      <c r="G913" s="29"/>
      <c r="H913" s="29"/>
      <c r="I913" s="29"/>
      <c r="J913" s="29"/>
      <c r="K913" s="29"/>
      <c r="L913" s="29"/>
      <c r="M913" s="140">
        <f>SUBTOTAL(9,M911:M912)</f>
        <v>22550.347999999998</v>
      </c>
      <c r="N913" s="169"/>
    </row>
    <row r="914" spans="4:14" ht="18" hidden="1" customHeight="1" x14ac:dyDescent="0.35">
      <c r="D914" s="28"/>
      <c r="E914" s="28"/>
      <c r="F914" s="29"/>
      <c r="G914" s="29"/>
      <c r="H914" s="29"/>
      <c r="I914" s="29"/>
      <c r="J914" s="29"/>
      <c r="K914" s="29"/>
      <c r="L914" s="29"/>
      <c r="M914" s="138"/>
      <c r="N914" s="168"/>
    </row>
    <row r="915" spans="4:14" ht="18" hidden="1" customHeight="1" x14ac:dyDescent="0.35">
      <c r="D915" s="28" t="s">
        <v>52</v>
      </c>
      <c r="E915" s="28" t="s">
        <v>65</v>
      </c>
      <c r="F915" s="29"/>
      <c r="G915" s="29"/>
      <c r="H915" s="29"/>
      <c r="I915" s="29"/>
      <c r="J915" s="29"/>
      <c r="K915" s="29"/>
      <c r="L915" s="29"/>
      <c r="M915" s="138">
        <f>M132</f>
        <v>14369.400000000001</v>
      </c>
      <c r="N915" s="168"/>
    </row>
    <row r="916" spans="4:14" ht="18" hidden="1" customHeight="1" x14ac:dyDescent="0.35">
      <c r="D916" s="28" t="s">
        <v>52</v>
      </c>
      <c r="E916" s="28" t="s">
        <v>79</v>
      </c>
      <c r="F916" s="29"/>
      <c r="G916" s="29"/>
      <c r="H916" s="29"/>
      <c r="I916" s="29"/>
      <c r="J916" s="29"/>
      <c r="K916" s="29"/>
      <c r="L916" s="29"/>
      <c r="M916" s="138">
        <f>M141</f>
        <v>12364.4156</v>
      </c>
      <c r="N916" s="168"/>
    </row>
    <row r="917" spans="4:14" ht="18" hidden="1" customHeight="1" x14ac:dyDescent="0.35">
      <c r="D917" s="28" t="s">
        <v>52</v>
      </c>
      <c r="E917" s="28" t="s">
        <v>100</v>
      </c>
      <c r="F917" s="29"/>
      <c r="G917" s="29"/>
      <c r="H917" s="29"/>
      <c r="I917" s="29"/>
      <c r="J917" s="29"/>
      <c r="K917" s="29"/>
      <c r="L917" s="29"/>
      <c r="M917" s="138">
        <f>M147+M411</f>
        <v>69249.099999999991</v>
      </c>
      <c r="N917" s="168"/>
    </row>
    <row r="918" spans="4:14" ht="18" hidden="1" customHeight="1" x14ac:dyDescent="0.35">
      <c r="D918" s="139" t="s">
        <v>52</v>
      </c>
      <c r="E918" s="139" t="s">
        <v>43</v>
      </c>
      <c r="F918" s="29"/>
      <c r="G918" s="29"/>
      <c r="H918" s="29"/>
      <c r="I918" s="29"/>
      <c r="J918" s="29"/>
      <c r="K918" s="29"/>
      <c r="L918" s="29"/>
      <c r="M918" s="140">
        <f>SUBTOTAL(9,M915:M917)</f>
        <v>95982.915599999993</v>
      </c>
      <c r="N918" s="169"/>
    </row>
    <row r="919" spans="4:14" ht="18" hidden="1" customHeight="1" x14ac:dyDescent="0.35">
      <c r="D919" s="28"/>
      <c r="E919" s="28"/>
      <c r="F919" s="29"/>
      <c r="G919" s="29"/>
      <c r="H919" s="29"/>
      <c r="I919" s="29"/>
      <c r="J919" s="29"/>
      <c r="K919" s="29"/>
      <c r="L919" s="29"/>
      <c r="M919" s="138"/>
      <c r="N919" s="168"/>
    </row>
    <row r="920" spans="4:14" ht="18" hidden="1" customHeight="1" x14ac:dyDescent="0.35">
      <c r="D920" s="28" t="s">
        <v>65</v>
      </c>
      <c r="E920" s="28" t="s">
        <v>37</v>
      </c>
      <c r="F920" s="29"/>
      <c r="G920" s="29"/>
      <c r="H920" s="29"/>
      <c r="I920" s="29"/>
      <c r="J920" s="29"/>
      <c r="K920" s="29"/>
      <c r="L920" s="29"/>
      <c r="M920" s="138">
        <f>M179</f>
        <v>60690.600000000006</v>
      </c>
      <c r="N920" s="168"/>
    </row>
    <row r="921" spans="4:14" ht="18" hidden="1" customHeight="1" x14ac:dyDescent="0.35">
      <c r="D921" s="28" t="s">
        <v>65</v>
      </c>
      <c r="E921" s="28" t="s">
        <v>39</v>
      </c>
      <c r="F921" s="29"/>
      <c r="G921" s="29"/>
      <c r="H921" s="29"/>
      <c r="I921" s="29"/>
      <c r="J921" s="29"/>
      <c r="K921" s="29"/>
      <c r="L921" s="29"/>
      <c r="M921" s="138">
        <f>M422</f>
        <v>47793.5</v>
      </c>
      <c r="N921" s="168"/>
    </row>
    <row r="922" spans="4:14" ht="18" hidden="1" customHeight="1" x14ac:dyDescent="0.35">
      <c r="D922" s="28" t="s">
        <v>65</v>
      </c>
      <c r="E922" s="28" t="s">
        <v>65</v>
      </c>
      <c r="F922" s="29"/>
      <c r="G922" s="29"/>
      <c r="H922" s="29"/>
      <c r="I922" s="29"/>
      <c r="J922" s="29"/>
      <c r="K922" s="29"/>
      <c r="L922" s="29"/>
      <c r="M922" s="138"/>
      <c r="N922" s="168"/>
    </row>
    <row r="923" spans="4:14" ht="18" hidden="1" customHeight="1" x14ac:dyDescent="0.35">
      <c r="D923" s="28" t="s">
        <v>65</v>
      </c>
      <c r="E923" s="28" t="s">
        <v>63</v>
      </c>
      <c r="F923" s="29"/>
      <c r="G923" s="29"/>
      <c r="H923" s="29"/>
      <c r="I923" s="29"/>
      <c r="J923" s="29"/>
      <c r="K923" s="29"/>
      <c r="L923" s="29"/>
      <c r="M923" s="138">
        <f>M189</f>
        <v>7078.9000000000005</v>
      </c>
      <c r="N923" s="168"/>
    </row>
    <row r="924" spans="4:14" ht="18" hidden="1" customHeight="1" x14ac:dyDescent="0.35">
      <c r="D924" s="139" t="s">
        <v>65</v>
      </c>
      <c r="E924" s="139" t="s">
        <v>43</v>
      </c>
      <c r="F924" s="29"/>
      <c r="G924" s="29"/>
      <c r="H924" s="29"/>
      <c r="I924" s="29"/>
      <c r="J924" s="29"/>
      <c r="K924" s="29"/>
      <c r="L924" s="29"/>
      <c r="M924" s="140">
        <f>SUBTOTAL(9,M920:M923)</f>
        <v>115563</v>
      </c>
      <c r="N924" s="169"/>
    </row>
    <row r="925" spans="4:14" ht="18" hidden="1" customHeight="1" x14ac:dyDescent="0.35">
      <c r="D925" s="28"/>
      <c r="E925" s="28"/>
      <c r="F925" s="29"/>
      <c r="G925" s="29"/>
      <c r="H925" s="29"/>
      <c r="I925" s="29"/>
      <c r="J925" s="29"/>
      <c r="K925" s="29"/>
      <c r="L925" s="29"/>
      <c r="M925" s="138"/>
      <c r="N925" s="168"/>
    </row>
    <row r="926" spans="4:14" ht="18" hidden="1" customHeight="1" x14ac:dyDescent="0.35">
      <c r="D926" s="28" t="s">
        <v>224</v>
      </c>
      <c r="E926" s="28" t="s">
        <v>37</v>
      </c>
      <c r="F926" s="29"/>
      <c r="G926" s="29"/>
      <c r="H926" s="29"/>
      <c r="I926" s="29"/>
      <c r="J926" s="29"/>
      <c r="K926" s="29"/>
      <c r="L926" s="29"/>
      <c r="M926" s="138">
        <f>M485+M431</f>
        <v>513016.27999999997</v>
      </c>
      <c r="N926" s="168"/>
    </row>
    <row r="927" spans="4:14" ht="18" hidden="1" customHeight="1" x14ac:dyDescent="0.35">
      <c r="D927" s="28" t="s">
        <v>224</v>
      </c>
      <c r="E927" s="28" t="s">
        <v>39</v>
      </c>
      <c r="F927" s="29"/>
      <c r="G927" s="29"/>
      <c r="H927" s="29"/>
      <c r="I927" s="29"/>
      <c r="J927" s="29"/>
      <c r="K927" s="29"/>
      <c r="L927" s="29"/>
      <c r="M927" s="138">
        <f>M439+M521</f>
        <v>924458.88829999999</v>
      </c>
      <c r="N927" s="168"/>
    </row>
    <row r="928" spans="4:14" ht="18" hidden="1" customHeight="1" x14ac:dyDescent="0.35">
      <c r="D928" s="28" t="s">
        <v>224</v>
      </c>
      <c r="E928" s="28" t="s">
        <v>63</v>
      </c>
      <c r="F928" s="29"/>
      <c r="G928" s="29"/>
      <c r="H928" s="29"/>
      <c r="I928" s="29"/>
      <c r="J928" s="29"/>
      <c r="K928" s="29"/>
      <c r="L928" s="29"/>
      <c r="M928" s="138">
        <f>M581+M677</f>
        <v>159787.04700000002</v>
      </c>
      <c r="N928" s="168"/>
    </row>
    <row r="929" spans="4:14" ht="18" hidden="1" customHeight="1" x14ac:dyDescent="0.35">
      <c r="D929" s="28" t="s">
        <v>224</v>
      </c>
      <c r="E929" s="28" t="s">
        <v>65</v>
      </c>
      <c r="F929" s="29"/>
      <c r="G929" s="29"/>
      <c r="H929" s="29"/>
      <c r="I929" s="29"/>
      <c r="J929" s="29"/>
      <c r="K929" s="29"/>
      <c r="L929" s="29"/>
      <c r="M929" s="138">
        <f>M196+M319+M447+M351+M613</f>
        <v>284.59299999999996</v>
      </c>
      <c r="N929" s="168"/>
    </row>
    <row r="930" spans="4:14" ht="18" hidden="1" customHeight="1" x14ac:dyDescent="0.35">
      <c r="D930" s="28" t="s">
        <v>224</v>
      </c>
      <c r="E930" s="28" t="s">
        <v>224</v>
      </c>
      <c r="F930" s="29"/>
      <c r="G930" s="29"/>
      <c r="H930" s="29"/>
      <c r="I930" s="29"/>
      <c r="J930" s="29"/>
      <c r="K930" s="29"/>
      <c r="L930" s="29"/>
      <c r="M930" s="138">
        <f>M840</f>
        <v>5951.9699999999993</v>
      </c>
      <c r="N930" s="168"/>
    </row>
    <row r="931" spans="4:14" ht="18" hidden="1" customHeight="1" x14ac:dyDescent="0.35">
      <c r="D931" s="28" t="s">
        <v>224</v>
      </c>
      <c r="E931" s="28" t="s">
        <v>79</v>
      </c>
      <c r="F931" s="29"/>
      <c r="G931" s="29"/>
      <c r="H931" s="29"/>
      <c r="I931" s="29"/>
      <c r="J931" s="29"/>
      <c r="K931" s="29"/>
      <c r="L931" s="29"/>
      <c r="M931" s="138">
        <f>M623+M689+M850</f>
        <v>94173.543000000005</v>
      </c>
      <c r="N931" s="168"/>
    </row>
    <row r="932" spans="4:14" ht="18" hidden="1" customHeight="1" x14ac:dyDescent="0.35">
      <c r="D932" s="139" t="s">
        <v>224</v>
      </c>
      <c r="E932" s="139" t="s">
        <v>43</v>
      </c>
      <c r="F932" s="29"/>
      <c r="G932" s="29"/>
      <c r="H932" s="29"/>
      <c r="I932" s="29"/>
      <c r="J932" s="29"/>
      <c r="K932" s="29"/>
      <c r="L932" s="29"/>
      <c r="M932" s="140">
        <f>SUBTOTAL(9,M926:M931)</f>
        <v>1697672.3213000002</v>
      </c>
      <c r="N932" s="169"/>
    </row>
    <row r="933" spans="4:14" ht="18" hidden="1" customHeight="1" x14ac:dyDescent="0.35">
      <c r="D933" s="28"/>
      <c r="E933" s="28"/>
      <c r="F933" s="29"/>
      <c r="G933" s="29"/>
      <c r="H933" s="29"/>
      <c r="I933" s="29"/>
      <c r="J933" s="29"/>
      <c r="K933" s="29"/>
      <c r="L933" s="29"/>
      <c r="M933" s="138"/>
      <c r="N933" s="168"/>
    </row>
    <row r="934" spans="4:14" ht="18" hidden="1" customHeight="1" x14ac:dyDescent="0.35">
      <c r="D934" s="28" t="s">
        <v>226</v>
      </c>
      <c r="E934" s="28" t="s">
        <v>37</v>
      </c>
      <c r="F934" s="29"/>
      <c r="G934" s="29"/>
      <c r="H934" s="29"/>
      <c r="I934" s="29"/>
      <c r="J934" s="29"/>
      <c r="K934" s="29"/>
      <c r="L934" s="29"/>
      <c r="M934" s="138">
        <f>M699</f>
        <v>54957.999999999993</v>
      </c>
      <c r="N934" s="168"/>
    </row>
    <row r="935" spans="4:14" ht="18" hidden="1" customHeight="1" x14ac:dyDescent="0.35">
      <c r="D935" s="28" t="s">
        <v>226</v>
      </c>
      <c r="E935" s="28" t="s">
        <v>52</v>
      </c>
      <c r="F935" s="29"/>
      <c r="G935" s="29"/>
      <c r="H935" s="29"/>
      <c r="I935" s="29"/>
      <c r="J935" s="29"/>
      <c r="K935" s="29"/>
      <c r="L935" s="29"/>
      <c r="M935" s="138">
        <f>M734</f>
        <v>12422</v>
      </c>
      <c r="N935" s="168"/>
    </row>
    <row r="936" spans="4:14" ht="18" hidden="1" customHeight="1" x14ac:dyDescent="0.35">
      <c r="D936" s="139" t="s">
        <v>226</v>
      </c>
      <c r="E936" s="139" t="s">
        <v>43</v>
      </c>
      <c r="F936" s="29"/>
      <c r="G936" s="29"/>
      <c r="H936" s="29"/>
      <c r="I936" s="29"/>
      <c r="J936" s="29"/>
      <c r="K936" s="29"/>
      <c r="L936" s="29"/>
      <c r="M936" s="140">
        <f>SUBTOTAL(9,M934:M935)</f>
        <v>67380</v>
      </c>
      <c r="N936" s="169"/>
    </row>
    <row r="937" spans="4:14" ht="18" hidden="1" customHeight="1" x14ac:dyDescent="0.35">
      <c r="D937" s="28"/>
      <c r="E937" s="28"/>
      <c r="F937" s="29"/>
      <c r="G937" s="29"/>
      <c r="H937" s="29"/>
      <c r="I937" s="29"/>
      <c r="J937" s="29"/>
      <c r="K937" s="29"/>
      <c r="L937" s="29"/>
      <c r="M937" s="138"/>
      <c r="N937" s="168"/>
    </row>
    <row r="938" spans="4:14" ht="18" hidden="1" customHeight="1" x14ac:dyDescent="0.35">
      <c r="D938" s="28" t="s">
        <v>104</v>
      </c>
      <c r="E938" s="28" t="s">
        <v>37</v>
      </c>
      <c r="F938" s="29"/>
      <c r="G938" s="29"/>
      <c r="H938" s="29"/>
      <c r="I938" s="29"/>
      <c r="J938" s="29"/>
      <c r="K938" s="29"/>
      <c r="L938" s="29"/>
      <c r="M938" s="138">
        <f>M203</f>
        <v>1504.6</v>
      </c>
      <c r="N938" s="168"/>
    </row>
    <row r="939" spans="4:14" ht="18" hidden="1" customHeight="1" x14ac:dyDescent="0.35">
      <c r="D939" s="28" t="s">
        <v>104</v>
      </c>
      <c r="E939" s="28" t="s">
        <v>63</v>
      </c>
      <c r="F939" s="29"/>
      <c r="G939" s="29"/>
      <c r="H939" s="29"/>
      <c r="I939" s="29"/>
      <c r="J939" s="29"/>
      <c r="K939" s="29"/>
      <c r="L939" s="29"/>
      <c r="M939" s="138">
        <f>M654+M209</f>
        <v>2070</v>
      </c>
      <c r="N939" s="168"/>
    </row>
    <row r="940" spans="4:14" ht="18" hidden="1" customHeight="1" x14ac:dyDescent="0.35">
      <c r="D940" s="28" t="s">
        <v>104</v>
      </c>
      <c r="E940" s="28" t="s">
        <v>52</v>
      </c>
      <c r="F940" s="29"/>
      <c r="G940" s="29"/>
      <c r="H940" s="29"/>
      <c r="I940" s="29"/>
      <c r="J940" s="29"/>
      <c r="K940" s="29"/>
      <c r="L940" s="29"/>
      <c r="M940" s="138">
        <f>M454+M660+M861</f>
        <v>153353.17597000001</v>
      </c>
      <c r="N940" s="168"/>
    </row>
    <row r="941" spans="4:14" ht="18" hidden="1" customHeight="1" x14ac:dyDescent="0.35">
      <c r="D941" s="28" t="s">
        <v>104</v>
      </c>
      <c r="E941" s="28" t="s">
        <v>81</v>
      </c>
      <c r="F941" s="29"/>
      <c r="G941" s="29"/>
      <c r="H941" s="29"/>
      <c r="I941" s="29"/>
      <c r="J941" s="29"/>
      <c r="K941" s="29"/>
      <c r="L941" s="29"/>
      <c r="M941" s="138">
        <f>M215+M882</f>
        <v>11468.5</v>
      </c>
      <c r="N941" s="168"/>
    </row>
    <row r="942" spans="4:14" ht="18" hidden="1" customHeight="1" x14ac:dyDescent="0.35">
      <c r="D942" s="139" t="s">
        <v>104</v>
      </c>
      <c r="E942" s="139" t="s">
        <v>43</v>
      </c>
      <c r="F942" s="29"/>
      <c r="G942" s="29"/>
      <c r="H942" s="29"/>
      <c r="I942" s="29"/>
      <c r="J942" s="29"/>
      <c r="K942" s="29"/>
      <c r="L942" s="29"/>
      <c r="M942" s="140">
        <f>SUBTOTAL(9,M938:M941)</f>
        <v>168396.27597000002</v>
      </c>
      <c r="N942" s="169"/>
    </row>
    <row r="943" spans="4:14" ht="18" hidden="1" customHeight="1" x14ac:dyDescent="0.35">
      <c r="D943" s="28"/>
      <c r="E943" s="28"/>
      <c r="F943" s="29"/>
      <c r="G943" s="29"/>
      <c r="H943" s="29"/>
      <c r="I943" s="29"/>
      <c r="J943" s="29"/>
      <c r="K943" s="29"/>
      <c r="L943" s="29"/>
      <c r="M943" s="138"/>
      <c r="N943" s="168"/>
    </row>
    <row r="944" spans="4:14" ht="18" hidden="1" customHeight="1" x14ac:dyDescent="0.35">
      <c r="D944" s="28" t="s">
        <v>67</v>
      </c>
      <c r="E944" s="28" t="s">
        <v>37</v>
      </c>
      <c r="F944" s="29"/>
      <c r="G944" s="29"/>
      <c r="H944" s="29"/>
      <c r="I944" s="29"/>
      <c r="J944" s="29"/>
      <c r="K944" s="29"/>
      <c r="L944" s="29"/>
      <c r="M944" s="138">
        <f>M760+M461</f>
        <v>83059.106480000002</v>
      </c>
      <c r="N944" s="168"/>
    </row>
    <row r="945" spans="2:14" ht="18" hidden="1" customHeight="1" x14ac:dyDescent="0.35">
      <c r="D945" s="28" t="s">
        <v>67</v>
      </c>
      <c r="E945" s="28" t="s">
        <v>39</v>
      </c>
      <c r="F945" s="29"/>
      <c r="G945" s="29"/>
      <c r="H945" s="29"/>
      <c r="I945" s="29"/>
      <c r="J945" s="29"/>
      <c r="K945" s="29"/>
      <c r="L945" s="29"/>
      <c r="M945" s="138">
        <f>M781</f>
        <v>27213.8</v>
      </c>
      <c r="N945" s="168"/>
    </row>
    <row r="946" spans="2:14" ht="18" hidden="1" customHeight="1" x14ac:dyDescent="0.35">
      <c r="D946" s="28" t="s">
        <v>67</v>
      </c>
      <c r="E946" s="28" t="s">
        <v>63</v>
      </c>
      <c r="F946" s="29"/>
      <c r="G946" s="29"/>
      <c r="H946" s="29"/>
      <c r="I946" s="29"/>
      <c r="J946" s="29"/>
      <c r="K946" s="29"/>
      <c r="L946" s="29"/>
      <c r="M946" s="138">
        <f>M794</f>
        <v>40112.793519999992</v>
      </c>
      <c r="N946" s="168"/>
    </row>
    <row r="947" spans="2:14" ht="18" hidden="1" customHeight="1" x14ac:dyDescent="0.35">
      <c r="D947" s="28" t="s">
        <v>67</v>
      </c>
      <c r="E947" s="28" t="s">
        <v>65</v>
      </c>
      <c r="F947" s="29"/>
      <c r="G947" s="29"/>
      <c r="H947" s="29"/>
      <c r="I947" s="29"/>
      <c r="J947" s="29"/>
      <c r="K947" s="29"/>
      <c r="L947" s="29"/>
      <c r="M947" s="138">
        <f>M816</f>
        <v>2971.1000000000004</v>
      </c>
      <c r="N947" s="168"/>
    </row>
    <row r="948" spans="2:14" ht="18" hidden="1" customHeight="1" x14ac:dyDescent="0.35">
      <c r="D948" s="139" t="s">
        <v>67</v>
      </c>
      <c r="E948" s="139" t="s">
        <v>43</v>
      </c>
      <c r="F948" s="29"/>
      <c r="G948" s="29"/>
      <c r="H948" s="29"/>
      <c r="I948" s="29"/>
      <c r="J948" s="29"/>
      <c r="K948" s="29"/>
      <c r="L948" s="29"/>
      <c r="M948" s="140">
        <f>SUBTOTAL(9,M944:M947)</f>
        <v>153356.80000000002</v>
      </c>
      <c r="N948" s="169"/>
    </row>
    <row r="949" spans="2:14" ht="18" hidden="1" customHeight="1" x14ac:dyDescent="0.35">
      <c r="D949" s="28"/>
      <c r="E949" s="28"/>
      <c r="F949" s="29"/>
      <c r="G949" s="29"/>
      <c r="H949" s="29"/>
      <c r="I949" s="29"/>
      <c r="J949" s="29"/>
      <c r="K949" s="29"/>
      <c r="L949" s="29"/>
      <c r="M949" s="138"/>
      <c r="N949" s="168"/>
    </row>
    <row r="950" spans="2:14" ht="18" hidden="1" customHeight="1" x14ac:dyDescent="0.35">
      <c r="D950" s="28" t="s">
        <v>71</v>
      </c>
      <c r="E950" s="28" t="s">
        <v>37</v>
      </c>
      <c r="F950" s="29"/>
      <c r="G950" s="29"/>
      <c r="H950" s="29"/>
      <c r="I950" s="29"/>
      <c r="J950" s="29"/>
      <c r="K950" s="29"/>
      <c r="L950" s="29"/>
      <c r="M950" s="138">
        <f>M221</f>
        <v>6</v>
      </c>
      <c r="N950" s="168"/>
    </row>
    <row r="951" spans="2:14" ht="18" hidden="1" customHeight="1" x14ac:dyDescent="0.35">
      <c r="D951" s="139" t="s">
        <v>71</v>
      </c>
      <c r="E951" s="139" t="s">
        <v>43</v>
      </c>
      <c r="F951" s="29"/>
      <c r="G951" s="29"/>
      <c r="H951" s="29"/>
      <c r="I951" s="29"/>
      <c r="J951" s="29"/>
      <c r="K951" s="29"/>
      <c r="L951" s="29"/>
      <c r="M951" s="140">
        <f>M950</f>
        <v>6</v>
      </c>
      <c r="N951" s="169"/>
    </row>
    <row r="952" spans="2:14" ht="18" hidden="1" customHeight="1" x14ac:dyDescent="0.35">
      <c r="D952" s="28"/>
      <c r="E952" s="28"/>
      <c r="F952" s="29"/>
      <c r="G952" s="29"/>
      <c r="H952" s="29"/>
      <c r="I952" s="29"/>
      <c r="J952" s="29"/>
      <c r="K952" s="29"/>
      <c r="L952" s="29"/>
      <c r="M952" s="138"/>
      <c r="N952" s="168"/>
    </row>
    <row r="953" spans="2:14" ht="18" hidden="1" customHeight="1" x14ac:dyDescent="0.35">
      <c r="D953" s="28" t="s">
        <v>88</v>
      </c>
      <c r="E953" s="28" t="s">
        <v>37</v>
      </c>
      <c r="F953" s="29"/>
      <c r="G953" s="29"/>
      <c r="H953" s="29"/>
      <c r="I953" s="29"/>
      <c r="J953" s="29"/>
      <c r="K953" s="29"/>
      <c r="L953" s="29"/>
      <c r="M953" s="138">
        <f>M326</f>
        <v>7500</v>
      </c>
      <c r="N953" s="168"/>
    </row>
    <row r="954" spans="2:14" ht="18" hidden="1" customHeight="1" x14ac:dyDescent="0.35">
      <c r="D954" s="28" t="s">
        <v>88</v>
      </c>
      <c r="E954" s="28" t="s">
        <v>39</v>
      </c>
      <c r="F954" s="29"/>
      <c r="G954" s="29"/>
      <c r="H954" s="29"/>
      <c r="I954" s="29"/>
      <c r="J954" s="29"/>
      <c r="K954" s="29"/>
      <c r="L954" s="29"/>
      <c r="M954" s="138"/>
      <c r="N954" s="168"/>
    </row>
    <row r="955" spans="2:14" ht="18" hidden="1" customHeight="1" x14ac:dyDescent="0.35">
      <c r="D955" s="28" t="s">
        <v>88</v>
      </c>
      <c r="E955" s="28" t="s">
        <v>63</v>
      </c>
      <c r="F955" s="29"/>
      <c r="G955" s="29"/>
      <c r="H955" s="29"/>
      <c r="I955" s="29"/>
      <c r="J955" s="29"/>
      <c r="K955" s="29"/>
      <c r="L955" s="239"/>
      <c r="M955" s="138">
        <f>M229+M332</f>
        <v>66076</v>
      </c>
      <c r="N955" s="168"/>
    </row>
    <row r="956" spans="2:14" ht="18" hidden="1" customHeight="1" x14ac:dyDescent="0.35">
      <c r="D956" s="139" t="s">
        <v>88</v>
      </c>
      <c r="E956" s="139" t="s">
        <v>43</v>
      </c>
      <c r="F956" s="29"/>
      <c r="G956" s="29"/>
      <c r="H956" s="29"/>
      <c r="I956" s="29"/>
      <c r="J956" s="29"/>
      <c r="K956" s="29"/>
      <c r="L956" s="29"/>
      <c r="M956" s="140">
        <f>SUBTOTAL(9,M953:M955)</f>
        <v>73576</v>
      </c>
      <c r="N956" s="169"/>
    </row>
    <row r="957" spans="2:14" ht="18" hidden="1" customHeight="1" x14ac:dyDescent="0.35">
      <c r="D957" s="72"/>
      <c r="E957" s="28"/>
      <c r="F957" s="29"/>
      <c r="G957" s="29"/>
      <c r="H957" s="29"/>
      <c r="I957" s="29"/>
      <c r="J957" s="29"/>
      <c r="K957" s="29"/>
      <c r="L957" s="29"/>
      <c r="M957" s="464">
        <f>M909+M913+M918+M924+M932+M936+M942+M948+M951+M956</f>
        <v>2679458.8748999997</v>
      </c>
      <c r="N957" s="74"/>
    </row>
    <row r="958" spans="2:14" ht="18" hidden="1" customHeight="1" x14ac:dyDescent="0.35">
      <c r="D958" s="73"/>
      <c r="E958" s="73"/>
      <c r="F958" s="33"/>
      <c r="G958" s="33"/>
      <c r="H958" s="33"/>
      <c r="I958" s="33"/>
      <c r="J958" s="33"/>
      <c r="K958" s="33"/>
      <c r="L958" s="33"/>
      <c r="M958" s="465"/>
      <c r="N958" s="74"/>
    </row>
    <row r="959" spans="2:14" ht="18" hidden="1" customHeight="1" x14ac:dyDescent="0.35">
      <c r="B959" s="489" t="s">
        <v>371</v>
      </c>
      <c r="D959" s="73"/>
      <c r="E959" s="73"/>
      <c r="F959" s="33"/>
      <c r="G959" s="33"/>
      <c r="H959" s="33"/>
      <c r="I959" s="33"/>
      <c r="J959" s="33"/>
      <c r="K959" s="33"/>
      <c r="L959" s="33"/>
      <c r="M959" s="465"/>
      <c r="N959" s="74"/>
    </row>
    <row r="960" spans="2:14" ht="18" hidden="1" customHeight="1" x14ac:dyDescent="0.35">
      <c r="B960" s="489" t="s">
        <v>370</v>
      </c>
      <c r="D960" s="73"/>
      <c r="E960" s="73"/>
      <c r="F960" s="33"/>
      <c r="G960" s="33"/>
      <c r="H960" s="33"/>
      <c r="I960" s="33"/>
      <c r="J960" s="33"/>
      <c r="K960" s="33"/>
      <c r="L960" s="33"/>
      <c r="M960" s="465"/>
      <c r="N960" s="74"/>
    </row>
    <row r="961" spans="4:14" ht="18" customHeight="1" x14ac:dyDescent="0.35">
      <c r="D961" s="73"/>
      <c r="E961" s="73"/>
      <c r="F961" s="33"/>
      <c r="G961" s="33"/>
      <c r="H961" s="33"/>
      <c r="I961" s="33"/>
      <c r="J961" s="33"/>
      <c r="K961" s="33"/>
      <c r="L961" s="33"/>
      <c r="M961" s="466"/>
      <c r="N961" s="74"/>
    </row>
    <row r="962" spans="4:14" ht="18" customHeight="1" x14ac:dyDescent="0.35">
      <c r="D962" s="73"/>
      <c r="E962" s="73"/>
      <c r="F962" s="33"/>
      <c r="G962" s="33"/>
      <c r="H962" s="33"/>
      <c r="I962" s="33"/>
      <c r="J962" s="33"/>
      <c r="K962" s="33"/>
      <c r="L962" s="33"/>
      <c r="M962" s="467"/>
      <c r="N962" s="74"/>
    </row>
    <row r="963" spans="4:14" ht="14.4" customHeight="1" x14ac:dyDescent="0.3">
      <c r="D963" s="74"/>
      <c r="E963" s="74"/>
      <c r="F963" s="74"/>
      <c r="G963" s="74"/>
      <c r="H963" s="74"/>
      <c r="I963" s="74"/>
      <c r="J963" s="74"/>
      <c r="K963" s="74"/>
      <c r="L963" s="74"/>
      <c r="M963" s="467"/>
      <c r="N963" s="74"/>
    </row>
    <row r="964" spans="4:14" ht="14.4" customHeight="1" x14ac:dyDescent="0.3">
      <c r="D964" s="74"/>
      <c r="E964" s="74"/>
      <c r="F964" s="74"/>
      <c r="G964" s="74"/>
      <c r="H964" s="74"/>
      <c r="I964" s="74"/>
      <c r="J964" s="74"/>
      <c r="K964" s="74"/>
      <c r="L964" s="74"/>
      <c r="M964" s="467"/>
      <c r="N964" s="74"/>
    </row>
    <row r="965" spans="4:14" ht="14.4" customHeight="1" x14ac:dyDescent="0.3">
      <c r="D965" s="74"/>
      <c r="E965" s="74"/>
      <c r="F965" s="74"/>
      <c r="G965" s="74"/>
      <c r="H965" s="74"/>
      <c r="I965" s="74"/>
      <c r="J965" s="74"/>
      <c r="K965" s="74"/>
      <c r="L965" s="74"/>
      <c r="M965" s="467"/>
      <c r="N965" s="74"/>
    </row>
    <row r="966" spans="4:14" ht="14.4" customHeight="1" x14ac:dyDescent="0.3">
      <c r="D966" s="74"/>
      <c r="E966" s="74"/>
      <c r="F966" s="74"/>
      <c r="G966" s="74"/>
      <c r="H966" s="74"/>
      <c r="I966" s="74"/>
      <c r="J966" s="74"/>
      <c r="K966" s="74"/>
      <c r="L966" s="74"/>
      <c r="M966" s="467"/>
      <c r="N966" s="74"/>
    </row>
    <row r="967" spans="4:14" ht="14.4" customHeight="1" x14ac:dyDescent="0.3">
      <c r="D967" s="74"/>
      <c r="E967" s="74"/>
      <c r="F967" s="74"/>
      <c r="G967" s="74"/>
      <c r="H967" s="74"/>
      <c r="I967" s="74"/>
      <c r="J967" s="74"/>
      <c r="K967" s="74"/>
      <c r="L967" s="74"/>
      <c r="M967" s="467"/>
      <c r="N967" s="74"/>
    </row>
    <row r="968" spans="4:14" ht="14.4" customHeight="1" x14ac:dyDescent="0.3">
      <c r="D968" s="74"/>
      <c r="E968" s="74"/>
      <c r="F968" s="74"/>
      <c r="G968" s="74"/>
      <c r="H968" s="74"/>
      <c r="I968" s="74"/>
      <c r="J968" s="74"/>
      <c r="K968" s="74"/>
      <c r="L968" s="74"/>
      <c r="M968" s="467"/>
      <c r="N968" s="74"/>
    </row>
    <row r="969" spans="4:14" ht="14.4" customHeight="1" x14ac:dyDescent="0.3">
      <c r="D969" s="74"/>
      <c r="E969" s="74"/>
      <c r="F969" s="74"/>
      <c r="G969" s="74"/>
      <c r="H969" s="74"/>
      <c r="I969" s="74"/>
      <c r="J969" s="74"/>
      <c r="K969" s="74"/>
      <c r="L969" s="74"/>
      <c r="M969" s="467"/>
      <c r="N969" s="74"/>
    </row>
    <row r="970" spans="4:14" ht="14.4" customHeight="1" x14ac:dyDescent="0.3">
      <c r="D970" s="74"/>
      <c r="E970" s="74"/>
      <c r="F970" s="74"/>
      <c r="G970" s="74"/>
      <c r="H970" s="74"/>
      <c r="I970" s="74"/>
      <c r="J970" s="74"/>
      <c r="K970" s="74"/>
      <c r="L970" s="74"/>
      <c r="M970" s="467"/>
      <c r="N970" s="74"/>
    </row>
    <row r="971" spans="4:14" ht="14.4" customHeight="1" x14ac:dyDescent="0.3">
      <c r="D971" s="74"/>
      <c r="E971" s="74"/>
      <c r="F971" s="74"/>
      <c r="G971" s="74"/>
      <c r="H971" s="74"/>
      <c r="I971" s="74"/>
      <c r="J971" s="74"/>
      <c r="K971" s="74"/>
      <c r="L971" s="74"/>
      <c r="M971" s="467"/>
      <c r="N971" s="74"/>
    </row>
    <row r="972" spans="4:14" ht="14.4" customHeight="1" x14ac:dyDescent="0.3">
      <c r="D972" s="74"/>
      <c r="E972" s="74"/>
      <c r="F972" s="74"/>
      <c r="G972" s="74"/>
      <c r="H972" s="74"/>
      <c r="I972" s="74"/>
      <c r="J972" s="74"/>
      <c r="K972" s="74"/>
      <c r="L972" s="74"/>
      <c r="M972" s="467"/>
      <c r="N972" s="74"/>
    </row>
    <row r="973" spans="4:14" ht="14.4" customHeight="1" x14ac:dyDescent="0.3">
      <c r="D973" s="74"/>
      <c r="E973" s="74"/>
      <c r="F973" s="74"/>
      <c r="G973" s="74"/>
      <c r="H973" s="74"/>
      <c r="I973" s="74"/>
      <c r="J973" s="74"/>
      <c r="K973" s="74"/>
      <c r="L973" s="74"/>
      <c r="M973" s="467"/>
      <c r="N973" s="74"/>
    </row>
    <row r="974" spans="4:14" ht="14.4" customHeight="1" x14ac:dyDescent="0.3">
      <c r="D974" s="74"/>
      <c r="E974" s="74"/>
      <c r="F974" s="74"/>
      <c r="G974" s="74"/>
      <c r="H974" s="74"/>
      <c r="I974" s="74"/>
      <c r="J974" s="74"/>
      <c r="K974" s="74"/>
      <c r="L974" s="74"/>
      <c r="M974" s="467"/>
      <c r="N974" s="74"/>
    </row>
    <row r="975" spans="4:14" ht="14.4" customHeight="1" x14ac:dyDescent="0.3">
      <c r="D975" s="74"/>
      <c r="E975" s="74"/>
      <c r="F975" s="74"/>
      <c r="G975" s="74"/>
      <c r="H975" s="74"/>
      <c r="I975" s="74"/>
      <c r="J975" s="74"/>
      <c r="K975" s="74"/>
      <c r="L975" s="74"/>
      <c r="M975" s="467"/>
      <c r="N975" s="74"/>
    </row>
    <row r="976" spans="4:14" ht="14.4" customHeight="1" x14ac:dyDescent="0.3">
      <c r="D976" s="74"/>
      <c r="E976" s="74"/>
      <c r="F976" s="74"/>
      <c r="G976" s="74"/>
      <c r="H976" s="74"/>
      <c r="I976" s="74"/>
      <c r="J976" s="74"/>
      <c r="K976" s="74"/>
      <c r="L976" s="74"/>
      <c r="M976" s="467"/>
      <c r="N976" s="74"/>
    </row>
    <row r="977" spans="4:14" ht="14.4" customHeight="1" x14ac:dyDescent="0.3">
      <c r="D977" s="74"/>
      <c r="E977" s="74"/>
      <c r="F977" s="74"/>
      <c r="G977" s="74"/>
      <c r="H977" s="74"/>
      <c r="I977" s="74"/>
      <c r="J977" s="74"/>
      <c r="K977" s="74"/>
      <c r="L977" s="74"/>
      <c r="M977" s="467"/>
      <c r="N977" s="74"/>
    </row>
    <row r="978" spans="4:14" ht="14.4" customHeight="1" x14ac:dyDescent="0.3">
      <c r="D978" s="74"/>
      <c r="E978" s="74"/>
      <c r="F978" s="74"/>
      <c r="G978" s="74"/>
      <c r="H978" s="74"/>
      <c r="I978" s="74"/>
      <c r="J978" s="74"/>
      <c r="K978" s="74"/>
      <c r="L978" s="74"/>
      <c r="M978" s="467"/>
      <c r="N978" s="74"/>
    </row>
    <row r="979" spans="4:14" ht="14.4" customHeight="1" x14ac:dyDescent="0.3">
      <c r="D979" s="74"/>
      <c r="E979" s="74"/>
      <c r="F979" s="74"/>
      <c r="G979" s="74"/>
      <c r="H979" s="74"/>
      <c r="I979" s="74"/>
      <c r="J979" s="74"/>
      <c r="K979" s="74"/>
      <c r="L979" s="74"/>
      <c r="M979" s="467"/>
      <c r="N979" s="74"/>
    </row>
    <row r="980" spans="4:14" ht="14.4" customHeight="1" x14ac:dyDescent="0.3">
      <c r="D980" s="74"/>
      <c r="E980" s="74"/>
      <c r="F980" s="74"/>
      <c r="G980" s="74"/>
      <c r="H980" s="74"/>
      <c r="I980" s="74"/>
      <c r="J980" s="74"/>
      <c r="K980" s="74"/>
      <c r="L980" s="74"/>
      <c r="M980" s="467"/>
      <c r="N980" s="74"/>
    </row>
    <row r="981" spans="4:14" ht="14.4" customHeight="1" x14ac:dyDescent="0.3">
      <c r="D981" s="74"/>
      <c r="E981" s="74"/>
      <c r="F981" s="74"/>
      <c r="G981" s="74"/>
      <c r="H981" s="74"/>
      <c r="I981" s="74"/>
      <c r="J981" s="74"/>
      <c r="K981" s="74"/>
      <c r="L981" s="74"/>
      <c r="M981" s="467"/>
      <c r="N981" s="74"/>
    </row>
    <row r="982" spans="4:14" ht="14.4" customHeight="1" x14ac:dyDescent="0.3">
      <c r="D982" s="74"/>
      <c r="E982" s="74"/>
      <c r="F982" s="74"/>
      <c r="G982" s="74"/>
      <c r="H982" s="74"/>
      <c r="I982" s="74"/>
      <c r="J982" s="74"/>
      <c r="K982" s="74"/>
      <c r="L982" s="74"/>
      <c r="M982" s="467"/>
      <c r="N982" s="74"/>
    </row>
    <row r="983" spans="4:14" ht="14.4" customHeight="1" x14ac:dyDescent="0.3">
      <c r="D983" s="74"/>
      <c r="E983" s="74"/>
      <c r="F983" s="74"/>
      <c r="G983" s="74"/>
      <c r="H983" s="74"/>
      <c r="I983" s="74"/>
      <c r="J983" s="74"/>
      <c r="K983" s="74"/>
      <c r="L983" s="74"/>
      <c r="M983" s="467"/>
      <c r="N983" s="74"/>
    </row>
    <row r="984" spans="4:14" ht="14.4" customHeight="1" x14ac:dyDescent="0.3">
      <c r="D984" s="74"/>
      <c r="E984" s="74"/>
      <c r="F984" s="74"/>
      <c r="G984" s="74"/>
      <c r="H984" s="74"/>
      <c r="I984" s="74"/>
      <c r="J984" s="74"/>
      <c r="K984" s="74"/>
      <c r="L984" s="74"/>
      <c r="M984" s="467"/>
      <c r="N984" s="74"/>
    </row>
    <row r="985" spans="4:14" ht="14.4" customHeight="1" x14ac:dyDescent="0.3">
      <c r="D985" s="74"/>
      <c r="E985" s="74"/>
      <c r="F985" s="74"/>
      <c r="G985" s="74"/>
      <c r="H985" s="74"/>
      <c r="I985" s="74"/>
      <c r="J985" s="74"/>
      <c r="K985" s="74"/>
      <c r="L985" s="74"/>
      <c r="M985" s="467"/>
      <c r="N985" s="74"/>
    </row>
    <row r="986" spans="4:14" ht="14.4" customHeight="1" x14ac:dyDescent="0.3">
      <c r="D986" s="74"/>
      <c r="E986" s="74"/>
      <c r="F986" s="74"/>
      <c r="G986" s="74"/>
      <c r="H986" s="74"/>
      <c r="I986" s="74"/>
      <c r="J986" s="74"/>
      <c r="K986" s="74"/>
      <c r="L986" s="74"/>
      <c r="M986" s="467"/>
      <c r="N986" s="74"/>
    </row>
    <row r="987" spans="4:14" ht="14.4" customHeight="1" x14ac:dyDescent="0.3">
      <c r="D987" s="74"/>
      <c r="E987" s="74"/>
      <c r="F987" s="74"/>
      <c r="G987" s="74"/>
      <c r="H987" s="74"/>
      <c r="I987" s="74"/>
      <c r="J987" s="74"/>
      <c r="K987" s="74"/>
      <c r="L987" s="74"/>
      <c r="M987" s="467"/>
      <c r="N987" s="74"/>
    </row>
    <row r="988" spans="4:14" ht="14.4" customHeight="1" x14ac:dyDescent="0.3">
      <c r="D988" s="74"/>
      <c r="E988" s="74"/>
      <c r="F988" s="74"/>
      <c r="G988" s="74"/>
      <c r="H988" s="74"/>
      <c r="I988" s="74"/>
      <c r="J988" s="74"/>
      <c r="K988" s="74"/>
      <c r="L988" s="74"/>
      <c r="M988" s="467"/>
      <c r="N988" s="74"/>
    </row>
    <row r="989" spans="4:14" ht="14.4" customHeight="1" x14ac:dyDescent="0.3">
      <c r="D989" s="74"/>
      <c r="E989" s="74"/>
      <c r="F989" s="74"/>
      <c r="G989" s="74"/>
      <c r="H989" s="74"/>
      <c r="I989" s="74"/>
      <c r="J989" s="74"/>
      <c r="K989" s="74"/>
      <c r="L989" s="74"/>
      <c r="M989" s="467"/>
      <c r="N989" s="74"/>
    </row>
    <row r="990" spans="4:14" ht="14.4" customHeight="1" x14ac:dyDescent="0.3">
      <c r="D990" s="74"/>
      <c r="E990" s="74"/>
      <c r="F990" s="74"/>
      <c r="G990" s="74"/>
      <c r="H990" s="74"/>
      <c r="I990" s="74"/>
      <c r="J990" s="74"/>
      <c r="K990" s="74"/>
      <c r="L990" s="74"/>
      <c r="M990" s="467"/>
      <c r="N990" s="74"/>
    </row>
    <row r="991" spans="4:14" ht="14.4" customHeight="1" x14ac:dyDescent="0.3">
      <c r="D991" s="74"/>
      <c r="E991" s="74"/>
      <c r="F991" s="74"/>
      <c r="G991" s="74"/>
      <c r="H991" s="74"/>
      <c r="I991" s="74"/>
      <c r="J991" s="74"/>
      <c r="K991" s="74"/>
      <c r="L991" s="74"/>
      <c r="M991" s="467"/>
      <c r="N991" s="74"/>
    </row>
    <row r="992" spans="4:14" ht="14.4" customHeight="1" x14ac:dyDescent="0.3">
      <c r="D992" s="74"/>
      <c r="E992" s="74"/>
      <c r="F992" s="74"/>
      <c r="G992" s="74"/>
      <c r="H992" s="74"/>
      <c r="I992" s="74"/>
      <c r="J992" s="74"/>
      <c r="K992" s="74"/>
      <c r="L992" s="74"/>
      <c r="M992" s="467"/>
      <c r="N992" s="74"/>
    </row>
    <row r="993" spans="4:14" ht="14.4" customHeight="1" x14ac:dyDescent="0.3">
      <c r="D993" s="74"/>
      <c r="E993" s="74"/>
      <c r="F993" s="74"/>
      <c r="G993" s="74"/>
      <c r="H993" s="74"/>
      <c r="I993" s="74"/>
      <c r="J993" s="74"/>
      <c r="K993" s="74"/>
      <c r="L993" s="74"/>
      <c r="M993" s="467"/>
      <c r="N993" s="74"/>
    </row>
    <row r="994" spans="4:14" ht="14.4" customHeight="1" x14ac:dyDescent="0.3">
      <c r="D994" s="74"/>
      <c r="E994" s="74"/>
      <c r="F994" s="74"/>
      <c r="G994" s="74"/>
      <c r="H994" s="74"/>
      <c r="I994" s="74"/>
      <c r="J994" s="74"/>
      <c r="K994" s="74"/>
      <c r="L994" s="74"/>
      <c r="M994" s="467"/>
      <c r="N994" s="74"/>
    </row>
    <row r="995" spans="4:14" ht="14.4" customHeight="1" x14ac:dyDescent="0.3">
      <c r="D995" s="74"/>
      <c r="E995" s="74"/>
      <c r="F995" s="74"/>
      <c r="G995" s="74"/>
      <c r="H995" s="74"/>
      <c r="I995" s="74"/>
      <c r="J995" s="74"/>
      <c r="K995" s="74"/>
      <c r="L995" s="74"/>
      <c r="M995" s="467"/>
      <c r="N995" s="74"/>
    </row>
    <row r="996" spans="4:14" ht="14.4" customHeight="1" x14ac:dyDescent="0.3">
      <c r="D996" s="74"/>
      <c r="E996" s="74"/>
      <c r="F996" s="74"/>
      <c r="G996" s="74"/>
      <c r="H996" s="74"/>
      <c r="I996" s="74"/>
      <c r="J996" s="74"/>
      <c r="K996" s="74"/>
      <c r="L996" s="74"/>
      <c r="M996" s="467"/>
      <c r="N996" s="74"/>
    </row>
    <row r="997" spans="4:14" ht="14.4" customHeight="1" x14ac:dyDescent="0.3">
      <c r="D997" s="74"/>
      <c r="E997" s="74"/>
      <c r="F997" s="74"/>
      <c r="G997" s="74"/>
      <c r="H997" s="74"/>
      <c r="I997" s="74"/>
      <c r="J997" s="74"/>
      <c r="K997" s="74"/>
      <c r="L997" s="74"/>
      <c r="M997" s="467"/>
      <c r="N997" s="74"/>
    </row>
    <row r="998" spans="4:14" ht="14.4" customHeight="1" x14ac:dyDescent="0.3">
      <c r="D998" s="74"/>
      <c r="E998" s="74"/>
      <c r="F998" s="74"/>
      <c r="G998" s="74"/>
      <c r="H998" s="74"/>
      <c r="I998" s="74"/>
      <c r="J998" s="74"/>
      <c r="K998" s="74"/>
      <c r="L998" s="74"/>
      <c r="M998" s="467"/>
      <c r="N998" s="74"/>
    </row>
    <row r="999" spans="4:14" ht="14.4" customHeight="1" x14ac:dyDescent="0.3">
      <c r="D999" s="74"/>
      <c r="E999" s="74"/>
      <c r="F999" s="74"/>
      <c r="G999" s="74"/>
      <c r="H999" s="74"/>
      <c r="I999" s="74"/>
      <c r="J999" s="74"/>
      <c r="K999" s="74"/>
      <c r="L999" s="74"/>
      <c r="M999" s="467"/>
      <c r="N999" s="74"/>
    </row>
    <row r="1000" spans="4:14" ht="14.4" customHeight="1" x14ac:dyDescent="0.3">
      <c r="D1000" s="74"/>
      <c r="E1000" s="74"/>
      <c r="F1000" s="74"/>
      <c r="G1000" s="74"/>
      <c r="H1000" s="74"/>
      <c r="I1000" s="74"/>
      <c r="J1000" s="74"/>
      <c r="K1000" s="74"/>
      <c r="L1000" s="74"/>
      <c r="M1000" s="467"/>
      <c r="N1000" s="74"/>
    </row>
    <row r="1001" spans="4:14" ht="14.4" customHeight="1" x14ac:dyDescent="0.3">
      <c r="D1001" s="74"/>
      <c r="E1001" s="74"/>
      <c r="F1001" s="74"/>
      <c r="G1001" s="74"/>
      <c r="H1001" s="74"/>
      <c r="I1001" s="74"/>
      <c r="J1001" s="74"/>
      <c r="K1001" s="74"/>
      <c r="L1001" s="74"/>
      <c r="M1001" s="467"/>
      <c r="N1001" s="74"/>
    </row>
    <row r="1002" spans="4:14" ht="14.4" customHeight="1" x14ac:dyDescent="0.3">
      <c r="D1002" s="74"/>
      <c r="E1002" s="74"/>
      <c r="F1002" s="74"/>
      <c r="G1002" s="74"/>
      <c r="H1002" s="74"/>
      <c r="I1002" s="74"/>
      <c r="J1002" s="74"/>
      <c r="K1002" s="74"/>
      <c r="L1002" s="74"/>
      <c r="M1002" s="467"/>
      <c r="N1002" s="74"/>
    </row>
    <row r="1003" spans="4:14" ht="14.4" customHeight="1" x14ac:dyDescent="0.3">
      <c r="D1003" s="74"/>
      <c r="E1003" s="74"/>
      <c r="F1003" s="74"/>
      <c r="G1003" s="74"/>
      <c r="H1003" s="74"/>
      <c r="I1003" s="74"/>
      <c r="J1003" s="74"/>
      <c r="K1003" s="74"/>
      <c r="L1003" s="74"/>
      <c r="M1003" s="467"/>
      <c r="N1003" s="74"/>
    </row>
    <row r="1004" spans="4:14" ht="14.4" customHeight="1" x14ac:dyDescent="0.3">
      <c r="D1004" s="74"/>
      <c r="E1004" s="74"/>
      <c r="F1004" s="74"/>
      <c r="G1004" s="74"/>
      <c r="H1004" s="74"/>
      <c r="I1004" s="74"/>
      <c r="J1004" s="74"/>
      <c r="K1004" s="74"/>
      <c r="L1004" s="74"/>
      <c r="M1004" s="467"/>
      <c r="N1004" s="74"/>
    </row>
    <row r="1005" spans="4:14" ht="14.4" customHeight="1" x14ac:dyDescent="0.3">
      <c r="D1005" s="74"/>
      <c r="E1005" s="74"/>
      <c r="F1005" s="74"/>
      <c r="G1005" s="74"/>
      <c r="H1005" s="74"/>
      <c r="I1005" s="74"/>
      <c r="J1005" s="74"/>
      <c r="K1005" s="74"/>
      <c r="L1005" s="74"/>
      <c r="M1005" s="467"/>
      <c r="N1005" s="74"/>
    </row>
    <row r="1006" spans="4:14" ht="14.4" customHeight="1" x14ac:dyDescent="0.3">
      <c r="D1006" s="74"/>
      <c r="E1006" s="74"/>
      <c r="F1006" s="74"/>
      <c r="G1006" s="74"/>
      <c r="H1006" s="74"/>
      <c r="I1006" s="74"/>
      <c r="J1006" s="74"/>
      <c r="K1006" s="74"/>
      <c r="L1006" s="74"/>
      <c r="M1006" s="467"/>
      <c r="N1006" s="74"/>
    </row>
    <row r="1007" spans="4:14" ht="14.4" customHeight="1" x14ac:dyDescent="0.3">
      <c r="D1007" s="74"/>
      <c r="E1007" s="74"/>
      <c r="F1007" s="74"/>
      <c r="G1007" s="74"/>
      <c r="H1007" s="74"/>
      <c r="I1007" s="74"/>
      <c r="J1007" s="74"/>
      <c r="K1007" s="74"/>
      <c r="L1007" s="74"/>
      <c r="M1007" s="467"/>
      <c r="N1007" s="74"/>
    </row>
    <row r="1008" spans="4:14" ht="14.4" customHeight="1" x14ac:dyDescent="0.3">
      <c r="D1008" s="74"/>
      <c r="E1008" s="74"/>
      <c r="F1008" s="74"/>
      <c r="G1008" s="74"/>
      <c r="H1008" s="74"/>
      <c r="I1008" s="74"/>
      <c r="J1008" s="74"/>
      <c r="K1008" s="74"/>
      <c r="L1008" s="74"/>
      <c r="M1008" s="467"/>
      <c r="N1008" s="74"/>
    </row>
    <row r="1009" spans="4:14" ht="14.4" customHeight="1" x14ac:dyDescent="0.3">
      <c r="D1009" s="74"/>
      <c r="E1009" s="74"/>
      <c r="F1009" s="74"/>
      <c r="G1009" s="74"/>
      <c r="H1009" s="74"/>
      <c r="I1009" s="74"/>
      <c r="J1009" s="74"/>
      <c r="K1009" s="74"/>
      <c r="L1009" s="74"/>
      <c r="M1009" s="467"/>
      <c r="N1009" s="74"/>
    </row>
    <row r="1010" spans="4:14" ht="14.4" customHeight="1" x14ac:dyDescent="0.3">
      <c r="D1010" s="74"/>
      <c r="E1010" s="74"/>
      <c r="F1010" s="74"/>
      <c r="G1010" s="74"/>
      <c r="H1010" s="74"/>
      <c r="I1010" s="74"/>
      <c r="J1010" s="74"/>
      <c r="K1010" s="74"/>
      <c r="L1010" s="74"/>
      <c r="M1010" s="467"/>
      <c r="N1010" s="74"/>
    </row>
    <row r="1011" spans="4:14" ht="14.4" customHeight="1" x14ac:dyDescent="0.3">
      <c r="D1011" s="74"/>
      <c r="E1011" s="74"/>
      <c r="F1011" s="74"/>
      <c r="G1011" s="74"/>
      <c r="H1011" s="74"/>
      <c r="I1011" s="74"/>
      <c r="J1011" s="74"/>
      <c r="K1011" s="74"/>
      <c r="L1011" s="74"/>
      <c r="M1011" s="467"/>
      <c r="N1011" s="74"/>
    </row>
  </sheetData>
  <autoFilter ref="A1:M1011"/>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65" fitToHeight="0" orientation="portrait" blackAndWhite="1" r:id="rId1"/>
  <headerFooter differentFirst="1">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3"/>
  <sheetViews>
    <sheetView zoomScale="80" zoomScaleNormal="80" workbookViewId="0">
      <selection activeCell="H10" sqref="H10"/>
    </sheetView>
  </sheetViews>
  <sheetFormatPr defaultColWidth="9.109375" defaultRowHeight="18" x14ac:dyDescent="0.35"/>
  <cols>
    <col min="1" max="1" width="33.33203125" style="209" customWidth="1"/>
    <col min="2" max="2" width="56.109375" style="209" customWidth="1"/>
    <col min="3" max="3" width="18.6640625" style="209" customWidth="1"/>
    <col min="4" max="4" width="15.88671875" style="209" customWidth="1"/>
    <col min="5" max="5" width="15.33203125" style="209" customWidth="1"/>
    <col min="6" max="6" width="19.88671875" style="209" customWidth="1"/>
    <col min="7" max="7" width="10.88671875" style="209" bestFit="1" customWidth="1"/>
    <col min="8" max="16384" width="9.109375" style="209"/>
  </cols>
  <sheetData>
    <row r="1" spans="1:6" x14ac:dyDescent="0.35">
      <c r="E1" s="142" t="s">
        <v>517</v>
      </c>
    </row>
    <row r="2" spans="1:6" x14ac:dyDescent="0.35">
      <c r="E2" s="142" t="s">
        <v>799</v>
      </c>
    </row>
    <row r="3" spans="1:6" x14ac:dyDescent="0.35">
      <c r="E3" s="142"/>
    </row>
    <row r="4" spans="1:6" s="34" customFormat="1" x14ac:dyDescent="0.35">
      <c r="E4" s="39" t="s">
        <v>521</v>
      </c>
    </row>
    <row r="5" spans="1:6" s="34" customFormat="1" x14ac:dyDescent="0.35">
      <c r="E5" s="39" t="s">
        <v>669</v>
      </c>
    </row>
    <row r="6" spans="1:6" ht="17.399999999999999" customHeight="1" x14ac:dyDescent="0.35"/>
    <row r="7" spans="1:6" s="34" customFormat="1" ht="18" customHeight="1" x14ac:dyDescent="0.35">
      <c r="C7" s="39"/>
    </row>
    <row r="8" spans="1:6" s="34" customFormat="1" ht="36" customHeight="1" x14ac:dyDescent="0.35">
      <c r="A8" s="709" t="s">
        <v>598</v>
      </c>
      <c r="B8" s="710"/>
      <c r="C8" s="710"/>
      <c r="D8" s="710"/>
      <c r="E8" s="710"/>
    </row>
    <row r="9" spans="1:6" x14ac:dyDescent="0.35">
      <c r="A9" s="710"/>
      <c r="B9" s="710"/>
      <c r="C9" s="710"/>
      <c r="D9" s="710"/>
      <c r="E9" s="710"/>
      <c r="F9" s="440"/>
    </row>
    <row r="10" spans="1:6" ht="37.5" customHeight="1" x14ac:dyDescent="0.35">
      <c r="E10" s="227" t="s">
        <v>239</v>
      </c>
    </row>
    <row r="11" spans="1:6" ht="33" customHeight="1" x14ac:dyDescent="0.35">
      <c r="A11" s="678" t="s">
        <v>13</v>
      </c>
      <c r="B11" s="678" t="s">
        <v>485</v>
      </c>
      <c r="C11" s="711" t="s">
        <v>15</v>
      </c>
      <c r="D11" s="712"/>
      <c r="E11" s="713"/>
      <c r="F11" s="441"/>
    </row>
    <row r="12" spans="1:6" ht="43.2" customHeight="1" x14ac:dyDescent="0.35">
      <c r="A12" s="679"/>
      <c r="B12" s="679"/>
      <c r="C12" s="171" t="s">
        <v>460</v>
      </c>
      <c r="D12" s="171" t="s">
        <v>508</v>
      </c>
      <c r="E12" s="171" t="s">
        <v>594</v>
      </c>
      <c r="F12" s="441"/>
    </row>
    <row r="13" spans="1:6" ht="18" customHeight="1" x14ac:dyDescent="0.35">
      <c r="A13" s="216">
        <v>1</v>
      </c>
      <c r="B13" s="228">
        <v>2</v>
      </c>
      <c r="C13" s="299">
        <v>3</v>
      </c>
      <c r="D13" s="216">
        <v>4</v>
      </c>
      <c r="E13" s="229">
        <v>5</v>
      </c>
      <c r="F13" s="441"/>
    </row>
    <row r="14" spans="1:6" ht="37.200000000000003" customHeight="1" x14ac:dyDescent="0.35">
      <c r="A14" s="230" t="s">
        <v>240</v>
      </c>
      <c r="B14" s="298" t="s">
        <v>241</v>
      </c>
      <c r="C14" s="231">
        <v>149940.09634000016</v>
      </c>
      <c r="D14" s="231">
        <v>0</v>
      </c>
      <c r="E14" s="231">
        <v>0</v>
      </c>
      <c r="F14" s="442"/>
    </row>
    <row r="15" spans="1:6" ht="37.200000000000003" customHeight="1" x14ac:dyDescent="0.35">
      <c r="A15" s="232" t="s">
        <v>771</v>
      </c>
      <c r="B15" s="583" t="s">
        <v>772</v>
      </c>
      <c r="C15" s="300">
        <v>36000</v>
      </c>
      <c r="D15" s="300">
        <v>-36000</v>
      </c>
      <c r="E15" s="300">
        <v>0</v>
      </c>
      <c r="F15" s="442"/>
    </row>
    <row r="16" spans="1:6" ht="58.8" customHeight="1" x14ac:dyDescent="0.35">
      <c r="A16" s="233" t="s">
        <v>773</v>
      </c>
      <c r="B16" s="584" t="s">
        <v>784</v>
      </c>
      <c r="C16" s="643">
        <v>36000</v>
      </c>
      <c r="D16" s="643">
        <v>-36000</v>
      </c>
      <c r="E16" s="643">
        <v>0</v>
      </c>
      <c r="F16" s="442"/>
    </row>
    <row r="17" spans="1:7" ht="60" customHeight="1" x14ac:dyDescent="0.35">
      <c r="A17" s="233" t="s">
        <v>774</v>
      </c>
      <c r="B17" s="584" t="s">
        <v>785</v>
      </c>
      <c r="C17" s="643">
        <v>36000</v>
      </c>
      <c r="D17" s="643">
        <v>0</v>
      </c>
      <c r="E17" s="643">
        <v>0</v>
      </c>
      <c r="F17" s="442"/>
    </row>
    <row r="18" spans="1:7" ht="72.599999999999994" customHeight="1" x14ac:dyDescent="0.35">
      <c r="A18" s="233" t="s">
        <v>775</v>
      </c>
      <c r="B18" s="584" t="s">
        <v>786</v>
      </c>
      <c r="C18" s="643">
        <v>36000</v>
      </c>
      <c r="D18" s="643">
        <v>0</v>
      </c>
      <c r="E18" s="643">
        <v>0</v>
      </c>
      <c r="F18" s="442"/>
    </row>
    <row r="19" spans="1:7" ht="74.400000000000006" customHeight="1" x14ac:dyDescent="0.35">
      <c r="A19" s="233" t="s">
        <v>776</v>
      </c>
      <c r="B19" s="584" t="s">
        <v>787</v>
      </c>
      <c r="C19" s="643">
        <v>0</v>
      </c>
      <c r="D19" s="643">
        <v>36000</v>
      </c>
      <c r="E19" s="643">
        <v>0</v>
      </c>
      <c r="F19" s="442"/>
    </row>
    <row r="20" spans="1:7" ht="74.400000000000006" customHeight="1" x14ac:dyDescent="0.35">
      <c r="A20" s="233" t="s">
        <v>777</v>
      </c>
      <c r="B20" s="584" t="s">
        <v>788</v>
      </c>
      <c r="C20" s="643">
        <v>0</v>
      </c>
      <c r="D20" s="643">
        <v>36000</v>
      </c>
      <c r="E20" s="300">
        <v>0</v>
      </c>
      <c r="F20" s="442"/>
    </row>
    <row r="21" spans="1:7" s="445" customFormat="1" ht="34.950000000000003" customHeight="1" x14ac:dyDescent="0.3">
      <c r="A21" s="232" t="s">
        <v>242</v>
      </c>
      <c r="B21" s="468" t="s">
        <v>243</v>
      </c>
      <c r="C21" s="300">
        <v>131940.09634000016</v>
      </c>
      <c r="D21" s="300">
        <v>0</v>
      </c>
      <c r="E21" s="300">
        <v>0</v>
      </c>
      <c r="F21" s="443"/>
      <c r="G21" s="444"/>
    </row>
    <row r="22" spans="1:7" x14ac:dyDescent="0.35">
      <c r="A22" s="233" t="s">
        <v>244</v>
      </c>
      <c r="B22" s="469" t="s">
        <v>245</v>
      </c>
      <c r="C22" s="295">
        <v>2608580.0830999995</v>
      </c>
      <c r="D22" s="295">
        <v>1994815.3</v>
      </c>
      <c r="E22" s="295">
        <v>1887225.5999999999</v>
      </c>
    </row>
    <row r="23" spans="1:7" x14ac:dyDescent="0.35">
      <c r="A23" s="233" t="s">
        <v>246</v>
      </c>
      <c r="B23" s="469" t="s">
        <v>247</v>
      </c>
      <c r="C23" s="295">
        <v>2608580.0830999995</v>
      </c>
      <c r="D23" s="295">
        <v>1994815.3</v>
      </c>
      <c r="E23" s="295">
        <v>1887225.5999999999</v>
      </c>
    </row>
    <row r="24" spans="1:7" ht="20.25" customHeight="1" x14ac:dyDescent="0.35">
      <c r="A24" s="233" t="s">
        <v>330</v>
      </c>
      <c r="B24" s="470" t="s">
        <v>248</v>
      </c>
      <c r="C24" s="296">
        <v>2608580.0830999995</v>
      </c>
      <c r="D24" s="296">
        <v>1994815.3</v>
      </c>
      <c r="E24" s="296">
        <v>1887225.5999999999</v>
      </c>
    </row>
    <row r="25" spans="1:7" ht="37.5" customHeight="1" x14ac:dyDescent="0.35">
      <c r="A25" s="233" t="s">
        <v>249</v>
      </c>
      <c r="B25" s="470" t="s">
        <v>3</v>
      </c>
      <c r="C25" s="296">
        <v>2608580.0830999995</v>
      </c>
      <c r="D25" s="294">
        <v>1994815.3</v>
      </c>
      <c r="E25" s="294">
        <v>1887225.5999999999</v>
      </c>
    </row>
    <row r="26" spans="1:7" x14ac:dyDescent="0.35">
      <c r="A26" s="233" t="s">
        <v>250</v>
      </c>
      <c r="B26" s="470" t="s">
        <v>251</v>
      </c>
      <c r="C26" s="296">
        <v>2740520.1794399996</v>
      </c>
      <c r="D26" s="296">
        <v>1994815.3000000003</v>
      </c>
      <c r="E26" s="296">
        <v>1887225.6</v>
      </c>
    </row>
    <row r="27" spans="1:7" x14ac:dyDescent="0.35">
      <c r="A27" s="233" t="s">
        <v>252</v>
      </c>
      <c r="B27" s="470" t="s">
        <v>253</v>
      </c>
      <c r="C27" s="296">
        <v>2740520.1794399996</v>
      </c>
      <c r="D27" s="296">
        <v>1994815.3000000003</v>
      </c>
      <c r="E27" s="296">
        <v>1887225.6</v>
      </c>
    </row>
    <row r="28" spans="1:7" ht="22.2" customHeight="1" x14ac:dyDescent="0.35">
      <c r="A28" s="233" t="s">
        <v>254</v>
      </c>
      <c r="B28" s="470" t="s">
        <v>255</v>
      </c>
      <c r="C28" s="296">
        <v>2740520.1794399996</v>
      </c>
      <c r="D28" s="296">
        <v>1994815.3000000003</v>
      </c>
      <c r="E28" s="296">
        <v>1887225.6</v>
      </c>
    </row>
    <row r="29" spans="1:7" ht="36" x14ac:dyDescent="0.35">
      <c r="A29" s="234" t="s">
        <v>256</v>
      </c>
      <c r="B29" s="471" t="s">
        <v>4</v>
      </c>
      <c r="C29" s="297">
        <v>2740520.1794399996</v>
      </c>
      <c r="D29" s="297">
        <v>1994815.3000000003</v>
      </c>
      <c r="E29" s="297">
        <v>1887225.6</v>
      </c>
    </row>
    <row r="30" spans="1:7" ht="34.799999999999997" x14ac:dyDescent="0.35">
      <c r="A30" s="582" t="s">
        <v>646</v>
      </c>
      <c r="B30" s="583" t="s">
        <v>647</v>
      </c>
      <c r="C30" s="300">
        <v>-18000</v>
      </c>
      <c r="D30" s="300">
        <v>36000</v>
      </c>
      <c r="E30" s="300">
        <v>0</v>
      </c>
    </row>
    <row r="31" spans="1:7" ht="36" x14ac:dyDescent="0.35">
      <c r="A31" s="233" t="s">
        <v>648</v>
      </c>
      <c r="B31" s="584" t="s">
        <v>649</v>
      </c>
      <c r="C31" s="296">
        <v>-18000</v>
      </c>
      <c r="D31" s="296">
        <v>36000</v>
      </c>
      <c r="E31" s="296">
        <v>0</v>
      </c>
    </row>
    <row r="32" spans="1:7" ht="36" x14ac:dyDescent="0.35">
      <c r="A32" s="233" t="s">
        <v>650</v>
      </c>
      <c r="B32" s="584" t="s">
        <v>651</v>
      </c>
      <c r="C32" s="296">
        <v>18000</v>
      </c>
      <c r="D32" s="296">
        <v>36000</v>
      </c>
      <c r="E32" s="296">
        <v>0</v>
      </c>
    </row>
    <row r="33" spans="1:8" ht="72" x14ac:dyDescent="0.35">
      <c r="A33" s="233" t="s">
        <v>652</v>
      </c>
      <c r="B33" s="584" t="s">
        <v>653</v>
      </c>
      <c r="C33" s="296">
        <v>18000</v>
      </c>
      <c r="D33" s="296">
        <v>36000</v>
      </c>
      <c r="E33" s="296">
        <v>0</v>
      </c>
    </row>
    <row r="34" spans="1:8" ht="90" x14ac:dyDescent="0.35">
      <c r="A34" s="233" t="s">
        <v>654</v>
      </c>
      <c r="B34" s="584" t="s">
        <v>655</v>
      </c>
      <c r="C34" s="296">
        <v>18000</v>
      </c>
      <c r="D34" s="296">
        <v>36000</v>
      </c>
      <c r="E34" s="644">
        <v>0</v>
      </c>
    </row>
    <row r="35" spans="1:8" ht="36" x14ac:dyDescent="0.35">
      <c r="A35" s="233" t="s">
        <v>778</v>
      </c>
      <c r="B35" s="646" t="s">
        <v>781</v>
      </c>
      <c r="C35" s="296">
        <v>36000</v>
      </c>
      <c r="D35" s="296">
        <v>0</v>
      </c>
      <c r="E35" s="296">
        <v>0</v>
      </c>
      <c r="F35" s="645"/>
    </row>
    <row r="36" spans="1:8" ht="54" x14ac:dyDescent="0.35">
      <c r="A36" s="233" t="s">
        <v>779</v>
      </c>
      <c r="B36" s="646" t="s">
        <v>782</v>
      </c>
      <c r="C36" s="296">
        <v>36000</v>
      </c>
      <c r="D36" s="296">
        <v>0</v>
      </c>
      <c r="E36" s="296">
        <v>0</v>
      </c>
      <c r="F36" s="645"/>
    </row>
    <row r="37" spans="1:8" ht="72" x14ac:dyDescent="0.35">
      <c r="A37" s="234" t="s">
        <v>780</v>
      </c>
      <c r="B37" s="647" t="s">
        <v>783</v>
      </c>
      <c r="C37" s="648">
        <v>36000</v>
      </c>
      <c r="D37" s="648">
        <v>0</v>
      </c>
      <c r="E37" s="648">
        <v>0</v>
      </c>
      <c r="F37" s="645"/>
    </row>
    <row r="38" spans="1:8" ht="19.95" customHeight="1" x14ac:dyDescent="0.35">
      <c r="A38" s="235"/>
      <c r="B38" s="568"/>
      <c r="C38" s="569"/>
      <c r="D38" s="569"/>
      <c r="E38" s="569"/>
    </row>
    <row r="39" spans="1:8" x14ac:dyDescent="0.35">
      <c r="A39" s="235"/>
      <c r="B39" s="568"/>
      <c r="C39" s="569"/>
      <c r="D39" s="569"/>
      <c r="E39" s="569"/>
    </row>
    <row r="40" spans="1:8" x14ac:dyDescent="0.35">
      <c r="A40" s="235"/>
      <c r="B40" s="236"/>
      <c r="C40" s="237"/>
    </row>
    <row r="41" spans="1:8" s="254" customFormat="1" x14ac:dyDescent="0.35">
      <c r="A41" s="641" t="s">
        <v>379</v>
      </c>
      <c r="B41" s="285"/>
      <c r="C41" s="91"/>
      <c r="D41" s="91"/>
      <c r="E41" s="91"/>
      <c r="F41" s="282"/>
      <c r="G41" s="105"/>
      <c r="H41" s="446"/>
    </row>
    <row r="42" spans="1:8" s="254" customFormat="1" x14ac:dyDescent="0.35">
      <c r="A42" s="641" t="s">
        <v>380</v>
      </c>
      <c r="B42" s="285"/>
      <c r="C42" s="91"/>
      <c r="D42" s="91"/>
      <c r="E42" s="91"/>
      <c r="F42" s="282"/>
      <c r="G42" s="105"/>
      <c r="H42" s="446"/>
    </row>
    <row r="43" spans="1:8" s="254" customFormat="1" x14ac:dyDescent="0.35">
      <c r="A43" s="642" t="s">
        <v>381</v>
      </c>
      <c r="B43" s="285"/>
      <c r="C43" s="108"/>
      <c r="D43" s="91"/>
      <c r="E43" s="108" t="s">
        <v>391</v>
      </c>
      <c r="F43" s="282"/>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21"/>
  <sheetViews>
    <sheetView zoomScaleNormal="100" workbookViewId="0">
      <selection activeCell="G8" sqref="G8"/>
    </sheetView>
  </sheetViews>
  <sheetFormatPr defaultColWidth="8.88671875" defaultRowHeight="18" x14ac:dyDescent="0.35"/>
  <cols>
    <col min="1" max="1" width="65" style="34" customWidth="1"/>
    <col min="2" max="2" width="14.6640625" style="34" customWidth="1"/>
    <col min="3" max="3" width="13.33203125" style="34" customWidth="1"/>
    <col min="4" max="4" width="11" style="34" customWidth="1"/>
    <col min="5" max="16384" width="8.88671875" style="34"/>
  </cols>
  <sheetData>
    <row r="1" spans="1:4" x14ac:dyDescent="0.35">
      <c r="D1" s="142" t="s">
        <v>518</v>
      </c>
    </row>
    <row r="2" spans="1:4" x14ac:dyDescent="0.35">
      <c r="D2" s="142" t="s">
        <v>799</v>
      </c>
    </row>
    <row r="4" spans="1:4" x14ac:dyDescent="0.35">
      <c r="D4" s="39" t="s">
        <v>605</v>
      </c>
    </row>
    <row r="5" spans="1:4" x14ac:dyDescent="0.35">
      <c r="D5" s="39" t="s">
        <v>669</v>
      </c>
    </row>
    <row r="8" spans="1:4" ht="57" customHeight="1" x14ac:dyDescent="0.35">
      <c r="A8" s="719" t="s">
        <v>599</v>
      </c>
      <c r="B8" s="719"/>
      <c r="C8" s="719"/>
      <c r="D8" s="719"/>
    </row>
    <row r="9" spans="1:4" ht="16.95" customHeight="1" x14ac:dyDescent="0.35">
      <c r="A9" s="461"/>
      <c r="B9" s="461"/>
      <c r="C9" s="250"/>
    </row>
    <row r="10" spans="1:4" x14ac:dyDescent="0.35">
      <c r="D10" s="39" t="s">
        <v>22</v>
      </c>
    </row>
    <row r="11" spans="1:4" ht="19.95" customHeight="1" x14ac:dyDescent="0.35">
      <c r="A11" s="717" t="s">
        <v>262</v>
      </c>
      <c r="B11" s="714" t="s">
        <v>15</v>
      </c>
      <c r="C11" s="715"/>
      <c r="D11" s="716"/>
    </row>
    <row r="12" spans="1:4" ht="31.95" customHeight="1" x14ac:dyDescent="0.35">
      <c r="A12" s="718"/>
      <c r="B12" s="341" t="s">
        <v>460</v>
      </c>
      <c r="C12" s="341" t="s">
        <v>508</v>
      </c>
      <c r="D12" s="341" t="s">
        <v>594</v>
      </c>
    </row>
    <row r="13" spans="1:4" x14ac:dyDescent="0.35">
      <c r="A13" s="50">
        <v>1</v>
      </c>
      <c r="B13" s="50">
        <v>2</v>
      </c>
      <c r="C13" s="50">
        <v>3</v>
      </c>
      <c r="D13" s="50">
        <v>4</v>
      </c>
    </row>
    <row r="14" spans="1:4" ht="22.95" customHeight="1" x14ac:dyDescent="0.35">
      <c r="A14" s="251" t="s">
        <v>318</v>
      </c>
      <c r="B14" s="252">
        <v>82828.899999999994</v>
      </c>
      <c r="C14" s="252">
        <v>7500</v>
      </c>
      <c r="D14" s="252">
        <v>7500</v>
      </c>
    </row>
    <row r="15" spans="1:4" ht="36" x14ac:dyDescent="0.35">
      <c r="A15" s="189" t="s">
        <v>263</v>
      </c>
      <c r="B15" s="239">
        <v>7500</v>
      </c>
      <c r="C15" s="239">
        <v>7500</v>
      </c>
      <c r="D15" s="239">
        <v>7500</v>
      </c>
    </row>
    <row r="16" spans="1:4" ht="36" x14ac:dyDescent="0.35">
      <c r="A16" s="253" t="s">
        <v>434</v>
      </c>
      <c r="B16" s="239">
        <v>75328.899999999994</v>
      </c>
      <c r="C16" s="239">
        <v>0</v>
      </c>
      <c r="D16" s="239">
        <v>0</v>
      </c>
    </row>
    <row r="19" spans="1:8" s="75" customFormat="1" x14ac:dyDescent="0.35">
      <c r="A19" s="641" t="s">
        <v>379</v>
      </c>
      <c r="B19" s="76"/>
      <c r="C19" s="77"/>
      <c r="D19" s="77"/>
      <c r="E19" s="77"/>
      <c r="F19" s="42"/>
      <c r="G19" s="105"/>
      <c r="H19" s="137"/>
    </row>
    <row r="20" spans="1:8" s="75" customFormat="1" x14ac:dyDescent="0.35">
      <c r="A20" s="641" t="s">
        <v>380</v>
      </c>
      <c r="B20" s="76"/>
      <c r="C20" s="77"/>
      <c r="D20" s="77"/>
      <c r="E20" s="77"/>
      <c r="F20" s="42"/>
      <c r="G20" s="105"/>
      <c r="H20" s="137"/>
    </row>
    <row r="21" spans="1:8" s="75" customFormat="1" x14ac:dyDescent="0.35">
      <c r="A21" s="642" t="s">
        <v>381</v>
      </c>
      <c r="D21" s="108" t="s">
        <v>391</v>
      </c>
      <c r="E21" s="77"/>
      <c r="F21" s="42"/>
    </row>
  </sheetData>
  <mergeCells count="3">
    <mergeCell ref="B11:D11"/>
    <mergeCell ref="A11:A12"/>
    <mergeCell ref="A8:D8"/>
  </mergeCells>
  <printOptions horizontalCentered="1"/>
  <pageMargins left="1.1811023622047245" right="0.39370078740157483" top="0.78740157480314965" bottom="0.78740157480314965" header="0.31496062992125984" footer="0.31496062992125984"/>
  <pageSetup paperSize="9" scale="81"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1"/>
  <sheetViews>
    <sheetView topLeftCell="A28" zoomScale="90" zoomScaleNormal="90" zoomScaleSheetLayoutView="75" workbookViewId="0">
      <selection activeCell="H5" sqref="H5"/>
    </sheetView>
  </sheetViews>
  <sheetFormatPr defaultColWidth="9.109375" defaultRowHeight="18" x14ac:dyDescent="0.35"/>
  <cols>
    <col min="1" max="1" width="4.88671875" style="209" customWidth="1"/>
    <col min="2" max="2" width="76" style="318" customWidth="1"/>
    <col min="3" max="3" width="12" style="318" customWidth="1"/>
    <col min="4" max="4" width="12.5546875" style="209" customWidth="1"/>
    <col min="5" max="16384" width="9.109375" style="209"/>
  </cols>
  <sheetData>
    <row r="1" spans="1:4" x14ac:dyDescent="0.35">
      <c r="B1" s="436"/>
      <c r="C1" s="436"/>
      <c r="D1" s="142" t="s">
        <v>519</v>
      </c>
    </row>
    <row r="2" spans="1:4" x14ac:dyDescent="0.35">
      <c r="B2" s="436"/>
      <c r="C2" s="436"/>
      <c r="D2" s="142" t="s">
        <v>799</v>
      </c>
    </row>
    <row r="3" spans="1:4" x14ac:dyDescent="0.35">
      <c r="B3" s="593"/>
      <c r="C3" s="593"/>
      <c r="D3" s="142"/>
    </row>
    <row r="4" spans="1:4" s="201" customFormat="1" x14ac:dyDescent="0.35">
      <c r="D4" s="39" t="s">
        <v>606</v>
      </c>
    </row>
    <row r="5" spans="1:4" s="201" customFormat="1" x14ac:dyDescent="0.35">
      <c r="D5" s="39" t="s">
        <v>669</v>
      </c>
    </row>
    <row r="6" spans="1:4" s="201" customFormat="1" ht="17.399999999999999" customHeight="1" x14ac:dyDescent="0.35">
      <c r="A6" s="209"/>
      <c r="B6" s="209"/>
      <c r="C6" s="209"/>
    </row>
    <row r="8" spans="1:4" x14ac:dyDescent="0.35">
      <c r="A8" s="724" t="s">
        <v>430</v>
      </c>
      <c r="B8" s="725"/>
      <c r="C8" s="725"/>
      <c r="D8" s="725"/>
    </row>
    <row r="9" spans="1:4" ht="20.25" customHeight="1" x14ac:dyDescent="0.35">
      <c r="A9" s="709" t="s">
        <v>600</v>
      </c>
      <c r="B9" s="709"/>
      <c r="C9" s="709"/>
      <c r="D9" s="709"/>
    </row>
    <row r="10" spans="1:4" x14ac:dyDescent="0.35">
      <c r="A10" s="301"/>
      <c r="B10" s="302"/>
      <c r="C10" s="302"/>
    </row>
    <row r="11" spans="1:4" ht="36" customHeight="1" x14ac:dyDescent="0.35">
      <c r="A11" s="726" t="s">
        <v>601</v>
      </c>
      <c r="B11" s="727"/>
      <c r="C11" s="727"/>
      <c r="D11" s="727"/>
    </row>
    <row r="12" spans="1:4" x14ac:dyDescent="0.35">
      <c r="A12" s="301"/>
      <c r="B12" s="302"/>
      <c r="C12" s="302"/>
    </row>
    <row r="13" spans="1:4" x14ac:dyDescent="0.35">
      <c r="A13" s="301"/>
      <c r="B13" s="302"/>
      <c r="C13" s="302"/>
      <c r="D13" s="303" t="s">
        <v>257</v>
      </c>
    </row>
    <row r="14" spans="1:4" ht="36" x14ac:dyDescent="0.35">
      <c r="A14" s="304" t="s">
        <v>258</v>
      </c>
      <c r="B14" s="731" t="s">
        <v>369</v>
      </c>
      <c r="C14" s="732"/>
      <c r="D14" s="305" t="s">
        <v>260</v>
      </c>
    </row>
    <row r="15" spans="1:4" x14ac:dyDescent="0.35">
      <c r="A15" s="304">
        <v>1</v>
      </c>
      <c r="B15" s="731">
        <v>2</v>
      </c>
      <c r="C15" s="732"/>
      <c r="D15" s="305">
        <v>3</v>
      </c>
    </row>
    <row r="16" spans="1:4" ht="41.25" customHeight="1" x14ac:dyDescent="0.35">
      <c r="A16" s="728" t="s">
        <v>259</v>
      </c>
      <c r="B16" s="733" t="s">
        <v>527</v>
      </c>
      <c r="C16" s="734"/>
      <c r="D16" s="306">
        <f>D19</f>
        <v>0</v>
      </c>
    </row>
    <row r="17" spans="1:8" x14ac:dyDescent="0.35">
      <c r="A17" s="729"/>
      <c r="B17" s="307" t="s">
        <v>162</v>
      </c>
      <c r="C17" s="308"/>
      <c r="D17" s="309"/>
    </row>
    <row r="18" spans="1:8" x14ac:dyDescent="0.35">
      <c r="A18" s="729"/>
      <c r="B18" s="307" t="s">
        <v>482</v>
      </c>
      <c r="C18" s="308"/>
      <c r="D18" s="309">
        <v>0</v>
      </c>
    </row>
    <row r="19" spans="1:8" x14ac:dyDescent="0.35">
      <c r="A19" s="730"/>
      <c r="B19" s="307" t="s">
        <v>261</v>
      </c>
      <c r="C19" s="308"/>
      <c r="D19" s="310">
        <v>0</v>
      </c>
    </row>
    <row r="20" spans="1:8" ht="59.25" customHeight="1" x14ac:dyDescent="0.35">
      <c r="A20" s="720" t="s">
        <v>528</v>
      </c>
      <c r="B20" s="722" t="s">
        <v>481</v>
      </c>
      <c r="C20" s="723"/>
      <c r="D20" s="311">
        <f>D22-D23</f>
        <v>36000</v>
      </c>
      <c r="F20" s="312"/>
      <c r="G20" s="312"/>
      <c r="H20" s="312"/>
    </row>
    <row r="21" spans="1:8" x14ac:dyDescent="0.35">
      <c r="A21" s="721"/>
      <c r="B21" s="307" t="s">
        <v>162</v>
      </c>
      <c r="C21" s="313"/>
      <c r="D21" s="311"/>
      <c r="F21" s="312"/>
      <c r="G21" s="312"/>
      <c r="H21" s="312"/>
    </row>
    <row r="22" spans="1:8" x14ac:dyDescent="0.35">
      <c r="A22" s="721"/>
      <c r="B22" s="307" t="s">
        <v>482</v>
      </c>
      <c r="C22" s="313"/>
      <c r="D22" s="311">
        <v>36000</v>
      </c>
      <c r="F22" s="314"/>
      <c r="G22" s="314"/>
      <c r="H22" s="312"/>
    </row>
    <row r="23" spans="1:8" x14ac:dyDescent="0.35">
      <c r="A23" s="721"/>
      <c r="B23" s="315" t="s">
        <v>261</v>
      </c>
      <c r="C23" s="316"/>
      <c r="D23" s="317">
        <v>0</v>
      </c>
    </row>
    <row r="24" spans="1:8" ht="40.5" customHeight="1" x14ac:dyDescent="0.35">
      <c r="A24" s="720" t="s">
        <v>529</v>
      </c>
      <c r="B24" s="722" t="s">
        <v>530</v>
      </c>
      <c r="C24" s="723"/>
      <c r="D24" s="311">
        <f>D26-D27</f>
        <v>0</v>
      </c>
      <c r="F24" s="312"/>
      <c r="G24" s="312"/>
      <c r="H24" s="312"/>
    </row>
    <row r="25" spans="1:8" x14ac:dyDescent="0.35">
      <c r="A25" s="721"/>
      <c r="B25" s="307" t="s">
        <v>162</v>
      </c>
      <c r="C25" s="313"/>
      <c r="D25" s="311"/>
      <c r="F25" s="312"/>
      <c r="G25" s="312"/>
      <c r="H25" s="312"/>
    </row>
    <row r="26" spans="1:8" x14ac:dyDescent="0.35">
      <c r="A26" s="721"/>
      <c r="B26" s="307" t="s">
        <v>482</v>
      </c>
      <c r="C26" s="313"/>
      <c r="D26" s="311">
        <v>0</v>
      </c>
      <c r="F26" s="314"/>
      <c r="G26" s="314"/>
      <c r="H26" s="312"/>
    </row>
    <row r="27" spans="1:8" x14ac:dyDescent="0.35">
      <c r="A27" s="721"/>
      <c r="B27" s="315" t="s">
        <v>261</v>
      </c>
      <c r="C27" s="316"/>
      <c r="D27" s="317">
        <v>0</v>
      </c>
    </row>
    <row r="28" spans="1:8" x14ac:dyDescent="0.35">
      <c r="D28" s="319"/>
    </row>
    <row r="29" spans="1:8" ht="42" customHeight="1" x14ac:dyDescent="0.35">
      <c r="A29" s="736" t="s">
        <v>602</v>
      </c>
      <c r="B29" s="737"/>
      <c r="C29" s="737"/>
      <c r="D29" s="737"/>
    </row>
    <row r="30" spans="1:8" x14ac:dyDescent="0.35">
      <c r="A30" s="301"/>
      <c r="B30" s="302"/>
      <c r="C30" s="302"/>
    </row>
    <row r="31" spans="1:8" x14ac:dyDescent="0.35">
      <c r="A31" s="301"/>
      <c r="B31" s="302"/>
      <c r="C31" s="302"/>
      <c r="D31" s="303" t="s">
        <v>257</v>
      </c>
    </row>
    <row r="32" spans="1:8" ht="21.6" customHeight="1" x14ac:dyDescent="0.35">
      <c r="A32" s="738" t="s">
        <v>258</v>
      </c>
      <c r="B32" s="738" t="s">
        <v>369</v>
      </c>
      <c r="C32" s="739" t="s">
        <v>260</v>
      </c>
      <c r="D32" s="739"/>
    </row>
    <row r="33" spans="1:8" ht="25.2" customHeight="1" x14ac:dyDescent="0.35">
      <c r="A33" s="738"/>
      <c r="B33" s="738"/>
      <c r="C33" s="320" t="s">
        <v>508</v>
      </c>
      <c r="D33" s="320" t="s">
        <v>594</v>
      </c>
    </row>
    <row r="34" spans="1:8" x14ac:dyDescent="0.35">
      <c r="A34" s="320">
        <v>1</v>
      </c>
      <c r="B34" s="320">
        <v>2</v>
      </c>
      <c r="C34" s="320">
        <v>3</v>
      </c>
      <c r="D34" s="320">
        <v>4</v>
      </c>
    </row>
    <row r="35" spans="1:8" ht="41.25" customHeight="1" x14ac:dyDescent="0.35">
      <c r="A35" s="728" t="s">
        <v>259</v>
      </c>
      <c r="B35" s="321" t="s">
        <v>527</v>
      </c>
      <c r="C35" s="306">
        <f>C38</f>
        <v>0</v>
      </c>
      <c r="D35" s="306">
        <f>D38</f>
        <v>0</v>
      </c>
    </row>
    <row r="36" spans="1:8" x14ac:dyDescent="0.35">
      <c r="A36" s="729"/>
      <c r="B36" s="307" t="s">
        <v>162</v>
      </c>
      <c r="C36" s="309"/>
      <c r="D36" s="309"/>
    </row>
    <row r="37" spans="1:8" x14ac:dyDescent="0.35">
      <c r="A37" s="729"/>
      <c r="B37" s="307" t="s">
        <v>482</v>
      </c>
      <c r="C37" s="309">
        <v>0</v>
      </c>
      <c r="D37" s="309">
        <v>0</v>
      </c>
    </row>
    <row r="38" spans="1:8" x14ac:dyDescent="0.35">
      <c r="A38" s="730"/>
      <c r="B38" s="307" t="s">
        <v>261</v>
      </c>
      <c r="C38" s="310">
        <v>0</v>
      </c>
      <c r="D38" s="310">
        <v>0</v>
      </c>
    </row>
    <row r="39" spans="1:8" ht="56.25" customHeight="1" x14ac:dyDescent="0.35">
      <c r="A39" s="735" t="s">
        <v>528</v>
      </c>
      <c r="B39" s="322" t="s">
        <v>481</v>
      </c>
      <c r="C39" s="323">
        <f>C41-C42</f>
        <v>-36000</v>
      </c>
      <c r="D39" s="323">
        <f>D41-D42</f>
        <v>0</v>
      </c>
    </row>
    <row r="40" spans="1:8" ht="17.100000000000001" customHeight="1" x14ac:dyDescent="0.35">
      <c r="A40" s="735"/>
      <c r="B40" s="324" t="s">
        <v>162</v>
      </c>
      <c r="C40" s="311"/>
      <c r="D40" s="311"/>
    </row>
    <row r="41" spans="1:8" ht="17.100000000000001" customHeight="1" x14ac:dyDescent="0.35">
      <c r="A41" s="735"/>
      <c r="B41" s="324" t="s">
        <v>482</v>
      </c>
      <c r="C41" s="311">
        <v>0</v>
      </c>
      <c r="D41" s="311">
        <v>0</v>
      </c>
    </row>
    <row r="42" spans="1:8" ht="18" customHeight="1" x14ac:dyDescent="0.35">
      <c r="A42" s="735"/>
      <c r="B42" s="325" t="s">
        <v>261</v>
      </c>
      <c r="C42" s="326">
        <v>36000</v>
      </c>
      <c r="D42" s="326">
        <v>0</v>
      </c>
    </row>
    <row r="43" spans="1:8" ht="40.5" customHeight="1" x14ac:dyDescent="0.35">
      <c r="A43" s="720" t="s">
        <v>529</v>
      </c>
      <c r="B43" s="322" t="s">
        <v>530</v>
      </c>
      <c r="C43" s="311">
        <f>C45-C46</f>
        <v>0</v>
      </c>
      <c r="D43" s="311">
        <f>D45-D46</f>
        <v>0</v>
      </c>
      <c r="F43" s="312"/>
      <c r="G43" s="312"/>
      <c r="H43" s="312"/>
    </row>
    <row r="44" spans="1:8" x14ac:dyDescent="0.35">
      <c r="A44" s="721"/>
      <c r="B44" s="324" t="s">
        <v>162</v>
      </c>
      <c r="C44" s="311"/>
      <c r="D44" s="311"/>
      <c r="F44" s="312"/>
      <c r="G44" s="312"/>
      <c r="H44" s="312"/>
    </row>
    <row r="45" spans="1:8" x14ac:dyDescent="0.35">
      <c r="A45" s="721"/>
      <c r="B45" s="324" t="s">
        <v>482</v>
      </c>
      <c r="C45" s="311">
        <v>0</v>
      </c>
      <c r="D45" s="311">
        <v>0</v>
      </c>
      <c r="F45" s="314"/>
      <c r="G45" s="314"/>
      <c r="H45" s="312"/>
    </row>
    <row r="46" spans="1:8" x14ac:dyDescent="0.35">
      <c r="A46" s="721"/>
      <c r="B46" s="325" t="s">
        <v>261</v>
      </c>
      <c r="C46" s="317">
        <v>0</v>
      </c>
      <c r="D46" s="317">
        <v>0</v>
      </c>
    </row>
    <row r="47" spans="1:8" ht="16.5" customHeight="1" x14ac:dyDescent="0.35">
      <c r="A47" s="327"/>
      <c r="B47" s="328"/>
      <c r="C47" s="328"/>
      <c r="D47" s="329"/>
    </row>
    <row r="49" spans="1:8" s="75" customFormat="1" x14ac:dyDescent="0.35">
      <c r="A49" s="106" t="s">
        <v>379</v>
      </c>
      <c r="B49" s="76"/>
      <c r="C49" s="77"/>
      <c r="D49" s="77"/>
      <c r="E49" s="77"/>
      <c r="F49" s="42"/>
      <c r="G49" s="105"/>
      <c r="H49" s="137"/>
    </row>
    <row r="50" spans="1:8" s="75" customFormat="1" x14ac:dyDescent="0.35">
      <c r="A50" s="106" t="s">
        <v>380</v>
      </c>
      <c r="B50" s="76"/>
      <c r="C50" s="77"/>
      <c r="E50" s="77"/>
      <c r="F50" s="42"/>
      <c r="G50" s="105"/>
      <c r="H50" s="137"/>
    </row>
    <row r="51" spans="1:8" s="75" customFormat="1" x14ac:dyDescent="0.35">
      <c r="A51" s="107" t="s">
        <v>381</v>
      </c>
      <c r="D51" s="108" t="s">
        <v>391</v>
      </c>
      <c r="E51" s="77"/>
    </row>
  </sheetData>
  <mergeCells count="18">
    <mergeCell ref="A39:A42"/>
    <mergeCell ref="A43:A46"/>
    <mergeCell ref="A29:D29"/>
    <mergeCell ref="A32:A33"/>
    <mergeCell ref="B32:B33"/>
    <mergeCell ref="C32:D32"/>
    <mergeCell ref="A35:A38"/>
    <mergeCell ref="A20:A23"/>
    <mergeCell ref="B20:C20"/>
    <mergeCell ref="A24:A27"/>
    <mergeCell ref="B24:C24"/>
    <mergeCell ref="A8:D8"/>
    <mergeCell ref="A9:D9"/>
    <mergeCell ref="A11:D11"/>
    <mergeCell ref="A16:A19"/>
    <mergeCell ref="B14:C14"/>
    <mergeCell ref="B15:C15"/>
    <mergeCell ref="B16:C16"/>
  </mergeCells>
  <printOptions horizontalCentered="1"/>
  <pageMargins left="1.1811023622047245" right="0.39370078740157483" top="0.78740157480314965" bottom="0.78740157480314965" header="0.51181102362204722" footer="0.51181102362204722"/>
  <pageSetup paperSize="9" scale="80" fitToHeight="0" orientation="portrait" r:id="rId1"/>
  <headerFooter differentFirst="1" alignWithMargins="0">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15</vt:i4>
      </vt:variant>
    </vt:vector>
  </HeadingPairs>
  <TitlesOfParts>
    <vt:vector size="23" baseType="lpstr">
      <vt:lpstr>прил. 1 (поступл.23-25)</vt:lpstr>
      <vt:lpstr>прил.2(пост.безв.23)</vt:lpstr>
      <vt:lpstr>прил 6 (Рз,ПР 23-25)</vt:lpstr>
      <vt:lpstr>прил 7 (ЦС,ВР 23)</vt:lpstr>
      <vt:lpstr>прил9 (ведом 23)</vt:lpstr>
      <vt:lpstr>прил.11 (Источники 23-25)</vt:lpstr>
      <vt:lpstr>прил.12 (безв.всего 23-25)</vt:lpstr>
      <vt:lpstr>прил.14 мун.внутр.заим.23-25)</vt:lpstr>
      <vt:lpstr>'прил 6 (Рз,ПР 23-25)'!Заголовки_для_печати</vt:lpstr>
      <vt:lpstr>'прил 7 (ЦС,ВР 23)'!Заголовки_для_печати</vt:lpstr>
      <vt:lpstr>'прил. 1 (поступл.23-25)'!Заголовки_для_печати</vt:lpstr>
      <vt:lpstr>'прил.11 (Источники 23-25)'!Заголовки_для_печати</vt:lpstr>
      <vt:lpstr>'прил.14 мун.внутр.заим.23-25)'!Заголовки_для_печати</vt:lpstr>
      <vt:lpstr>'прил.2(пост.безв.23)'!Заголовки_для_печати</vt:lpstr>
      <vt:lpstr>'прил9 (ведом 23)'!Заголовки_для_печати</vt:lpstr>
      <vt:lpstr>'прил 6 (Рз,ПР 23-25)'!Область_печати</vt:lpstr>
      <vt:lpstr>'прил 7 (ЦС,ВР 23)'!Область_печати</vt:lpstr>
      <vt:lpstr>'прил. 1 (поступл.23-25)'!Область_печати</vt:lpstr>
      <vt:lpstr>'прил.11 (Источники 23-25)'!Область_печати</vt:lpstr>
      <vt:lpstr>'прил.12 (безв.всего 23-25)'!Область_печати</vt:lpstr>
      <vt:lpstr>'прил.14 мун.внутр.заим.23-25)'!Область_печати</vt:lpstr>
      <vt:lpstr>'прил.2(пост.безв.23)'!Область_печати</vt:lpstr>
      <vt:lpstr>'прил9 (ведом 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2023-11-13T09:51:04Z</dcterms:modified>
</cp:coreProperties>
</file>