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468" windowWidth="14808" windowHeight="1116" tabRatio="852"/>
  </bookViews>
  <sheets>
    <sheet name="прил. 1 (поступл.23-25)" sheetId="5" r:id="rId1"/>
    <sheet name="прил.2(пост.безв.23)" sheetId="2" r:id="rId2"/>
    <sheet name="прил 6 (Рз,ПР 23-25)" sheetId="6" r:id="rId3"/>
    <sheet name="прил 7 (ЦС,ВР 23)" sheetId="7" r:id="rId4"/>
    <sheet name="прил 8 (ЦС,ВР 24-25)" sheetId="18" r:id="rId5"/>
    <sheet name="прил9 (ведом 23)" sheetId="3" r:id="rId6"/>
    <sheet name="прил10 (ведом 24-25)" sheetId="19" r:id="rId7"/>
    <sheet name="прил.11 (Источники 23-25)" sheetId="8" r:id="rId8"/>
  </sheets>
  <definedNames>
    <definedName name="_xlnm._FilterDatabase" localSheetId="2" hidden="1">'прил 6 (Рз,ПР 23-25)'!$A$1:$A$66</definedName>
    <definedName name="_xlnm._FilterDatabase" localSheetId="3" hidden="1">'прил 7 (ЦС,ВР 23)'!$A$1:$H$670</definedName>
    <definedName name="_xlnm._FilterDatabase" localSheetId="4" hidden="1">'прил 8 (ЦС,ВР 24-25)'!$A$1:$I$472</definedName>
    <definedName name="_xlnm._FilterDatabase" localSheetId="1" hidden="1">'прил.2(пост.безв.23)'!$B$1:$D$437</definedName>
    <definedName name="_xlnm._FilterDatabase" localSheetId="6" hidden="1">'прил10 (ведом 24-25)'!$A$1:$N$671</definedName>
    <definedName name="_xlnm._FilterDatabase" localSheetId="5" hidden="1">'прил9 (ведом 23)'!$A$1:$M$1007</definedName>
    <definedName name="Z_168CADD9_CFDC_4445_BFE6_DAD4B9423C72_.wvu.FilterData" localSheetId="3" hidden="1">'прил 7 (ЦС,ВР 23)'!#REF!</definedName>
    <definedName name="Z_168CADD9_CFDC_4445_BFE6_DAD4B9423C72_.wvu.FilterData" localSheetId="4" hidden="1">'прил 8 (ЦС,ВР 24-25)'!#REF!</definedName>
    <definedName name="Z_1F25B6A1_C9F7_11D8_A2FD_006098EF8B30_.wvu.FilterData" localSheetId="3" hidden="1">'прил 7 (ЦС,ВР 23)'!#REF!</definedName>
    <definedName name="Z_1F25B6A1_C9F7_11D8_A2FD_006098EF8B30_.wvu.FilterData" localSheetId="4" hidden="1">'прил 8 (ЦС,ВР 24-25)'!#REF!</definedName>
    <definedName name="Z_29D950F2_21ED_48E6_BFC6_87DD89E0125A_.wvu.FilterData" localSheetId="3" hidden="1">'прил 7 (ЦС,ВР 23)'!#REF!</definedName>
    <definedName name="Z_29D950F2_21ED_48E6_BFC6_87DD89E0125A_.wvu.FilterData" localSheetId="4" hidden="1">'прил 8 (ЦС,ВР 24-25)'!#REF!</definedName>
    <definedName name="Z_2CA7FCD5_27A5_4474_9D49_7A7E23BD2FF9_.wvu.FilterData" localSheetId="3" hidden="1">'прил 7 (ЦС,ВР 23)'!#REF!</definedName>
    <definedName name="Z_2CA7FCD5_27A5_4474_9D49_7A7E23BD2FF9_.wvu.FilterData" localSheetId="4" hidden="1">'прил 8 (ЦС,ВР 24-25)'!#REF!</definedName>
    <definedName name="Z_48E28AC5_4E0A_4FBA_AE6D_340F9E8D4B3C_.wvu.FilterData" localSheetId="3" hidden="1">'прил 7 (ЦС,ВР 23)'!#REF!</definedName>
    <definedName name="Z_48E28AC5_4E0A_4FBA_AE6D_340F9E8D4B3C_.wvu.FilterData" localSheetId="4" hidden="1">'прил 8 (ЦС,ВР 24-25)'!#REF!</definedName>
    <definedName name="Z_6398E0F2_3205_40F4_BF0A_C9F4D0DA9A75_.wvu.FilterData" localSheetId="3" hidden="1">'прил 7 (ЦС,ВР 23)'!#REF!</definedName>
    <definedName name="Z_6398E0F2_3205_40F4_BF0A_C9F4D0DA9A75_.wvu.FilterData" localSheetId="4" hidden="1">'прил 8 (ЦС,ВР 24-25)'!#REF!</definedName>
    <definedName name="Z_64DF1B77_0EDD_4B56_A91C_5E003BE599EF_.wvu.FilterData" localSheetId="3" hidden="1">'прил 7 (ЦС,ВР 23)'!#REF!</definedName>
    <definedName name="Z_64DF1B77_0EDD_4B56_A91C_5E003BE599EF_.wvu.FilterData" localSheetId="4" hidden="1">'прил 8 (ЦС,ВР 24-25)'!#REF!</definedName>
    <definedName name="Z_6786C020_BCF1_463A_B3E9_7DE69D46EAB3_.wvu.FilterData" localSheetId="3" hidden="1">'прил 7 (ЦС,ВР 23)'!#REF!</definedName>
    <definedName name="Z_6786C020_BCF1_463A_B3E9_7DE69D46EAB3_.wvu.FilterData" localSheetId="4" hidden="1">'прил 8 (ЦС,ВР 24-25)'!#REF!</definedName>
    <definedName name="Z_8E2E7D81_C767_11D8_A2FD_006098EF8B30_.wvu.FilterData" localSheetId="3" hidden="1">'прил 7 (ЦС,ВР 23)'!#REF!</definedName>
    <definedName name="Z_8E2E7D81_C767_11D8_A2FD_006098EF8B30_.wvu.FilterData" localSheetId="4" hidden="1">'прил 8 (ЦС,ВР 24-25)'!#REF!</definedName>
    <definedName name="Z_97D0CDFA_8A34_4B3C_BA32_D4F0E3218B75_.wvu.FilterData" localSheetId="3" hidden="1">'прил 7 (ЦС,ВР 23)'!#REF!</definedName>
    <definedName name="Z_97D0CDFA_8A34_4B3C_BA32_D4F0E3218B75_.wvu.FilterData" localSheetId="4" hidden="1">'прил 8 (ЦС,ВР 24-25)'!#REF!</definedName>
    <definedName name="Z_B246FE0E_E986_4211_B02A_04E4565C0FED_.wvu.Cols" localSheetId="3" hidden="1">'прил 7 (ЦС,ВР 23)'!$A:$A,'прил 7 (ЦС,ВР 23)'!#REF!</definedName>
    <definedName name="Z_B246FE0E_E986_4211_B02A_04E4565C0FED_.wvu.Cols" localSheetId="4" hidden="1">'прил 8 (ЦС,ВР 24-25)'!$A:$A,'прил 8 (ЦС,ВР 24-25)'!#REF!</definedName>
    <definedName name="Z_B246FE0E_E986_4211_B02A_04E4565C0FED_.wvu.FilterData" localSheetId="3" hidden="1">'прил 7 (ЦС,ВР 23)'!#REF!</definedName>
    <definedName name="Z_B246FE0E_E986_4211_B02A_04E4565C0FED_.wvu.FilterData" localSheetId="4" hidden="1">'прил 8 (ЦС,ВР 24-25)'!#REF!</definedName>
    <definedName name="Z_B246FE0E_E986_4211_B02A_04E4565C0FED_.wvu.PrintArea" localSheetId="3" hidden="1">'прил 7 (ЦС,ВР 23)'!#REF!</definedName>
    <definedName name="Z_B246FE0E_E986_4211_B02A_04E4565C0FED_.wvu.PrintArea" localSheetId="4" hidden="1">'прил 8 (ЦС,ВР 24-25)'!#REF!</definedName>
    <definedName name="Z_B246FE0E_E986_4211_B02A_04E4565C0FED_.wvu.PrintTitles" localSheetId="3" hidden="1">'прил 7 (ЦС,ВР 23)'!#REF!</definedName>
    <definedName name="Z_B246FE0E_E986_4211_B02A_04E4565C0FED_.wvu.PrintTitles" localSheetId="4" hidden="1">'прил 8 (ЦС,ВР 24-25)'!#REF!</definedName>
    <definedName name="Z_C54CDF8B_FA5C_4A02_B343_3FEFD9721392_.wvu.FilterData" localSheetId="3" hidden="1">'прил 7 (ЦС,ВР 23)'!#REF!</definedName>
    <definedName name="Z_C54CDF8B_FA5C_4A02_B343_3FEFD9721392_.wvu.FilterData" localSheetId="4" hidden="1">'прил 8 (ЦС,ВР 24-25)'!#REF!</definedName>
    <definedName name="Z_D7174C22_B878_4584_A218_37ED88979064_.wvu.FilterData" localSheetId="3" hidden="1">'прил 7 (ЦС,ВР 23)'!#REF!</definedName>
    <definedName name="Z_D7174C22_B878_4584_A218_37ED88979064_.wvu.FilterData" localSheetId="4" hidden="1">'прил 8 (ЦС,ВР 24-25)'!#REF!</definedName>
    <definedName name="Z_DD7538FB_7299_4DEE_90D5_2739132A1616_.wvu.FilterData" localSheetId="3" hidden="1">'прил 7 (ЦС,ВР 23)'!#REF!</definedName>
    <definedName name="Z_DD7538FB_7299_4DEE_90D5_2739132A1616_.wvu.FilterData" localSheetId="4" hidden="1">'прил 8 (ЦС,ВР 24-25)'!#REF!</definedName>
    <definedName name="Z_E4B436A8_4A5B_422F_8C0E_9267F763D19D_.wvu.FilterData" localSheetId="3" hidden="1">'прил 7 (ЦС,ВР 23)'!#REF!</definedName>
    <definedName name="Z_E4B436A8_4A5B_422F_8C0E_9267F763D19D_.wvu.FilterData" localSheetId="4" hidden="1">'прил 8 (ЦС,ВР 24-25)'!#REF!</definedName>
    <definedName name="Z_E6BB4361_1D58_11D9_A2FD_006098EF8B30_.wvu.FilterData" localSheetId="3" hidden="1">'прил 7 (ЦС,ВР 23)'!#REF!</definedName>
    <definedName name="Z_E6BB4361_1D58_11D9_A2FD_006098EF8B30_.wvu.FilterData" localSheetId="4" hidden="1">'прил 8 (ЦС,ВР 24-25)'!#REF!</definedName>
    <definedName name="Z_EF486DA3_1DF3_11D9_A2FD_006098EF8B30_.wvu.FilterData" localSheetId="3" hidden="1">'прил 7 (ЦС,ВР 23)'!#REF!</definedName>
    <definedName name="Z_EF486DA3_1DF3_11D9_A2FD_006098EF8B30_.wvu.FilterData" localSheetId="4" hidden="1">'прил 8 (ЦС,ВР 24-25)'!#REF!</definedName>
    <definedName name="Z_EF486DA8_1DF3_11D9_A2FD_006098EF8B30_.wvu.FilterData" localSheetId="3" hidden="1">'прил 7 (ЦС,ВР 23)'!#REF!</definedName>
    <definedName name="Z_EF486DA8_1DF3_11D9_A2FD_006098EF8B30_.wvu.FilterData" localSheetId="4" hidden="1">'прил 8 (ЦС,ВР 24-25)'!#REF!</definedName>
    <definedName name="Z_EF486DAA_1DF3_11D9_A2FD_006098EF8B30_.wvu.FilterData" localSheetId="3" hidden="1">'прил 7 (ЦС,ВР 23)'!#REF!</definedName>
    <definedName name="Z_EF486DAA_1DF3_11D9_A2FD_006098EF8B30_.wvu.FilterData" localSheetId="4" hidden="1">'прил 8 (ЦС,ВР 24-25)'!#REF!</definedName>
    <definedName name="Z_EF486DAC_1DF3_11D9_A2FD_006098EF8B30_.wvu.FilterData" localSheetId="3" hidden="1">'прил 7 (ЦС,ВР 23)'!#REF!</definedName>
    <definedName name="Z_EF486DAC_1DF3_11D9_A2FD_006098EF8B30_.wvu.FilterData" localSheetId="4" hidden="1">'прил 8 (ЦС,ВР 24-25)'!#REF!</definedName>
    <definedName name="Z_EF5A4981_C8E4_11D8_A2FC_006098EF8BA8_.wvu.Cols" localSheetId="3" hidden="1">'прил 7 (ЦС,ВР 23)'!$A:$A,'прил 7 (ЦС,ВР 23)'!#REF!,'прил 7 (ЦС,ВР 23)'!#REF!</definedName>
    <definedName name="Z_EF5A4981_C8E4_11D8_A2FC_006098EF8BA8_.wvu.Cols" localSheetId="4" hidden="1">'прил 8 (ЦС,ВР 24-25)'!$A:$A,'прил 8 (ЦС,ВР 24-25)'!#REF!,'прил 8 (ЦС,ВР 24-25)'!#REF!</definedName>
    <definedName name="Z_EF5A4981_C8E4_11D8_A2FC_006098EF8BA8_.wvu.FilterData" localSheetId="3" hidden="1">'прил 7 (ЦС,ВР 23)'!#REF!</definedName>
    <definedName name="Z_EF5A4981_C8E4_11D8_A2FC_006098EF8BA8_.wvu.FilterData" localSheetId="4" hidden="1">'прил 8 (ЦС,ВР 24-25)'!#REF!</definedName>
    <definedName name="Z_EF5A4981_C8E4_11D8_A2FC_006098EF8BA8_.wvu.PrintArea" localSheetId="3" hidden="1">'прил 7 (ЦС,ВР 23)'!#REF!</definedName>
    <definedName name="Z_EF5A4981_C8E4_11D8_A2FC_006098EF8BA8_.wvu.PrintArea" localSheetId="4" hidden="1">'прил 8 (ЦС,ВР 24-25)'!#REF!</definedName>
    <definedName name="Z_EF5A4981_C8E4_11D8_A2FC_006098EF8BA8_.wvu.PrintTitles" localSheetId="3" hidden="1">'прил 7 (ЦС,ВР 23)'!#REF!</definedName>
    <definedName name="Z_EF5A4981_C8E4_11D8_A2FC_006098EF8BA8_.wvu.PrintTitles" localSheetId="4" hidden="1">'прил 8 (ЦС,ВР 24-25)'!#REF!</definedName>
    <definedName name="_xlnm.Print_Titles" localSheetId="2">'прил 6 (Рз,ПР 23-25)'!$14:$14</definedName>
    <definedName name="_xlnm.Print_Titles" localSheetId="3">'прил 7 (ЦС,ВР 23)'!$12:$12</definedName>
    <definedName name="_xlnm.Print_Titles" localSheetId="4">'прил 8 (ЦС,ВР 24-25)'!$13:$13</definedName>
    <definedName name="_xlnm.Print_Titles" localSheetId="0">'прил. 1 (поступл.23-25)'!$14:$14</definedName>
    <definedName name="_xlnm.Print_Titles" localSheetId="7">'прил.11 (Источники 23-25)'!$13:$13</definedName>
    <definedName name="_xlnm.Print_Titles" localSheetId="1">'прил.2(пост.безв.23)'!$13:$13</definedName>
    <definedName name="_xlnm.Print_Titles" localSheetId="6">'прил10 (ведом 24-25)'!$15:$15</definedName>
    <definedName name="_xlnm.Print_Titles" localSheetId="5">'прил9 (ведом 23)'!$13:$13</definedName>
    <definedName name="_xlnm.Print_Area" localSheetId="2">'прил 6 (Рз,ПР 23-25)'!$A$1:$F$67</definedName>
    <definedName name="_xlnm.Print_Area" localSheetId="3">'прил 7 (ЦС,ВР 23)'!$A$1:$H$660</definedName>
    <definedName name="_xlnm.Print_Area" localSheetId="4">'прил 8 (ЦС,ВР 24-25)'!$A$1:$I$459</definedName>
    <definedName name="_xlnm.Print_Area" localSheetId="0">'прил. 1 (поступл.23-25)'!$A$1:$E$57</definedName>
    <definedName name="_xlnm.Print_Area" localSheetId="7">'прил.11 (Источники 23-25)'!$A$1:$E$43</definedName>
    <definedName name="_xlnm.Print_Area" localSheetId="1">'прил.2(пост.безв.23)'!$A$1:$C$105</definedName>
    <definedName name="_xlnm.Print_Area" localSheetId="6">'прил10 (ведом 24-25)'!$A$1:$N$608</definedName>
    <definedName name="_xlnm.Print_Area" localSheetId="5">'прил9 (ведом 23)'!$A$1:$M$897</definedName>
  </definedNames>
  <calcPr calcId="145621" iterate="1"/>
</workbook>
</file>

<file path=xl/calcChain.xml><?xml version="1.0" encoding="utf-8"?>
<calcChain xmlns="http://schemas.openxmlformats.org/spreadsheetml/2006/main">
  <c r="M447" i="3" l="1"/>
  <c r="M445" i="3"/>
  <c r="M161" i="3" l="1"/>
  <c r="M55" i="3"/>
  <c r="M84" i="3" l="1"/>
  <c r="M83" i="3"/>
  <c r="M84" i="19" l="1"/>
  <c r="M56" i="19"/>
  <c r="H448" i="7" l="1"/>
  <c r="H447" i="7" s="1"/>
  <c r="M428" i="3" l="1"/>
  <c r="M376" i="3"/>
  <c r="M71" i="3" l="1"/>
  <c r="M491" i="3"/>
  <c r="M582" i="3"/>
  <c r="M584" i="3"/>
  <c r="M28" i="3" l="1"/>
  <c r="M803" i="3" l="1"/>
  <c r="M800" i="3"/>
  <c r="M799" i="3"/>
  <c r="M570" i="3" l="1"/>
  <c r="M569" i="3"/>
  <c r="M549" i="3"/>
  <c r="M547" i="3"/>
  <c r="M501" i="3"/>
  <c r="M726" i="3" l="1"/>
  <c r="H584" i="7" l="1"/>
  <c r="H583" i="7" s="1"/>
  <c r="H582" i="7" s="1"/>
  <c r="H581" i="7" s="1"/>
  <c r="M216" i="3"/>
  <c r="M215" i="3" s="1"/>
  <c r="M214" i="3" s="1"/>
  <c r="M213" i="3" s="1"/>
  <c r="L217" i="3"/>
  <c r="L216" i="3" s="1"/>
  <c r="L215" i="3" s="1"/>
  <c r="L214" i="3" s="1"/>
  <c r="L213" i="3" s="1"/>
  <c r="M871" i="3" l="1"/>
  <c r="M870" i="3"/>
  <c r="M868" i="3"/>
  <c r="M866" i="3" l="1"/>
  <c r="M865" i="3"/>
  <c r="M460" i="3"/>
  <c r="M566" i="3"/>
  <c r="M536" i="3"/>
  <c r="M392" i="3"/>
  <c r="M388" i="3"/>
  <c r="M368" i="3"/>
  <c r="M80" i="3"/>
  <c r="M77" i="3"/>
  <c r="M302" i="3"/>
  <c r="M301" i="3"/>
  <c r="M29" i="3"/>
  <c r="K890" i="3"/>
  <c r="K889" i="3"/>
  <c r="K887" i="3"/>
  <c r="K886" i="3"/>
  <c r="K882" i="3"/>
  <c r="K876" i="3"/>
  <c r="K875" i="3" s="1"/>
  <c r="K872" i="3"/>
  <c r="K869" i="3"/>
  <c r="K867" i="3"/>
  <c r="K864" i="3"/>
  <c r="K861" i="3"/>
  <c r="K852" i="3"/>
  <c r="K851" i="3"/>
  <c r="K845" i="3"/>
  <c r="K844" i="3" s="1"/>
  <c r="K843" i="3"/>
  <c r="K842" i="3"/>
  <c r="K841" i="3"/>
  <c r="K833" i="3"/>
  <c r="K832" i="3" s="1"/>
  <c r="K830" i="3"/>
  <c r="K829" i="3" s="1"/>
  <c r="K828" i="3"/>
  <c r="K827" i="3" s="1"/>
  <c r="K826" i="3" s="1"/>
  <c r="K816" i="3"/>
  <c r="K815" i="3" s="1"/>
  <c r="K814" i="3" s="1"/>
  <c r="K813" i="3" s="1"/>
  <c r="K812" i="3" s="1"/>
  <c r="K811" i="3"/>
  <c r="K810" i="3" s="1"/>
  <c r="K809" i="3"/>
  <c r="K808" i="3" s="1"/>
  <c r="K806" i="3"/>
  <c r="K805" i="3"/>
  <c r="K804" i="3" s="1"/>
  <c r="K803" i="3"/>
  <c r="K802" i="3" s="1"/>
  <c r="K801" i="3"/>
  <c r="K800" i="3"/>
  <c r="K799" i="3"/>
  <c r="K795" i="3"/>
  <c r="K794" i="3" s="1"/>
  <c r="K793" i="3" s="1"/>
  <c r="K792" i="3" s="1"/>
  <c r="K788" i="3"/>
  <c r="K787" i="3" s="1"/>
  <c r="K786" i="3" s="1"/>
  <c r="K785" i="3"/>
  <c r="K784" i="3" s="1"/>
  <c r="K783" i="3" s="1"/>
  <c r="K782" i="3"/>
  <c r="K781" i="3" s="1"/>
  <c r="K780" i="3" s="1"/>
  <c r="K775" i="3"/>
  <c r="K774" i="3"/>
  <c r="K773" i="3"/>
  <c r="K772" i="3"/>
  <c r="K769" i="3"/>
  <c r="K768" i="3" s="1"/>
  <c r="K767" i="3"/>
  <c r="K766" i="3"/>
  <c r="K765" i="3"/>
  <c r="K761" i="3"/>
  <c r="K760" i="3" s="1"/>
  <c r="K759" i="3" s="1"/>
  <c r="K758" i="3" s="1"/>
  <c r="K754" i="3"/>
  <c r="K753" i="3" s="1"/>
  <c r="K752" i="3" s="1"/>
  <c r="K751" i="3" s="1"/>
  <c r="K750" i="3" s="1"/>
  <c r="K749" i="3" s="1"/>
  <c r="K748" i="3" s="1"/>
  <c r="K744" i="3"/>
  <c r="K743" i="3"/>
  <c r="K740" i="3"/>
  <c r="K739" i="3"/>
  <c r="K735" i="3"/>
  <c r="K734" i="3" s="1"/>
  <c r="K733" i="3" s="1"/>
  <c r="K732" i="3" s="1"/>
  <c r="K729" i="3"/>
  <c r="K728" i="3" s="1"/>
  <c r="K727" i="3"/>
  <c r="K726" i="3"/>
  <c r="K722" i="3"/>
  <c r="K721" i="3" s="1"/>
  <c r="K720" i="3"/>
  <c r="K719" i="3" s="1"/>
  <c r="K718" i="3"/>
  <c r="K717" i="3" s="1"/>
  <c r="K716" i="3"/>
  <c r="K714" i="3"/>
  <c r="K713" i="3"/>
  <c r="K710" i="3"/>
  <c r="K709" i="3" s="1"/>
  <c r="K707" i="3"/>
  <c r="K705" i="3"/>
  <c r="K704" i="3"/>
  <c r="K703" i="3" s="1"/>
  <c r="K702" i="3"/>
  <c r="K701" i="3" s="1"/>
  <c r="K700" i="3"/>
  <c r="K699" i="3" s="1"/>
  <c r="K692" i="3"/>
  <c r="K691" i="3" s="1"/>
  <c r="K690" i="3"/>
  <c r="K689" i="3" s="1"/>
  <c r="K688" i="3" s="1"/>
  <c r="K684" i="3"/>
  <c r="K683" i="3" s="1"/>
  <c r="K682" i="3"/>
  <c r="K681" i="3" s="1"/>
  <c r="K680" i="3"/>
  <c r="K679" i="3" s="1"/>
  <c r="K678" i="3"/>
  <c r="K677" i="3" s="1"/>
  <c r="K670" i="3"/>
  <c r="K669" i="3" s="1"/>
  <c r="K668" i="3" s="1"/>
  <c r="K662" i="3"/>
  <c r="K661" i="3"/>
  <c r="K655" i="3"/>
  <c r="K654" i="3" s="1"/>
  <c r="K653" i="3" s="1"/>
  <c r="K652" i="3" s="1"/>
  <c r="K651" i="3" s="1"/>
  <c r="K650" i="3" s="1"/>
  <c r="K647" i="3"/>
  <c r="K646" i="3"/>
  <c r="K645" i="3" s="1"/>
  <c r="K643" i="3"/>
  <c r="K641" i="3" s="1"/>
  <c r="K639" i="3"/>
  <c r="K638" i="3"/>
  <c r="K636" i="3" s="1"/>
  <c r="K634" i="3"/>
  <c r="K633" i="3"/>
  <c r="K632" i="3"/>
  <c r="K629" i="3"/>
  <c r="K628" i="3"/>
  <c r="K624" i="3"/>
  <c r="K623" i="3" s="1"/>
  <c r="K622" i="3" s="1"/>
  <c r="K621" i="3" s="1"/>
  <c r="K617" i="3"/>
  <c r="K616" i="3" s="1"/>
  <c r="K615" i="3" s="1"/>
  <c r="K613" i="3"/>
  <c r="K612" i="3" s="1"/>
  <c r="K611" i="3" s="1"/>
  <c r="K608" i="3"/>
  <c r="K607" i="3" s="1"/>
  <c r="K606" i="3" s="1"/>
  <c r="K605" i="3" s="1"/>
  <c r="K604" i="3" s="1"/>
  <c r="K603" i="3"/>
  <c r="K601" i="3" s="1"/>
  <c r="K600" i="3"/>
  <c r="K598" i="3" s="1"/>
  <c r="K596" i="3"/>
  <c r="K595" i="3"/>
  <c r="K594" i="3"/>
  <c r="K592" i="3"/>
  <c r="K591" i="3" s="1"/>
  <c r="K590" i="3"/>
  <c r="K589" i="3"/>
  <c r="K587" i="3"/>
  <c r="K586" i="3" s="1"/>
  <c r="K585" i="3"/>
  <c r="K584" i="3"/>
  <c r="K583" i="3"/>
  <c r="K582" i="3"/>
  <c r="K576" i="3"/>
  <c r="K575" i="3" s="1"/>
  <c r="K574" i="3" s="1"/>
  <c r="K573" i="3" s="1"/>
  <c r="K572" i="3"/>
  <c r="K571" i="3" s="1"/>
  <c r="K568" i="3"/>
  <c r="K566" i="3"/>
  <c r="K565" i="3"/>
  <c r="K564" i="3"/>
  <c r="K562" i="3"/>
  <c r="K561" i="3" s="1"/>
  <c r="K560" i="3"/>
  <c r="K559" i="3"/>
  <c r="K557" i="3"/>
  <c r="K556" i="3"/>
  <c r="K554" i="3"/>
  <c r="K553" i="3" s="1"/>
  <c r="K552" i="3"/>
  <c r="K551" i="3"/>
  <c r="K549" i="3"/>
  <c r="K548" i="3"/>
  <c r="K547" i="3"/>
  <c r="K545" i="3"/>
  <c r="K544" i="3"/>
  <c r="K543" i="3"/>
  <c r="K541" i="3"/>
  <c r="K539" i="3" s="1"/>
  <c r="K537" i="3"/>
  <c r="K536" i="3"/>
  <c r="K535" i="3"/>
  <c r="K534" i="3"/>
  <c r="K531" i="3"/>
  <c r="K530" i="3"/>
  <c r="K528" i="3"/>
  <c r="K527" i="3"/>
  <c r="K525" i="3"/>
  <c r="K524" i="3"/>
  <c r="K523" i="3"/>
  <c r="K515" i="3"/>
  <c r="K514" i="3"/>
  <c r="K513" i="3" s="1"/>
  <c r="K512" i="3"/>
  <c r="K511" i="3" s="1"/>
  <c r="K506" i="3"/>
  <c r="K504" i="3"/>
  <c r="K502" i="3"/>
  <c r="K501" i="3"/>
  <c r="K500" i="3" s="1"/>
  <c r="K499" i="3"/>
  <c r="K498" i="3" s="1"/>
  <c r="K497" i="3"/>
  <c r="K496" i="3" s="1"/>
  <c r="K495" i="3"/>
  <c r="K494" i="3" s="1"/>
  <c r="K493" i="3"/>
  <c r="K492" i="3" s="1"/>
  <c r="K491" i="3"/>
  <c r="K490" i="3" s="1"/>
  <c r="K484" i="3"/>
  <c r="K483" i="3" s="1"/>
  <c r="K482" i="3" s="1"/>
  <c r="K480" i="3"/>
  <c r="K479" i="3" s="1"/>
  <c r="K478" i="3"/>
  <c r="K477" i="3" s="1"/>
  <c r="K476" i="3" s="1"/>
  <c r="K469" i="3"/>
  <c r="K468" i="3" s="1"/>
  <c r="K467" i="3"/>
  <c r="K466" i="3" s="1"/>
  <c r="K460" i="3"/>
  <c r="K459" i="3" s="1"/>
  <c r="K458" i="3" s="1"/>
  <c r="K457" i="3" s="1"/>
  <c r="K456" i="3" s="1"/>
  <c r="K455" i="3" s="1"/>
  <c r="K454" i="3" s="1"/>
  <c r="K452" i="3"/>
  <c r="K451" i="3" s="1"/>
  <c r="K450" i="3" s="1"/>
  <c r="K449" i="3" s="1"/>
  <c r="K448" i="3" s="1"/>
  <c r="K447" i="3"/>
  <c r="K446" i="3" s="1"/>
  <c r="K445" i="3"/>
  <c r="K444" i="3" s="1"/>
  <c r="K439" i="3"/>
  <c r="K438" i="3" s="1"/>
  <c r="K437" i="3"/>
  <c r="K436" i="3" s="1"/>
  <c r="K430" i="3"/>
  <c r="K429" i="3" s="1"/>
  <c r="K427" i="3"/>
  <c r="K420" i="3"/>
  <c r="K419" i="3" s="1"/>
  <c r="K418" i="3" s="1"/>
  <c r="K417" i="3"/>
  <c r="K416" i="3" s="1"/>
  <c r="K415" i="3" s="1"/>
  <c r="K414" i="3" s="1"/>
  <c r="K409" i="3"/>
  <c r="K408" i="3" s="1"/>
  <c r="K407" i="3" s="1"/>
  <c r="K406" i="3" s="1"/>
  <c r="K405" i="3"/>
  <c r="K404" i="3"/>
  <c r="K403" i="3" s="1"/>
  <c r="K402" i="3" s="1"/>
  <c r="K401" i="3" s="1"/>
  <c r="K400" i="3" s="1"/>
  <c r="K399" i="3"/>
  <c r="K398" i="3" s="1"/>
  <c r="K397" i="3" s="1"/>
  <c r="K396" i="3" s="1"/>
  <c r="K395" i="3" s="1"/>
  <c r="K394" i="3"/>
  <c r="K393" i="3"/>
  <c r="K392" i="3"/>
  <c r="K388" i="3"/>
  <c r="K387" i="3" s="1"/>
  <c r="K386" i="3" s="1"/>
  <c r="K385" i="3"/>
  <c r="K384" i="3" s="1"/>
  <c r="K383" i="3" s="1"/>
  <c r="K382" i="3"/>
  <c r="K381" i="3" s="1"/>
  <c r="K380" i="3"/>
  <c r="K379" i="3" s="1"/>
  <c r="K377" i="3"/>
  <c r="K375" i="3" s="1"/>
  <c r="K374" i="3"/>
  <c r="K373" i="3"/>
  <c r="K372" i="3"/>
  <c r="K368" i="3"/>
  <c r="K367" i="3" s="1"/>
  <c r="K366" i="3" s="1"/>
  <c r="K365" i="3"/>
  <c r="K364" i="3" s="1"/>
  <c r="K363" i="3" s="1"/>
  <c r="K356" i="3"/>
  <c r="K355" i="3" s="1"/>
  <c r="K354" i="3" s="1"/>
  <c r="K353" i="3" s="1"/>
  <c r="K352" i="3" s="1"/>
  <c r="K351" i="3" s="1"/>
  <c r="K349" i="3"/>
  <c r="K348" i="3"/>
  <c r="K347" i="3"/>
  <c r="K346" i="3"/>
  <c r="K338" i="3"/>
  <c r="K337" i="3" s="1"/>
  <c r="K336" i="3" s="1"/>
  <c r="K335" i="3" s="1"/>
  <c r="K334" i="3" s="1"/>
  <c r="K333" i="3" s="1"/>
  <c r="K331" i="3"/>
  <c r="K330" i="3" s="1"/>
  <c r="K329" i="3" s="1"/>
  <c r="K328" i="3" s="1"/>
  <c r="K327" i="3" s="1"/>
  <c r="K325" i="3"/>
  <c r="K324" i="3" s="1"/>
  <c r="K323" i="3" s="1"/>
  <c r="K322" i="3" s="1"/>
  <c r="K321" i="3" s="1"/>
  <c r="K320" i="3" s="1"/>
  <c r="K319" i="3" s="1"/>
  <c r="K318" i="3"/>
  <c r="K317" i="3" s="1"/>
  <c r="K316" i="3" s="1"/>
  <c r="K315" i="3"/>
  <c r="K314" i="3" s="1"/>
  <c r="K313" i="3" s="1"/>
  <c r="K311" i="3"/>
  <c r="K310" i="3" s="1"/>
  <c r="K306" i="3"/>
  <c r="K305" i="3" s="1"/>
  <c r="K304" i="3" s="1"/>
  <c r="K302" i="3"/>
  <c r="K301" i="3"/>
  <c r="K292" i="3"/>
  <c r="K291" i="3" s="1"/>
  <c r="K290" i="3" s="1"/>
  <c r="K289" i="3" s="1"/>
  <c r="K287" i="3"/>
  <c r="K286" i="3" s="1"/>
  <c r="K284" i="3"/>
  <c r="K283" i="3" s="1"/>
  <c r="K281" i="3"/>
  <c r="K280" i="3" s="1"/>
  <c r="K278" i="3"/>
  <c r="K277" i="3" s="1"/>
  <c r="K275" i="3"/>
  <c r="K274" i="3" s="1"/>
  <c r="K272" i="3"/>
  <c r="K271" i="3" s="1"/>
  <c r="K269" i="3"/>
  <c r="K268" i="3" s="1"/>
  <c r="K266" i="3"/>
  <c r="K265" i="3" s="1"/>
  <c r="K263" i="3"/>
  <c r="K262" i="3" s="1"/>
  <c r="K260" i="3"/>
  <c r="K259" i="3" s="1"/>
  <c r="K257" i="3"/>
  <c r="K256" i="3" s="1"/>
  <c r="K254" i="3"/>
  <c r="K253" i="3" s="1"/>
  <c r="K251" i="3"/>
  <c r="K250" i="3" s="1"/>
  <c r="K248" i="3"/>
  <c r="K247" i="3" s="1"/>
  <c r="K245" i="3"/>
  <c r="K244" i="3" s="1"/>
  <c r="K243" i="3"/>
  <c r="K242" i="3" s="1"/>
  <c r="K241" i="3" s="1"/>
  <c r="K239" i="3"/>
  <c r="K238" i="3" s="1"/>
  <c r="K237" i="3"/>
  <c r="K236" i="3" s="1"/>
  <c r="K235" i="3" s="1"/>
  <c r="K229" i="3"/>
  <c r="K228" i="3" s="1"/>
  <c r="K227" i="3" s="1"/>
  <c r="K226" i="3" s="1"/>
  <c r="K225" i="3" s="1"/>
  <c r="K224" i="3" s="1"/>
  <c r="K223" i="3"/>
  <c r="K222" i="3" s="1"/>
  <c r="K221" i="3" s="1"/>
  <c r="K220" i="3" s="1"/>
  <c r="K219" i="3" s="1"/>
  <c r="K218" i="3" s="1"/>
  <c r="K211" i="3"/>
  <c r="K210" i="3" s="1"/>
  <c r="K209" i="3" s="1"/>
  <c r="K208" i="3" s="1"/>
  <c r="K207" i="3" s="1"/>
  <c r="K206" i="3"/>
  <c r="K205" i="3" s="1"/>
  <c r="K204" i="3" s="1"/>
  <c r="K203" i="3" s="1"/>
  <c r="K202" i="3" s="1"/>
  <c r="K201" i="3" s="1"/>
  <c r="K199" i="3"/>
  <c r="K198" i="3" s="1"/>
  <c r="K197" i="3" s="1"/>
  <c r="K196" i="3" s="1"/>
  <c r="K195" i="3" s="1"/>
  <c r="K194" i="3" s="1"/>
  <c r="K193" i="3" s="1"/>
  <c r="K192" i="3"/>
  <c r="K191" i="3" s="1"/>
  <c r="K190" i="3" s="1"/>
  <c r="K189" i="3" s="1"/>
  <c r="K188" i="3" s="1"/>
  <c r="K187" i="3" s="1"/>
  <c r="K186" i="3"/>
  <c r="K185" i="3" s="1"/>
  <c r="K184" i="3"/>
  <c r="K183" i="3" s="1"/>
  <c r="K182" i="3"/>
  <c r="K181" i="3" s="1"/>
  <c r="K175" i="3"/>
  <c r="K174" i="3" s="1"/>
  <c r="K173" i="3" s="1"/>
  <c r="K172" i="3"/>
  <c r="K171" i="3" s="1"/>
  <c r="K170" i="3"/>
  <c r="K169" i="3" s="1"/>
  <c r="K164" i="3"/>
  <c r="K162" i="3"/>
  <c r="K161" i="3"/>
  <c r="K160" i="3" s="1"/>
  <c r="K156" i="3"/>
  <c r="K155" i="3" s="1"/>
  <c r="K154" i="3" s="1"/>
  <c r="K153" i="3" s="1"/>
  <c r="K152" i="3"/>
  <c r="K151" i="3" s="1"/>
  <c r="K150" i="3" s="1"/>
  <c r="K149" i="3" s="1"/>
  <c r="K146" i="3"/>
  <c r="K145" i="3" s="1"/>
  <c r="K144" i="3" s="1"/>
  <c r="K143" i="3" s="1"/>
  <c r="K142" i="3" s="1"/>
  <c r="K141" i="3" s="1"/>
  <c r="K139" i="3"/>
  <c r="K138" i="3" s="1"/>
  <c r="K136" i="3"/>
  <c r="K135" i="3" s="1"/>
  <c r="K129" i="3"/>
  <c r="K128" i="3" s="1"/>
  <c r="K127" i="3" s="1"/>
  <c r="K126" i="3"/>
  <c r="K125" i="3" s="1"/>
  <c r="K124" i="3" s="1"/>
  <c r="K123" i="3"/>
  <c r="K122" i="3"/>
  <c r="K117" i="3"/>
  <c r="K116" i="3" s="1"/>
  <c r="K115" i="3" s="1"/>
  <c r="K113" i="3"/>
  <c r="K112" i="3"/>
  <c r="K111" i="3" s="1"/>
  <c r="K105" i="3"/>
  <c r="K103" i="3"/>
  <c r="K102" i="3"/>
  <c r="K101" i="3" s="1"/>
  <c r="K99" i="3"/>
  <c r="K93" i="3"/>
  <c r="K92" i="3" s="1"/>
  <c r="K91" i="3"/>
  <c r="K90" i="3" s="1"/>
  <c r="K87" i="3"/>
  <c r="K86" i="3" s="1"/>
  <c r="K85" i="3"/>
  <c r="K84" i="3"/>
  <c r="K83" i="3"/>
  <c r="K80" i="3"/>
  <c r="K79" i="3" s="1"/>
  <c r="K78" i="3" s="1"/>
  <c r="K77" i="3"/>
  <c r="K76" i="3" s="1"/>
  <c r="K75" i="3"/>
  <c r="K74" i="3" s="1"/>
  <c r="K72" i="3"/>
  <c r="K71" i="3"/>
  <c r="K66" i="3"/>
  <c r="K65" i="3" s="1"/>
  <c r="K64" i="3" s="1"/>
  <c r="K63" i="3" s="1"/>
  <c r="K62" i="3" s="1"/>
  <c r="K61" i="3"/>
  <c r="K60" i="3" s="1"/>
  <c r="K59" i="3" s="1"/>
  <c r="K58" i="3" s="1"/>
  <c r="K57" i="3" s="1"/>
  <c r="K55" i="3"/>
  <c r="K54" i="3" s="1"/>
  <c r="K53" i="3" s="1"/>
  <c r="K52" i="3" s="1"/>
  <c r="K51" i="3" s="1"/>
  <c r="K49" i="3"/>
  <c r="K48" i="3" s="1"/>
  <c r="K47" i="3" s="1"/>
  <c r="K46" i="3" s="1"/>
  <c r="K45" i="3" s="1"/>
  <c r="K43" i="3"/>
  <c r="K42" i="3" s="1"/>
  <c r="K41" i="3"/>
  <c r="K40" i="3"/>
  <c r="K36" i="3"/>
  <c r="K34" i="3"/>
  <c r="K32" i="3"/>
  <c r="K31" i="3"/>
  <c r="K30" i="3"/>
  <c r="K29" i="3"/>
  <c r="K28" i="3"/>
  <c r="K22" i="3"/>
  <c r="K21" i="3" s="1"/>
  <c r="K20" i="3" s="1"/>
  <c r="K19" i="3" s="1"/>
  <c r="K18" i="3" s="1"/>
  <c r="K17" i="3" s="1"/>
  <c r="K529" i="3" l="1"/>
  <c r="K39" i="3"/>
  <c r="K550" i="3"/>
  <c r="K120" i="3"/>
  <c r="K119" i="3" s="1"/>
  <c r="K118" i="3" s="1"/>
  <c r="K712" i="3"/>
  <c r="K711" i="3" s="1"/>
  <c r="K70" i="3"/>
  <c r="K69" i="3" s="1"/>
  <c r="K581" i="3"/>
  <c r="K631" i="3"/>
  <c r="K885" i="3"/>
  <c r="K588" i="3"/>
  <c r="K725" i="3"/>
  <c r="K724" i="3" s="1"/>
  <c r="K723" i="3" s="1"/>
  <c r="K644" i="3"/>
  <c r="K326" i="3"/>
  <c r="K610" i="3"/>
  <c r="K609" i="3" s="1"/>
  <c r="K200" i="3"/>
  <c r="K27" i="3"/>
  <c r="K391" i="3"/>
  <c r="K390" i="3" s="1"/>
  <c r="K389" i="3" s="1"/>
  <c r="K660" i="3"/>
  <c r="K659" i="3" s="1"/>
  <c r="K658" i="3" s="1"/>
  <c r="K657" i="3" s="1"/>
  <c r="K656" i="3" s="1"/>
  <c r="K649" i="3" s="1"/>
  <c r="K888" i="3"/>
  <c r="K510" i="3"/>
  <c r="K509" i="3" s="1"/>
  <c r="K508" i="3" s="1"/>
  <c r="K676" i="3"/>
  <c r="K675" i="3" s="1"/>
  <c r="K674" i="3" s="1"/>
  <c r="K673" i="3" s="1"/>
  <c r="K82" i="3"/>
  <c r="K81" i="3" s="1"/>
  <c r="K159" i="3"/>
  <c r="K158" i="3" s="1"/>
  <c r="K157" i="3" s="1"/>
  <c r="K738" i="3"/>
  <c r="K180" i="3"/>
  <c r="K179" i="3" s="1"/>
  <c r="K555" i="3"/>
  <c r="K627" i="3"/>
  <c r="K371" i="3"/>
  <c r="K370" i="3" s="1"/>
  <c r="K369" i="3" s="1"/>
  <c r="K413" i="3"/>
  <c r="K412" i="3" s="1"/>
  <c r="K411" i="3" s="1"/>
  <c r="K426" i="3"/>
  <c r="K425" i="3" s="1"/>
  <c r="K424" i="3" s="1"/>
  <c r="K423" i="3" s="1"/>
  <c r="K422" i="3" s="1"/>
  <c r="K110" i="3"/>
  <c r="K300" i="3"/>
  <c r="K299" i="3" s="1"/>
  <c r="K298" i="3" s="1"/>
  <c r="K297" i="3" s="1"/>
  <c r="K296" i="3" s="1"/>
  <c r="K521" i="3"/>
  <c r="K546" i="3"/>
  <c r="K567" i="3"/>
  <c r="K593" i="3"/>
  <c r="K687" i="3"/>
  <c r="K686" i="3" s="1"/>
  <c r="K685" i="3" s="1"/>
  <c r="K742" i="3"/>
  <c r="K764" i="3"/>
  <c r="K763" i="3" s="1"/>
  <c r="K779" i="3"/>
  <c r="K778" i="3" s="1"/>
  <c r="K777" i="3" s="1"/>
  <c r="K840" i="3"/>
  <c r="K839" i="3" s="1"/>
  <c r="K838" i="3" s="1"/>
  <c r="K837" i="3" s="1"/>
  <c r="K836" i="3" s="1"/>
  <c r="K850" i="3"/>
  <c r="K849" i="3" s="1"/>
  <c r="K848" i="3" s="1"/>
  <c r="K847" i="3" s="1"/>
  <c r="K846" i="3" s="1"/>
  <c r="K542" i="3"/>
  <c r="K558" i="3"/>
  <c r="K563" i="3"/>
  <c r="K771" i="3"/>
  <c r="K770" i="3" s="1"/>
  <c r="K860" i="3"/>
  <c r="K859" i="3" s="1"/>
  <c r="K858" i="3" s="1"/>
  <c r="K857" i="3" s="1"/>
  <c r="K475" i="3"/>
  <c r="K474" i="3" s="1"/>
  <c r="K473" i="3" s="1"/>
  <c r="K472" i="3" s="1"/>
  <c r="K526" i="3"/>
  <c r="K532" i="3"/>
  <c r="K698" i="3"/>
  <c r="K798" i="3"/>
  <c r="K797" i="3" s="1"/>
  <c r="K796" i="3" s="1"/>
  <c r="K791" i="3" s="1"/>
  <c r="K790" i="3" s="1"/>
  <c r="K825" i="3"/>
  <c r="K824" i="3" s="1"/>
  <c r="K823" i="3" s="1"/>
  <c r="K822" i="3" s="1"/>
  <c r="K168" i="3"/>
  <c r="K167" i="3" s="1"/>
  <c r="K166" i="3" s="1"/>
  <c r="K234" i="3"/>
  <c r="K233" i="3" s="1"/>
  <c r="K232" i="3" s="1"/>
  <c r="K231" i="3" s="1"/>
  <c r="K73" i="3"/>
  <c r="K89" i="3"/>
  <c r="K88" i="3" s="1"/>
  <c r="K134" i="3"/>
  <c r="K133" i="3" s="1"/>
  <c r="K132" i="3" s="1"/>
  <c r="K98" i="3"/>
  <c r="K97" i="3" s="1"/>
  <c r="K96" i="3" s="1"/>
  <c r="K95" i="3" s="1"/>
  <c r="K148" i="3"/>
  <c r="K109" i="3"/>
  <c r="K362" i="3"/>
  <c r="K345" i="3"/>
  <c r="K344" i="3" s="1"/>
  <c r="K343" i="3" s="1"/>
  <c r="K342" i="3" s="1"/>
  <c r="K341" i="3" s="1"/>
  <c r="K340" i="3" s="1"/>
  <c r="K435" i="3"/>
  <c r="K434" i="3" s="1"/>
  <c r="K433" i="3" s="1"/>
  <c r="K432" i="3" s="1"/>
  <c r="K443" i="3"/>
  <c r="K442" i="3" s="1"/>
  <c r="K441" i="3" s="1"/>
  <c r="K440" i="3" s="1"/>
  <c r="K667" i="3"/>
  <c r="K666" i="3"/>
  <c r="K665" i="3" s="1"/>
  <c r="K309" i="3"/>
  <c r="K308" i="3" s="1"/>
  <c r="K307" i="3" s="1"/>
  <c r="K465" i="3"/>
  <c r="K464" i="3" s="1"/>
  <c r="K463" i="3" s="1"/>
  <c r="K462" i="3" s="1"/>
  <c r="K461" i="3" s="1"/>
  <c r="K489" i="3"/>
  <c r="K488" i="3" s="1"/>
  <c r="K487" i="3" s="1"/>
  <c r="M545" i="3"/>
  <c r="K626" i="3" l="1"/>
  <c r="K625" i="3" s="1"/>
  <c r="K620" i="3" s="1"/>
  <c r="K619" i="3" s="1"/>
  <c r="K26" i="3"/>
  <c r="K25" i="3" s="1"/>
  <c r="K24" i="3" s="1"/>
  <c r="K23" i="3" s="1"/>
  <c r="K881" i="3"/>
  <c r="K880" i="3" s="1"/>
  <c r="K879" i="3" s="1"/>
  <c r="K878" i="3" s="1"/>
  <c r="K856" i="3" s="1"/>
  <c r="K855" i="3" s="1"/>
  <c r="K580" i="3"/>
  <c r="K579" i="3" s="1"/>
  <c r="K578" i="3" s="1"/>
  <c r="K577" i="3" s="1"/>
  <c r="K178" i="3"/>
  <c r="K177" i="3" s="1"/>
  <c r="K176" i="3" s="1"/>
  <c r="K672" i="3"/>
  <c r="K737" i="3"/>
  <c r="K736" i="3" s="1"/>
  <c r="K731" i="3" s="1"/>
  <c r="K730" i="3" s="1"/>
  <c r="K762" i="3"/>
  <c r="K757" i="3" s="1"/>
  <c r="K756" i="3" s="1"/>
  <c r="K755" i="3" s="1"/>
  <c r="K747" i="3" s="1"/>
  <c r="K295" i="3"/>
  <c r="K294" i="3" s="1"/>
  <c r="K431" i="3"/>
  <c r="K520" i="3"/>
  <c r="K519" i="3" s="1"/>
  <c r="K518" i="3" s="1"/>
  <c r="K517" i="3" s="1"/>
  <c r="K835" i="3"/>
  <c r="K821" i="3" s="1"/>
  <c r="K68" i="3"/>
  <c r="K67" i="3" s="1"/>
  <c r="K56" i="3" s="1"/>
  <c r="K486" i="3"/>
  <c r="K697" i="3"/>
  <c r="K696" i="3" s="1"/>
  <c r="K695" i="3" s="1"/>
  <c r="K361" i="3"/>
  <c r="K360" i="3" s="1"/>
  <c r="K359" i="3" s="1"/>
  <c r="K108" i="3"/>
  <c r="K107" i="3" s="1"/>
  <c r="K94" i="3" s="1"/>
  <c r="K147" i="3"/>
  <c r="K131" i="3" s="1"/>
  <c r="M560" i="3"/>
  <c r="K16" i="3" l="1"/>
  <c r="K15" i="3" s="1"/>
  <c r="K694" i="3"/>
  <c r="K664" i="3" s="1"/>
  <c r="K358" i="3"/>
  <c r="K485" i="3"/>
  <c r="K471" i="3" s="1"/>
  <c r="M852" i="3"/>
  <c r="M828" i="3"/>
  <c r="K14" i="3" l="1"/>
  <c r="M347" i="3"/>
  <c r="M346" i="3"/>
  <c r="M592" i="3" l="1"/>
  <c r="M682" i="3"/>
  <c r="M680" i="3"/>
  <c r="M427" i="3" l="1"/>
  <c r="L428" i="3"/>
  <c r="L427" i="3" s="1"/>
  <c r="M430" i="3"/>
  <c r="M365" i="3" l="1"/>
  <c r="E55" i="6" l="1"/>
  <c r="F55" i="6"/>
  <c r="H550" i="7" l="1"/>
  <c r="H549" i="7" s="1"/>
  <c r="H548" i="7" s="1"/>
  <c r="L230" i="3"/>
  <c r="L229" i="3" s="1"/>
  <c r="L228" i="3" s="1"/>
  <c r="L227" i="3" s="1"/>
  <c r="L226" i="3" s="1"/>
  <c r="L225" i="3" s="1"/>
  <c r="L224" i="3" s="1"/>
  <c r="M229" i="3"/>
  <c r="M228" i="3" s="1"/>
  <c r="M227" i="3" s="1"/>
  <c r="M226" i="3" s="1"/>
  <c r="M225" i="3" s="1"/>
  <c r="M224" i="3" s="1"/>
  <c r="M946" i="3" s="1"/>
  <c r="D56" i="6" s="1"/>
  <c r="D55" i="6" s="1"/>
  <c r="M152" i="3" l="1"/>
  <c r="M535" i="3" l="1"/>
  <c r="M493" i="3"/>
  <c r="M497" i="3"/>
  <c r="M512" i="3"/>
  <c r="M600" i="3" l="1"/>
  <c r="M583" i="3"/>
  <c r="M75" i="3" l="1"/>
  <c r="M30" i="3" l="1"/>
  <c r="M31" i="3"/>
  <c r="M61" i="3"/>
  <c r="M72" i="3"/>
  <c r="M85" i="3"/>
  <c r="M87" i="3"/>
  <c r="M93" i="3"/>
  <c r="M102" i="3"/>
  <c r="M117" i="3"/>
  <c r="M156" i="3"/>
  <c r="M192" i="3"/>
  <c r="M206" i="3"/>
  <c r="M523" i="3" l="1"/>
  <c r="M524" i="3"/>
  <c r="M845" i="3"/>
  <c r="M773" i="3"/>
  <c r="M380" i="3" l="1"/>
  <c r="M404" i="3"/>
  <c r="M467" i="3"/>
  <c r="M437" i="3"/>
  <c r="M774" i="3" l="1"/>
  <c r="M772" i="3"/>
  <c r="M811" i="3"/>
  <c r="M785" i="3"/>
  <c r="M405" i="3" l="1"/>
  <c r="M372" i="3" l="1"/>
  <c r="H348" i="7"/>
  <c r="H347" i="7" s="1"/>
  <c r="M311" i="3"/>
  <c r="M310" i="3" s="1"/>
  <c r="L312" i="3"/>
  <c r="L311" i="3" s="1"/>
  <c r="L310" i="3" s="1"/>
  <c r="M318" i="3" l="1"/>
  <c r="E36" i="8" l="1"/>
  <c r="E35" i="8" s="1"/>
  <c r="D36" i="8"/>
  <c r="D35" i="8" s="1"/>
  <c r="C36" i="8"/>
  <c r="C35" i="8" s="1"/>
  <c r="D17" i="8" l="1"/>
  <c r="E17" i="8"/>
  <c r="D19" i="8"/>
  <c r="E19" i="8"/>
  <c r="C19" i="8"/>
  <c r="C17" i="8"/>
  <c r="D16" i="8" l="1"/>
  <c r="D15" i="8" s="1"/>
  <c r="C16" i="8"/>
  <c r="C15" i="8" s="1"/>
  <c r="E16" i="8"/>
  <c r="E15" i="8" s="1"/>
  <c r="M544" i="3"/>
  <c r="M543" i="3"/>
  <c r="M534" i="3" l="1"/>
  <c r="M527" i="3"/>
  <c r="H191" i="7"/>
  <c r="L715" i="3"/>
  <c r="M713" i="3"/>
  <c r="M801" i="3"/>
  <c r="M890" i="3" l="1"/>
  <c r="M889" i="3"/>
  <c r="M886" i="3"/>
  <c r="M887" i="3"/>
  <c r="H642" i="7"/>
  <c r="H641" i="7" s="1"/>
  <c r="H640" i="7" s="1"/>
  <c r="H639" i="7"/>
  <c r="H638" i="7" s="1"/>
  <c r="H637" i="7" s="1"/>
  <c r="H636" i="7"/>
  <c r="H635" i="7" s="1"/>
  <c r="H634" i="7" s="1"/>
  <c r="H633" i="7"/>
  <c r="H632" i="7" s="1"/>
  <c r="H631" i="7" s="1"/>
  <c r="H630" i="7"/>
  <c r="H629" i="7" s="1"/>
  <c r="H628" i="7" s="1"/>
  <c r="H627" i="7"/>
  <c r="H626" i="7" s="1"/>
  <c r="H625" i="7" s="1"/>
  <c r="M287" i="3"/>
  <c r="M286" i="3" s="1"/>
  <c r="M284" i="3"/>
  <c r="M283" i="3" s="1"/>
  <c r="M281" i="3"/>
  <c r="M280" i="3" s="1"/>
  <c r="M278" i="3"/>
  <c r="M277" i="3" s="1"/>
  <c r="M275" i="3"/>
  <c r="M274" i="3" s="1"/>
  <c r="M272" i="3"/>
  <c r="M271" i="3" s="1"/>
  <c r="L288" i="3" l="1"/>
  <c r="L287" i="3" s="1"/>
  <c r="L286" i="3" s="1"/>
  <c r="L285" i="3"/>
  <c r="L284" i="3" s="1"/>
  <c r="L283" i="3" s="1"/>
  <c r="L282" i="3"/>
  <c r="L281" i="3" s="1"/>
  <c r="L280" i="3" s="1"/>
  <c r="L279" i="3"/>
  <c r="L278" i="3" s="1"/>
  <c r="L277" i="3" s="1"/>
  <c r="L276" i="3"/>
  <c r="L275" i="3" s="1"/>
  <c r="L274" i="3" s="1"/>
  <c r="L273" i="3"/>
  <c r="L272" i="3" s="1"/>
  <c r="L271" i="3" s="1"/>
  <c r="M123" i="3"/>
  <c r="M122" i="3"/>
  <c r="K602" i="19" l="1"/>
  <c r="K601" i="19" s="1"/>
  <c r="K598" i="19"/>
  <c r="K595" i="19"/>
  <c r="K592" i="19"/>
  <c r="K586" i="19"/>
  <c r="K585" i="19" s="1"/>
  <c r="K582" i="19"/>
  <c r="K579" i="19"/>
  <c r="K577" i="19"/>
  <c r="K574" i="19"/>
  <c r="K571" i="19"/>
  <c r="K560" i="19"/>
  <c r="K559" i="19" s="1"/>
  <c r="K558" i="19" s="1"/>
  <c r="K557" i="19" s="1"/>
  <c r="K556" i="19" s="1"/>
  <c r="K552" i="19"/>
  <c r="K551" i="19" s="1"/>
  <c r="K550" i="19" s="1"/>
  <c r="K549" i="19" s="1"/>
  <c r="K548" i="19" s="1"/>
  <c r="K545" i="19"/>
  <c r="K544" i="19" s="1"/>
  <c r="K542" i="19"/>
  <c r="K541" i="19" s="1"/>
  <c r="K539" i="19"/>
  <c r="K538" i="19" s="1"/>
  <c r="K528" i="19"/>
  <c r="K527" i="19" s="1"/>
  <c r="K526" i="19" s="1"/>
  <c r="K525" i="19" s="1"/>
  <c r="K524" i="19" s="1"/>
  <c r="K523" i="19"/>
  <c r="K522" i="19" s="1"/>
  <c r="K520" i="19"/>
  <c r="K518" i="19"/>
  <c r="K516" i="19"/>
  <c r="K514" i="19" s="1"/>
  <c r="K511" i="19"/>
  <c r="K510" i="19"/>
  <c r="K509" i="19" s="1"/>
  <c r="K508" i="19" s="1"/>
  <c r="K504" i="19"/>
  <c r="K503" i="19" s="1"/>
  <c r="K502" i="19" s="1"/>
  <c r="K500" i="19"/>
  <c r="K499" i="19" s="1"/>
  <c r="K498" i="19" s="1"/>
  <c r="K494" i="19"/>
  <c r="K490" i="19"/>
  <c r="K489" i="19" s="1"/>
  <c r="K488" i="19" s="1"/>
  <c r="K487" i="19" s="1"/>
  <c r="K486" i="19" s="1"/>
  <c r="K483" i="19"/>
  <c r="K482" i="19" s="1"/>
  <c r="K481" i="19" s="1"/>
  <c r="K480" i="19" s="1"/>
  <c r="K479" i="19" s="1"/>
  <c r="K478" i="19" s="1"/>
  <c r="K472" i="19"/>
  <c r="K468" i="19"/>
  <c r="K463" i="19"/>
  <c r="K462" i="19" s="1"/>
  <c r="K461" i="19"/>
  <c r="K460" i="19" s="1"/>
  <c r="K456" i="19"/>
  <c r="K455" i="19" s="1"/>
  <c r="K454" i="19"/>
  <c r="K453" i="19" s="1"/>
  <c r="K451" i="19"/>
  <c r="K450" i="19" s="1"/>
  <c r="K444" i="19"/>
  <c r="K443" i="19" s="1"/>
  <c r="K441" i="19"/>
  <c r="K435" i="19"/>
  <c r="K433" i="19"/>
  <c r="K426" i="19"/>
  <c r="K425" i="19" s="1"/>
  <c r="K424" i="19" s="1"/>
  <c r="K423" i="19" s="1"/>
  <c r="K422" i="19" s="1"/>
  <c r="K421" i="19" s="1"/>
  <c r="K416" i="19"/>
  <c r="K415" i="19" s="1"/>
  <c r="K414" i="19" s="1"/>
  <c r="K413" i="19" s="1"/>
  <c r="K412" i="19" s="1"/>
  <c r="K411" i="19" s="1"/>
  <c r="K409" i="19"/>
  <c r="K408" i="19"/>
  <c r="K407" i="19" s="1"/>
  <c r="K403" i="19"/>
  <c r="K401" i="19"/>
  <c r="K396" i="19"/>
  <c r="K392" i="19"/>
  <c r="K391" i="19" s="1"/>
  <c r="K386" i="19"/>
  <c r="K384" i="19"/>
  <c r="K383" i="19"/>
  <c r="K382" i="19"/>
  <c r="K380" i="19"/>
  <c r="K379" i="19"/>
  <c r="K378" i="19"/>
  <c r="K377" i="19"/>
  <c r="K369" i="19"/>
  <c r="K368" i="19" s="1"/>
  <c r="K367" i="19" s="1"/>
  <c r="K364" i="19"/>
  <c r="K360" i="19"/>
  <c r="K358" i="19"/>
  <c r="K357" i="19"/>
  <c r="K356" i="19"/>
  <c r="K355" i="19" s="1"/>
  <c r="K351" i="19"/>
  <c r="K348" i="19"/>
  <c r="K347" i="19"/>
  <c r="K345" i="19"/>
  <c r="K344" i="19" s="1"/>
  <c r="K324" i="19" s="1"/>
  <c r="K323" i="19" s="1"/>
  <c r="K340" i="19"/>
  <c r="K337" i="19"/>
  <c r="K333" i="19"/>
  <c r="K330" i="19"/>
  <c r="K325" i="19"/>
  <c r="K319" i="19"/>
  <c r="K318" i="19" s="1"/>
  <c r="K317" i="19" s="1"/>
  <c r="K316" i="19" s="1"/>
  <c r="K315" i="19"/>
  <c r="K314" i="19" s="1"/>
  <c r="K312" i="19"/>
  <c r="K310" i="19"/>
  <c r="K308" i="19"/>
  <c r="K301" i="19"/>
  <c r="K300" i="19" s="1"/>
  <c r="K298" i="19"/>
  <c r="K297" i="19" s="1"/>
  <c r="K295" i="19"/>
  <c r="K294" i="19" s="1"/>
  <c r="K287" i="19"/>
  <c r="K286" i="19"/>
  <c r="K285" i="19" s="1"/>
  <c r="K284" i="19" s="1"/>
  <c r="K283" i="19" s="1"/>
  <c r="K282" i="19" s="1"/>
  <c r="K281" i="19" s="1"/>
  <c r="K280" i="19"/>
  <c r="K279" i="19" s="1"/>
  <c r="K278" i="19"/>
  <c r="K277" i="19" s="1"/>
  <c r="K276" i="19" s="1"/>
  <c r="K275" i="19" s="1"/>
  <c r="K274" i="19" s="1"/>
  <c r="K273" i="19" s="1"/>
  <c r="K272" i="19" s="1"/>
  <c r="K270" i="19"/>
  <c r="K269" i="19"/>
  <c r="K268" i="19" s="1"/>
  <c r="K262" i="19"/>
  <c r="K261" i="19" s="1"/>
  <c r="K260" i="19" s="1"/>
  <c r="K259" i="19" s="1"/>
  <c r="K258" i="19" s="1"/>
  <c r="K256" i="19"/>
  <c r="K255" i="19" s="1"/>
  <c r="K254" i="19" s="1"/>
  <c r="K253" i="19" s="1"/>
  <c r="K252" i="19" s="1"/>
  <c r="K251" i="19" s="1"/>
  <c r="K250" i="19" s="1"/>
  <c r="K247" i="19"/>
  <c r="K246" i="19"/>
  <c r="K245" i="19" s="1"/>
  <c r="K244" i="19" s="1"/>
  <c r="K243" i="19"/>
  <c r="K242" i="19" s="1"/>
  <c r="K241" i="19" s="1"/>
  <c r="K240" i="19" s="1"/>
  <c r="K238" i="19"/>
  <c r="K237" i="19"/>
  <c r="K236" i="19"/>
  <c r="K235" i="19"/>
  <c r="K234" i="19" s="1"/>
  <c r="K233" i="19"/>
  <c r="K232" i="19" s="1"/>
  <c r="K230" i="19"/>
  <c r="K228" i="19" s="1"/>
  <c r="K226" i="19"/>
  <c r="K224" i="19" s="1"/>
  <c r="K221" i="19"/>
  <c r="K220" i="19" s="1"/>
  <c r="K219" i="19" s="1"/>
  <c r="K218" i="19" s="1"/>
  <c r="K209" i="19"/>
  <c r="K208" i="19" s="1"/>
  <c r="K207" i="19" s="1"/>
  <c r="K206" i="19" s="1"/>
  <c r="K205" i="19" s="1"/>
  <c r="K204" i="19" s="1"/>
  <c r="K201" i="19"/>
  <c r="K200" i="19" s="1"/>
  <c r="K199" i="19" s="1"/>
  <c r="K198" i="19" s="1"/>
  <c r="K197" i="19" s="1"/>
  <c r="K196" i="19" s="1"/>
  <c r="K194" i="19"/>
  <c r="K193" i="19" s="1"/>
  <c r="K192" i="19" s="1"/>
  <c r="K191" i="19" s="1"/>
  <c r="K190" i="19" s="1"/>
  <c r="K189" i="19" s="1"/>
  <c r="K187" i="19"/>
  <c r="K186" i="19" s="1"/>
  <c r="K184" i="19"/>
  <c r="K183" i="19" s="1"/>
  <c r="K176" i="19"/>
  <c r="K175" i="19" s="1"/>
  <c r="K174" i="19" s="1"/>
  <c r="K173" i="19" s="1"/>
  <c r="K172" i="19" s="1"/>
  <c r="K167" i="19"/>
  <c r="K166" i="19" s="1"/>
  <c r="K165" i="19" s="1"/>
  <c r="K164" i="19" s="1"/>
  <c r="K163" i="19" s="1"/>
  <c r="K161" i="19"/>
  <c r="K160" i="19" s="1"/>
  <c r="K159" i="19" s="1"/>
  <c r="K158" i="19" s="1"/>
  <c r="K157" i="19" s="1"/>
  <c r="K154" i="19"/>
  <c r="K153" i="19" s="1"/>
  <c r="K152" i="19" s="1"/>
  <c r="K151" i="19" s="1"/>
  <c r="K150" i="19" s="1"/>
  <c r="K149" i="19" s="1"/>
  <c r="K147" i="19"/>
  <c r="K146" i="19" s="1"/>
  <c r="K145" i="19" s="1"/>
  <c r="K144" i="19" s="1"/>
  <c r="K143" i="19" s="1"/>
  <c r="K142" i="19" s="1"/>
  <c r="K141" i="19"/>
  <c r="K140" i="19"/>
  <c r="K139" i="19" s="1"/>
  <c r="K138" i="19" s="1"/>
  <c r="K137" i="19" s="1"/>
  <c r="K135" i="19"/>
  <c r="K134" i="19" s="1"/>
  <c r="K133" i="19" s="1"/>
  <c r="K132" i="19" s="1"/>
  <c r="K130" i="19"/>
  <c r="K129" i="19" s="1"/>
  <c r="K128" i="19" s="1"/>
  <c r="K126" i="19"/>
  <c r="K125" i="19" s="1"/>
  <c r="K124" i="19" s="1"/>
  <c r="K120" i="19"/>
  <c r="K119" i="19" s="1"/>
  <c r="K118" i="19" s="1"/>
  <c r="K117" i="19" s="1"/>
  <c r="K116" i="19" s="1"/>
  <c r="K114" i="19"/>
  <c r="K113" i="19" s="1"/>
  <c r="K111" i="19"/>
  <c r="K110" i="19"/>
  <c r="K104" i="19"/>
  <c r="K103" i="19" s="1"/>
  <c r="K102" i="19" s="1"/>
  <c r="K98" i="19"/>
  <c r="K97" i="19" s="1"/>
  <c r="K96" i="19" s="1"/>
  <c r="K94" i="19"/>
  <c r="K93" i="19" s="1"/>
  <c r="K91" i="19"/>
  <c r="K90" i="19" s="1"/>
  <c r="K85" i="19"/>
  <c r="K83" i="19"/>
  <c r="K82" i="19"/>
  <c r="K81" i="19" s="1"/>
  <c r="K80" i="19" s="1"/>
  <c r="K79" i="19" s="1"/>
  <c r="K77" i="19"/>
  <c r="K75" i="19"/>
  <c r="K74" i="19" s="1"/>
  <c r="K72" i="19"/>
  <c r="K69" i="19" s="1"/>
  <c r="K70" i="19"/>
  <c r="K66" i="19"/>
  <c r="K65" i="19"/>
  <c r="K61" i="19"/>
  <c r="K60" i="19" s="1"/>
  <c r="K59" i="19" s="1"/>
  <c r="K58" i="19" s="1"/>
  <c r="K56" i="19"/>
  <c r="K55" i="19" s="1"/>
  <c r="K54" i="19" s="1"/>
  <c r="K53" i="19" s="1"/>
  <c r="K52" i="19" s="1"/>
  <c r="K50" i="19"/>
  <c r="K49" i="19" s="1"/>
  <c r="K48" i="19" s="1"/>
  <c r="K47" i="19" s="1"/>
  <c r="K46" i="19" s="1"/>
  <c r="K44" i="19"/>
  <c r="K43" i="19" s="1"/>
  <c r="K40" i="19"/>
  <c r="K37" i="19"/>
  <c r="K35" i="19"/>
  <c r="K33" i="19"/>
  <c r="K31" i="19"/>
  <c r="K29" i="19" s="1"/>
  <c r="K23" i="19"/>
  <c r="K22" i="19" s="1"/>
  <c r="K21" i="19" s="1"/>
  <c r="K20" i="19" s="1"/>
  <c r="K19" i="19" s="1"/>
  <c r="K267" i="19" l="1"/>
  <c r="K266" i="19" s="1"/>
  <c r="K265" i="19" s="1"/>
  <c r="K264" i="19" s="1"/>
  <c r="K293" i="19"/>
  <c r="K292" i="19" s="1"/>
  <c r="K291" i="19" s="1"/>
  <c r="K290" i="19" s="1"/>
  <c r="K513" i="19"/>
  <c r="K512" i="19" s="1"/>
  <c r="K257" i="19"/>
  <c r="K440" i="19"/>
  <c r="K439" i="19" s="1"/>
  <c r="K438" i="19" s="1"/>
  <c r="K437" i="19" s="1"/>
  <c r="K322" i="19"/>
  <c r="K321" i="19" s="1"/>
  <c r="K182" i="19"/>
  <c r="K181" i="19" s="1"/>
  <c r="K180" i="19" s="1"/>
  <c r="K547" i="19"/>
  <c r="K89" i="19"/>
  <c r="K88" i="19" s="1"/>
  <c r="K87" i="19" s="1"/>
  <c r="K78" i="19" s="1"/>
  <c r="K376" i="19"/>
  <c r="K375" i="19" s="1"/>
  <c r="K374" i="19" s="1"/>
  <c r="K373" i="19" s="1"/>
  <c r="K372" i="19" s="1"/>
  <c r="K432" i="19"/>
  <c r="K431" i="19" s="1"/>
  <c r="K430" i="19" s="1"/>
  <c r="K429" i="19" s="1"/>
  <c r="K428" i="19" s="1"/>
  <c r="K591" i="19"/>
  <c r="K590" i="19" s="1"/>
  <c r="K589" i="19" s="1"/>
  <c r="K588" i="19" s="1"/>
  <c r="K123" i="19"/>
  <c r="K122" i="19" s="1"/>
  <c r="K467" i="19"/>
  <c r="K466" i="19" s="1"/>
  <c r="K465" i="19" s="1"/>
  <c r="K464" i="19" s="1"/>
  <c r="K570" i="19"/>
  <c r="K569" i="19" s="1"/>
  <c r="K568" i="19" s="1"/>
  <c r="K567" i="19" s="1"/>
  <c r="K28" i="19"/>
  <c r="K27" i="19" s="1"/>
  <c r="K26" i="19" s="1"/>
  <c r="K25" i="19" s="1"/>
  <c r="K171" i="19"/>
  <c r="K170" i="19" s="1"/>
  <c r="K223" i="19"/>
  <c r="K222" i="19" s="1"/>
  <c r="K217" i="19" s="1"/>
  <c r="K216" i="19" s="1"/>
  <c r="K215" i="19" s="1"/>
  <c r="K214" i="19" s="1"/>
  <c r="K307" i="19"/>
  <c r="K306" i="19" s="1"/>
  <c r="K305" i="19" s="1"/>
  <c r="K304" i="19" s="1"/>
  <c r="K381" i="19"/>
  <c r="K406" i="19"/>
  <c r="K390" i="19" s="1"/>
  <c r="K389" i="19" s="1"/>
  <c r="K388" i="19" s="1"/>
  <c r="K537" i="19"/>
  <c r="K536" i="19" s="1"/>
  <c r="K535" i="19" s="1"/>
  <c r="K534" i="19" s="1"/>
  <c r="K533" i="19" s="1"/>
  <c r="K507" i="19"/>
  <c r="K506" i="19" s="1"/>
  <c r="K109" i="19"/>
  <c r="K108" i="19" s="1"/>
  <c r="K107" i="19" s="1"/>
  <c r="K106" i="19" s="1"/>
  <c r="K449" i="19"/>
  <c r="K459" i="19"/>
  <c r="K458" i="19" s="1"/>
  <c r="K497" i="19"/>
  <c r="K496" i="19" s="1"/>
  <c r="K485" i="19" s="1"/>
  <c r="K477" i="19" s="1"/>
  <c r="K64" i="19"/>
  <c r="K63" i="19" s="1"/>
  <c r="K57" i="19" s="1"/>
  <c r="K18" i="19" s="1"/>
  <c r="K156" i="19"/>
  <c r="K303" i="19" l="1"/>
  <c r="K289" i="19" s="1"/>
  <c r="K566" i="19"/>
  <c r="K565" i="19" s="1"/>
  <c r="K17" i="19"/>
  <c r="K448" i="19"/>
  <c r="K447" i="19" s="1"/>
  <c r="K446" i="19" s="1"/>
  <c r="K420" i="19"/>
  <c r="K16" i="19" s="1"/>
  <c r="M589" i="3"/>
  <c r="M528" i="3" l="1"/>
  <c r="H100" i="7" l="1"/>
  <c r="M613" i="3"/>
  <c r="M612" i="3" s="1"/>
  <c r="M611" i="3" s="1"/>
  <c r="L614" i="3"/>
  <c r="L613" i="3" s="1"/>
  <c r="L612" i="3" s="1"/>
  <c r="L611" i="3" s="1"/>
  <c r="M531" i="3"/>
  <c r="M735" i="3" l="1"/>
  <c r="M338" i="3" l="1"/>
  <c r="M22" i="3" l="1"/>
  <c r="M700" i="3" l="1"/>
  <c r="M678" i="3"/>
  <c r="M617" i="3"/>
  <c r="M616" i="3" s="1"/>
  <c r="M615" i="3" s="1"/>
  <c r="L618" i="3"/>
  <c r="L617" i="3" s="1"/>
  <c r="L616" i="3" s="1"/>
  <c r="L615" i="3" s="1"/>
  <c r="L610" i="3" s="1"/>
  <c r="L609" i="3" s="1"/>
  <c r="M610" i="3" l="1"/>
  <c r="M609" i="3" s="1"/>
  <c r="M633" i="3"/>
  <c r="H132" i="7" s="1"/>
  <c r="M495" i="3" l="1"/>
  <c r="M175" i="3" l="1"/>
  <c r="M40" i="3"/>
  <c r="M41" i="3"/>
  <c r="M287" i="19" l="1"/>
  <c r="M516" i="19"/>
  <c r="M385" i="3" l="1"/>
  <c r="M394" i="3"/>
  <c r="M325" i="3" l="1"/>
  <c r="M315" i="3"/>
  <c r="M624" i="3"/>
  <c r="M795" i="3"/>
  <c r="H624" i="7" l="1"/>
  <c r="H623" i="7" s="1"/>
  <c r="H622" i="7" s="1"/>
  <c r="H621" i="7"/>
  <c r="H620" i="7" s="1"/>
  <c r="H619" i="7" s="1"/>
  <c r="L270" i="3"/>
  <c r="L269" i="3" s="1"/>
  <c r="L268" i="3" s="1"/>
  <c r="M269" i="3"/>
  <c r="M268" i="3" s="1"/>
  <c r="L267" i="3"/>
  <c r="L266" i="3" s="1"/>
  <c r="L265" i="3" s="1"/>
  <c r="M266" i="3"/>
  <c r="M265" i="3" s="1"/>
  <c r="M356" i="3"/>
  <c r="M585" i="3" l="1"/>
  <c r="M564" i="3" l="1"/>
  <c r="M565" i="3"/>
  <c r="M374" i="3" l="1"/>
  <c r="M373" i="3"/>
  <c r="M112" i="3"/>
  <c r="M842" i="3" l="1"/>
  <c r="M393" i="3" l="1"/>
  <c r="I206" i="18" l="1"/>
  <c r="I205" i="18" s="1"/>
  <c r="I204" i="18" s="1"/>
  <c r="I203" i="18" s="1"/>
  <c r="H206" i="18"/>
  <c r="H205" i="18" s="1"/>
  <c r="H204" i="18" s="1"/>
  <c r="H203" i="18" s="1"/>
  <c r="H310" i="18"/>
  <c r="H309" i="18" s="1"/>
  <c r="I310" i="18"/>
  <c r="I309" i="18" s="1"/>
  <c r="N286" i="19"/>
  <c r="N285" i="19" s="1"/>
  <c r="N284" i="19" s="1"/>
  <c r="N283" i="19" s="1"/>
  <c r="N282" i="19" s="1"/>
  <c r="N281" i="19" s="1"/>
  <c r="M286" i="19"/>
  <c r="M285" i="19" s="1"/>
  <c r="M284" i="19" s="1"/>
  <c r="M283" i="19" s="1"/>
  <c r="M282" i="19" s="1"/>
  <c r="M281" i="19" s="1"/>
  <c r="L287" i="19"/>
  <c r="L286" i="19" s="1"/>
  <c r="L285" i="19" s="1"/>
  <c r="L284" i="19" s="1"/>
  <c r="L283" i="19" s="1"/>
  <c r="L282" i="19" s="1"/>
  <c r="L281" i="19" s="1"/>
  <c r="N577" i="19"/>
  <c r="M577" i="19"/>
  <c r="L578" i="19"/>
  <c r="L577" i="19" s="1"/>
  <c r="N278" i="19"/>
  <c r="M278" i="19"/>
  <c r="N280" i="19"/>
  <c r="M280" i="19"/>
  <c r="N243" i="19"/>
  <c r="M243" i="19"/>
  <c r="M805" i="3"/>
  <c r="H116" i="7"/>
  <c r="M867" i="3"/>
  <c r="L868" i="3"/>
  <c r="L867" i="3" s="1"/>
  <c r="M662" i="3"/>
  <c r="M661" i="3"/>
  <c r="L599" i="3"/>
  <c r="M598" i="3"/>
  <c r="M557" i="3"/>
  <c r="M556" i="3"/>
  <c r="M552" i="3"/>
  <c r="M551" i="3"/>
  <c r="M548" i="3"/>
  <c r="M541" i="3"/>
  <c r="H40" i="7"/>
  <c r="H39" i="7" s="1"/>
  <c r="M506" i="3"/>
  <c r="L507" i="3"/>
  <c r="L506" i="3" s="1"/>
  <c r="M499" i="3"/>
  <c r="H615" i="7"/>
  <c r="H614" i="7" s="1"/>
  <c r="H613" i="7" s="1"/>
  <c r="H618" i="7"/>
  <c r="H617" i="7" s="1"/>
  <c r="H616" i="7" s="1"/>
  <c r="M260" i="3"/>
  <c r="M259" i="3" s="1"/>
  <c r="M263" i="3"/>
  <c r="M262" i="3" s="1"/>
  <c r="L264" i="3"/>
  <c r="L263" i="3" s="1"/>
  <c r="L262" i="3" s="1"/>
  <c r="L261" i="3"/>
  <c r="L260" i="3" s="1"/>
  <c r="L259" i="3" s="1"/>
  <c r="M237" i="3"/>
  <c r="M184" i="3"/>
  <c r="M182" i="3"/>
  <c r="M91" i="3"/>
  <c r="M555" i="3" l="1"/>
  <c r="M292" i="3"/>
  <c r="M720" i="3" l="1"/>
  <c r="M684" i="3"/>
  <c r="H250" i="7"/>
  <c r="H249" i="7" s="1"/>
  <c r="M806" i="3"/>
  <c r="L807" i="3"/>
  <c r="L806" i="3" s="1"/>
  <c r="M632" i="3"/>
  <c r="M628" i="3"/>
  <c r="M66" i="3" l="1"/>
  <c r="M223" i="3" l="1"/>
  <c r="M399" i="3" l="1"/>
  <c r="H353" i="7" l="1"/>
  <c r="H352" i="7" s="1"/>
  <c r="M337" i="3" l="1"/>
  <c r="M336" i="3" s="1"/>
  <c r="M335" i="3" s="1"/>
  <c r="M334" i="3" s="1"/>
  <c r="M333" i="3" s="1"/>
  <c r="L338" i="3"/>
  <c r="L337" i="3" s="1"/>
  <c r="L336" i="3" s="1"/>
  <c r="L335" i="3" s="1"/>
  <c r="L334" i="3" s="1"/>
  <c r="L333" i="3" s="1"/>
  <c r="M702" i="3" l="1"/>
  <c r="M391" i="3" l="1"/>
  <c r="H612" i="7"/>
  <c r="H611" i="7" s="1"/>
  <c r="H610" i="7" s="1"/>
  <c r="H609" i="7"/>
  <c r="H608" i="7" s="1"/>
  <c r="H607" i="7" s="1"/>
  <c r="M254" i="3"/>
  <c r="M253" i="3" s="1"/>
  <c r="M257" i="3"/>
  <c r="M256" i="3" s="1"/>
  <c r="L258" i="3"/>
  <c r="L257" i="3" s="1"/>
  <c r="L256" i="3" s="1"/>
  <c r="L255" i="3"/>
  <c r="L254" i="3" s="1"/>
  <c r="L253" i="3" s="1"/>
  <c r="H606" i="7" l="1"/>
  <c r="H605" i="7" s="1"/>
  <c r="H604" i="7" s="1"/>
  <c r="M251" i="3"/>
  <c r="M250" i="3" s="1"/>
  <c r="L252" i="3"/>
  <c r="L251" i="3" s="1"/>
  <c r="L250" i="3" s="1"/>
  <c r="M243" i="3"/>
  <c r="M743" i="3" l="1"/>
  <c r="M417" i="3" l="1"/>
  <c r="M420" i="3" l="1"/>
  <c r="M419" i="3" s="1"/>
  <c r="M418" i="3" s="1"/>
  <c r="L421" i="3"/>
  <c r="L420" i="3" s="1"/>
  <c r="L419" i="3" s="1"/>
  <c r="L418" i="3" s="1"/>
  <c r="M478" i="3" l="1"/>
  <c r="M484" i="3"/>
  <c r="M377" i="3" l="1"/>
  <c r="M603" i="3" l="1"/>
  <c r="M851" i="3" l="1"/>
  <c r="M739" i="3"/>
  <c r="M727" i="3"/>
  <c r="M740" i="3"/>
  <c r="M382" i="3"/>
  <c r="H399" i="7"/>
  <c r="M655" i="3" l="1"/>
  <c r="M554" i="3"/>
  <c r="H34" i="7"/>
  <c r="H33" i="7" s="1"/>
  <c r="M502" i="3"/>
  <c r="L503" i="3"/>
  <c r="L502" i="3" s="1"/>
  <c r="C34" i="8" l="1"/>
  <c r="M186" i="3" l="1"/>
  <c r="I190" i="18" l="1"/>
  <c r="I189" i="18" s="1"/>
  <c r="H190" i="18"/>
  <c r="H189" i="18" s="1"/>
  <c r="N504" i="19"/>
  <c r="N503" i="19" s="1"/>
  <c r="N502" i="19" s="1"/>
  <c r="M504" i="19"/>
  <c r="M503" i="19" s="1"/>
  <c r="M502" i="19" s="1"/>
  <c r="L505" i="19"/>
  <c r="L504" i="19" s="1"/>
  <c r="L503" i="19" s="1"/>
  <c r="L502" i="19" s="1"/>
  <c r="H252" i="7"/>
  <c r="H251" i="7" s="1"/>
  <c r="M788" i="3"/>
  <c r="M787" i="3" s="1"/>
  <c r="M786" i="3" s="1"/>
  <c r="L789" i="3"/>
  <c r="L788" i="3" s="1"/>
  <c r="L787" i="3" s="1"/>
  <c r="L786" i="3" s="1"/>
  <c r="M525" i="3"/>
  <c r="H38" i="7"/>
  <c r="H37" i="7" s="1"/>
  <c r="M504" i="3" l="1"/>
  <c r="L505" i="3"/>
  <c r="L504" i="3" s="1"/>
  <c r="H600" i="7"/>
  <c r="H599" i="7" s="1"/>
  <c r="H598" i="7" s="1"/>
  <c r="M248" i="3"/>
  <c r="M247" i="3" s="1"/>
  <c r="L249" i="3"/>
  <c r="L248" i="3" s="1"/>
  <c r="L247" i="3" s="1"/>
  <c r="H603" i="7"/>
  <c r="H602" i="7" s="1"/>
  <c r="H601" i="7" s="1"/>
  <c r="M409" i="3"/>
  <c r="M408" i="3" s="1"/>
  <c r="M407" i="3" s="1"/>
  <c r="M406" i="3" s="1"/>
  <c r="L410" i="3"/>
  <c r="L409" i="3" s="1"/>
  <c r="L408" i="3" s="1"/>
  <c r="L407" i="3" s="1"/>
  <c r="L406" i="3" s="1"/>
  <c r="H442" i="7" l="1"/>
  <c r="H441" i="7" s="1"/>
  <c r="H440" i="7" s="1"/>
  <c r="M590" i="3" l="1"/>
  <c r="M530" i="3"/>
  <c r="L655" i="3"/>
  <c r="L654" i="3" s="1"/>
  <c r="L653" i="3" s="1"/>
  <c r="L652" i="3" s="1"/>
  <c r="L651" i="3" s="1"/>
  <c r="L650" i="3" s="1"/>
  <c r="M654" i="3"/>
  <c r="M653" i="3" s="1"/>
  <c r="M652" i="3" s="1"/>
  <c r="M651" i="3" s="1"/>
  <c r="M650" i="3" s="1"/>
  <c r="M638" i="3" l="1"/>
  <c r="M636" i="3" s="1"/>
  <c r="M300" i="3" l="1"/>
  <c r="M299" i="3" s="1"/>
  <c r="M576" i="3" l="1"/>
  <c r="M575" i="3" s="1"/>
  <c r="M843" i="3" l="1"/>
  <c r="M256" i="19"/>
  <c r="H343" i="18" s="1"/>
  <c r="H342" i="18" s="1"/>
  <c r="H341" i="18" s="1"/>
  <c r="H340" i="18" s="1"/>
  <c r="I343" i="18"/>
  <c r="I342" i="18" s="1"/>
  <c r="I341" i="18" s="1"/>
  <c r="I340" i="18" s="1"/>
  <c r="N255" i="19"/>
  <c r="N254" i="19" s="1"/>
  <c r="N253" i="19" s="1"/>
  <c r="N252" i="19" s="1"/>
  <c r="N251" i="19" s="1"/>
  <c r="M236" i="19"/>
  <c r="M230" i="19"/>
  <c r="M226" i="19"/>
  <c r="M233" i="19"/>
  <c r="M221" i="19"/>
  <c r="M306" i="3"/>
  <c r="M718" i="3"/>
  <c r="L256" i="19" l="1"/>
  <c r="L255" i="19" s="1"/>
  <c r="L254" i="19" s="1"/>
  <c r="L253" i="19" s="1"/>
  <c r="L252" i="19" s="1"/>
  <c r="L251" i="19" s="1"/>
  <c r="L250" i="19" s="1"/>
  <c r="M255" i="19"/>
  <c r="M254" i="19" s="1"/>
  <c r="M253" i="19" s="1"/>
  <c r="M252" i="19" s="1"/>
  <c r="M251" i="19" s="1"/>
  <c r="M250" i="19" s="1"/>
  <c r="N629" i="19"/>
  <c r="N250" i="19"/>
  <c r="M629" i="19" l="1"/>
  <c r="M587" i="3"/>
  <c r="M31" i="19"/>
  <c r="M141" i="19"/>
  <c r="M172" i="3"/>
  <c r="H439" i="7"/>
  <c r="H438" i="7" s="1"/>
  <c r="H437" i="7" s="1"/>
  <c r="M211" i="3"/>
  <c r="M210" i="3" s="1"/>
  <c r="M209" i="3" s="1"/>
  <c r="L212" i="3"/>
  <c r="L211" i="3" s="1"/>
  <c r="L210" i="3" s="1"/>
  <c r="L209" i="3" s="1"/>
  <c r="M208" i="3" l="1"/>
  <c r="L208" i="3"/>
  <c r="L207" i="3" s="1"/>
  <c r="I427" i="18"/>
  <c r="I426" i="18" s="1"/>
  <c r="I425" i="18" s="1"/>
  <c r="H427" i="18"/>
  <c r="H426" i="18" s="1"/>
  <c r="H425" i="18" s="1"/>
  <c r="N140" i="19"/>
  <c r="N139" i="19" s="1"/>
  <c r="N138" i="19" s="1"/>
  <c r="N137" i="19" s="1"/>
  <c r="M140" i="19"/>
  <c r="M139" i="19" s="1"/>
  <c r="M138" i="19" s="1"/>
  <c r="M137" i="19" s="1"/>
  <c r="L141" i="19"/>
  <c r="L140" i="19" s="1"/>
  <c r="L139" i="19" s="1"/>
  <c r="L138" i="19" s="1"/>
  <c r="L137" i="19" s="1"/>
  <c r="H555" i="7"/>
  <c r="H554" i="7" s="1"/>
  <c r="M171" i="3"/>
  <c r="L172" i="3"/>
  <c r="L171" i="3" s="1"/>
  <c r="M207" i="3" l="1"/>
  <c r="M935" i="3" s="1"/>
  <c r="D47" i="6" s="1"/>
  <c r="H597" i="7"/>
  <c r="H596" i="7" s="1"/>
  <c r="H595" i="7" s="1"/>
  <c r="M245" i="3"/>
  <c r="M244" i="3" s="1"/>
  <c r="L246" i="3"/>
  <c r="L245" i="3" s="1"/>
  <c r="L244" i="3" s="1"/>
  <c r="H647" i="7"/>
  <c r="H646" i="7" s="1"/>
  <c r="M90" i="3"/>
  <c r="L91" i="3"/>
  <c r="L90" i="3" s="1"/>
  <c r="N516" i="19"/>
  <c r="N523" i="19"/>
  <c r="M523" i="19"/>
  <c r="M809" i="3"/>
  <c r="H591" i="7" l="1"/>
  <c r="H594" i="7"/>
  <c r="H593" i="7" s="1"/>
  <c r="H592" i="7" s="1"/>
  <c r="M242" i="3"/>
  <c r="M241" i="3" s="1"/>
  <c r="L243" i="3"/>
  <c r="L242" i="3" s="1"/>
  <c r="L241" i="3" s="1"/>
  <c r="M514" i="3" l="1"/>
  <c r="L514" i="3" s="1"/>
  <c r="L513" i="3" s="1"/>
  <c r="H316" i="7" l="1"/>
  <c r="M513" i="3"/>
  <c r="M646" i="3" l="1"/>
  <c r="H649" i="7" l="1"/>
  <c r="H648" i="7" s="1"/>
  <c r="H590" i="7"/>
  <c r="H589" i="7" s="1"/>
  <c r="L292" i="3" l="1"/>
  <c r="L291" i="3" s="1"/>
  <c r="L290" i="3" s="1"/>
  <c r="L289" i="3" s="1"/>
  <c r="M291" i="3"/>
  <c r="M290" i="3" s="1"/>
  <c r="M289" i="3" s="1"/>
  <c r="L240" i="3" l="1"/>
  <c r="L239" i="3" s="1"/>
  <c r="L238" i="3" s="1"/>
  <c r="M239" i="3"/>
  <c r="M238" i="3" s="1"/>
  <c r="M348" i="3"/>
  <c r="I188" i="18" l="1"/>
  <c r="H188" i="18"/>
  <c r="I186" i="18"/>
  <c r="H186" i="18"/>
  <c r="I184" i="18"/>
  <c r="H184" i="18"/>
  <c r="I183" i="18"/>
  <c r="H183" i="18"/>
  <c r="I182" i="18"/>
  <c r="H182" i="18"/>
  <c r="I170" i="18"/>
  <c r="M511" i="19"/>
  <c r="M510" i="19" s="1"/>
  <c r="M509" i="19" s="1"/>
  <c r="M508" i="19" s="1"/>
  <c r="N510" i="19"/>
  <c r="N509" i="19" s="1"/>
  <c r="N508" i="19" s="1"/>
  <c r="N522" i="19"/>
  <c r="H192" i="18"/>
  <c r="L521" i="19"/>
  <c r="L520" i="19" s="1"/>
  <c r="N520" i="19"/>
  <c r="M520" i="19"/>
  <c r="L519" i="19"/>
  <c r="L518" i="19" s="1"/>
  <c r="N518" i="19"/>
  <c r="M518" i="19"/>
  <c r="L517" i="19"/>
  <c r="L516" i="19"/>
  <c r="L515" i="19"/>
  <c r="N514" i="19"/>
  <c r="M514" i="19"/>
  <c r="H256" i="7"/>
  <c r="H254" i="7"/>
  <c r="H248" i="7"/>
  <c r="M804" i="3"/>
  <c r="M810" i="3"/>
  <c r="M808" i="3"/>
  <c r="M802" i="3"/>
  <c r="M798" i="3"/>
  <c r="M769" i="3"/>
  <c r="H246" i="7" s="1"/>
  <c r="M767" i="3"/>
  <c r="H244" i="7" s="1"/>
  <c r="M766" i="3"/>
  <c r="H243" i="7" s="1"/>
  <c r="M765" i="3"/>
  <c r="H242" i="7" s="1"/>
  <c r="M794" i="3"/>
  <c r="M793" i="3" s="1"/>
  <c r="M792" i="3" s="1"/>
  <c r="L811" i="3"/>
  <c r="L810" i="3" s="1"/>
  <c r="L809" i="3"/>
  <c r="L808" i="3" s="1"/>
  <c r="L805" i="3"/>
  <c r="L804" i="3" s="1"/>
  <c r="L801" i="3"/>
  <c r="L800" i="3"/>
  <c r="L795" i="3"/>
  <c r="L794" i="3" s="1"/>
  <c r="L793" i="3" s="1"/>
  <c r="L792" i="3" s="1"/>
  <c r="M761" i="3"/>
  <c r="H227" i="7" s="1"/>
  <c r="N513" i="19" l="1"/>
  <c r="N512" i="19" s="1"/>
  <c r="N507" i="19" s="1"/>
  <c r="N506" i="19" s="1"/>
  <c r="N652" i="19" s="1"/>
  <c r="F53" i="6" s="1"/>
  <c r="M797" i="3"/>
  <c r="L514" i="19"/>
  <c r="M522" i="19"/>
  <c r="M513" i="19" s="1"/>
  <c r="L523" i="19"/>
  <c r="L522" i="19" s="1"/>
  <c r="H170" i="18"/>
  <c r="I192" i="18"/>
  <c r="L511" i="19"/>
  <c r="L510" i="19" s="1"/>
  <c r="L509" i="19" s="1"/>
  <c r="L508" i="19" s="1"/>
  <c r="L803" i="3"/>
  <c r="L802" i="3" s="1"/>
  <c r="L799" i="3"/>
  <c r="L798" i="3" s="1"/>
  <c r="H389" i="7"/>
  <c r="H388" i="7" s="1"/>
  <c r="L797" i="3" l="1"/>
  <c r="L513" i="19"/>
  <c r="L512" i="19" s="1"/>
  <c r="L507" i="19" s="1"/>
  <c r="L506" i="19" s="1"/>
  <c r="M512" i="19"/>
  <c r="M507" i="19" s="1"/>
  <c r="M506" i="19" s="1"/>
  <c r="M652" i="19" s="1"/>
  <c r="E53" i="6" s="1"/>
  <c r="M796" i="3"/>
  <c r="M791" i="3" s="1"/>
  <c r="M790" i="3" s="1"/>
  <c r="M942" i="3" s="1"/>
  <c r="D53" i="6" s="1"/>
  <c r="M381" i="3"/>
  <c r="L382" i="3"/>
  <c r="L381" i="3" s="1"/>
  <c r="L796" i="3" l="1"/>
  <c r="L791" i="3" s="1"/>
  <c r="L790" i="3" s="1"/>
  <c r="H576" i="7" l="1"/>
  <c r="H575" i="7" s="1"/>
  <c r="H517" i="7" l="1"/>
  <c r="L30" i="3"/>
  <c r="M126" i="3"/>
  <c r="M27" i="3" l="1"/>
  <c r="H558" i="7" l="1"/>
  <c r="H557" i="7" s="1"/>
  <c r="M174" i="3"/>
  <c r="M173" i="3" s="1"/>
  <c r="L175" i="3"/>
  <c r="L174" i="3" s="1"/>
  <c r="L173" i="3" s="1"/>
  <c r="M714" i="3" l="1"/>
  <c r="M754" i="3" l="1"/>
  <c r="H104" i="7" l="1"/>
  <c r="H103" i="7" s="1"/>
  <c r="M586" i="3"/>
  <c r="L587" i="3"/>
  <c r="L586" i="3" s="1"/>
  <c r="L392" i="3"/>
  <c r="M146" i="3"/>
  <c r="H137" i="7" l="1"/>
  <c r="L638" i="3"/>
  <c r="M634" i="3"/>
  <c r="H196" i="7" l="1"/>
  <c r="H195" i="7" s="1"/>
  <c r="M719" i="3"/>
  <c r="L720" i="3"/>
  <c r="L719" i="3" s="1"/>
  <c r="H184" i="7"/>
  <c r="H183" i="7" s="1"/>
  <c r="M707" i="3"/>
  <c r="L708" i="3"/>
  <c r="L707" i="3" s="1"/>
  <c r="H170" i="7"/>
  <c r="H169" i="7" s="1"/>
  <c r="M683" i="3"/>
  <c r="L684" i="3"/>
  <c r="L683" i="3" s="1"/>
  <c r="H120" i="7" l="1"/>
  <c r="H119" i="7"/>
  <c r="H75" i="7"/>
  <c r="H74" i="7" s="1"/>
  <c r="I106" i="18"/>
  <c r="H106" i="18"/>
  <c r="M403" i="19"/>
  <c r="N403" i="19"/>
  <c r="L405" i="19"/>
  <c r="N347" i="19"/>
  <c r="M347" i="19"/>
  <c r="N345" i="19"/>
  <c r="M345" i="19"/>
  <c r="N315" i="19"/>
  <c r="M315" i="19"/>
  <c r="M643" i="3"/>
  <c r="M601" i="3"/>
  <c r="L603" i="3"/>
  <c r="L602" i="3"/>
  <c r="M553" i="3"/>
  <c r="L554" i="3"/>
  <c r="L553" i="3" s="1"/>
  <c r="H118" i="7" l="1"/>
  <c r="L601" i="3"/>
  <c r="M716" i="3"/>
  <c r="M712" i="3" s="1"/>
  <c r="M236" i="3"/>
  <c r="M235" i="3" s="1"/>
  <c r="M234" i="3" s="1"/>
  <c r="H588" i="7"/>
  <c r="H587" i="7" s="1"/>
  <c r="H586" i="7" s="1"/>
  <c r="H585" i="7" s="1"/>
  <c r="H580" i="7" s="1"/>
  <c r="M233" i="3" l="1"/>
  <c r="M232" i="3" s="1"/>
  <c r="M951" i="3" s="1"/>
  <c r="M231" i="3" l="1"/>
  <c r="D59" i="6"/>
  <c r="L237" i="3"/>
  <c r="L236" i="3" s="1"/>
  <c r="L235" i="3" s="1"/>
  <c r="L234" i="3" s="1"/>
  <c r="L233" i="3" l="1"/>
  <c r="L232" i="3" s="1"/>
  <c r="H651" i="7"/>
  <c r="H650" i="7" s="1"/>
  <c r="M92" i="3"/>
  <c r="L93" i="3"/>
  <c r="L92" i="3" s="1"/>
  <c r="L89" i="3" s="1"/>
  <c r="L88" i="3" l="1"/>
  <c r="M89" i="3"/>
  <c r="M88" i="3" s="1"/>
  <c r="L231" i="3"/>
  <c r="L493" i="19"/>
  <c r="M602" i="19" l="1"/>
  <c r="I67" i="18"/>
  <c r="I66" i="18" s="1"/>
  <c r="H67" i="18"/>
  <c r="H66" i="18" s="1"/>
  <c r="M269" i="19"/>
  <c r="M270" i="19"/>
  <c r="N270" i="19"/>
  <c r="L271" i="19"/>
  <c r="L270" i="19" s="1"/>
  <c r="H56" i="7" l="1"/>
  <c r="I76" i="18"/>
  <c r="H76" i="18"/>
  <c r="I75" i="18"/>
  <c r="H75" i="18"/>
  <c r="H92" i="7"/>
  <c r="H93" i="7"/>
  <c r="N364" i="19"/>
  <c r="M364" i="19"/>
  <c r="L366" i="19"/>
  <c r="L365" i="19"/>
  <c r="M568" i="3"/>
  <c r="L570" i="3"/>
  <c r="L569" i="3"/>
  <c r="L535" i="3" l="1"/>
  <c r="H74" i="18"/>
  <c r="I74" i="18"/>
  <c r="L364" i="19"/>
  <c r="H91" i="7"/>
  <c r="L568" i="3"/>
  <c r="M729" i="3"/>
  <c r="H48" i="7"/>
  <c r="H313" i="7"/>
  <c r="H312" i="7" s="1"/>
  <c r="M511" i="3"/>
  <c r="L512" i="3"/>
  <c r="L511" i="3" s="1"/>
  <c r="H560" i="7"/>
  <c r="H559" i="7" s="1"/>
  <c r="H556" i="7" s="1"/>
  <c r="M79" i="3"/>
  <c r="M78" i="3" s="1"/>
  <c r="L80" i="3"/>
  <c r="L79" i="3" s="1"/>
  <c r="L78" i="3" s="1"/>
  <c r="L77" i="3"/>
  <c r="M526" i="3" l="1"/>
  <c r="L527" i="3"/>
  <c r="M86" i="3"/>
  <c r="H567" i="7"/>
  <c r="H566" i="7" s="1"/>
  <c r="L87" i="3"/>
  <c r="L86" i="3" s="1"/>
  <c r="M594" i="3" l="1"/>
  <c r="N379" i="19" l="1"/>
  <c r="M379" i="19"/>
  <c r="N383" i="19"/>
  <c r="M383" i="19"/>
  <c r="N382" i="19"/>
  <c r="M382" i="19"/>
  <c r="N380" i="19"/>
  <c r="M380" i="19"/>
  <c r="N378" i="19"/>
  <c r="M378" i="19"/>
  <c r="N377" i="19"/>
  <c r="M377" i="19"/>
  <c r="M608" i="3"/>
  <c r="M595" i="3"/>
  <c r="H320" i="7" l="1"/>
  <c r="H319" i="7" s="1"/>
  <c r="M607" i="3"/>
  <c r="L608" i="3"/>
  <c r="L607" i="3" s="1"/>
  <c r="M629" i="3"/>
  <c r="M469" i="3" l="1"/>
  <c r="L469" i="3" s="1"/>
  <c r="L468" i="3" s="1"/>
  <c r="H272" i="7" l="1"/>
  <c r="H271" i="7" s="1"/>
  <c r="M468" i="3"/>
  <c r="L418" i="19"/>
  <c r="L427" i="19"/>
  <c r="L426" i="19" s="1"/>
  <c r="L425" i="19" s="1"/>
  <c r="L424" i="19" s="1"/>
  <c r="L423" i="19" s="1"/>
  <c r="L422" i="19" s="1"/>
  <c r="L421" i="19" s="1"/>
  <c r="L434" i="19"/>
  <c r="L433" i="19" s="1"/>
  <c r="L436" i="19"/>
  <c r="L435" i="19" s="1"/>
  <c r="L442" i="19"/>
  <c r="L441" i="19" s="1"/>
  <c r="L445" i="19"/>
  <c r="L444" i="19" s="1"/>
  <c r="L443" i="19" s="1"/>
  <c r="L452" i="19"/>
  <c r="L451" i="19" s="1"/>
  <c r="L457" i="19"/>
  <c r="L456" i="19" s="1"/>
  <c r="L455" i="19" s="1"/>
  <c r="L469" i="19"/>
  <c r="L470" i="19"/>
  <c r="L471" i="19"/>
  <c r="L473" i="19"/>
  <c r="L474" i="19"/>
  <c r="L475" i="19"/>
  <c r="L484" i="19"/>
  <c r="L483" i="19" s="1"/>
  <c r="L482" i="19" s="1"/>
  <c r="L481" i="19" s="1"/>
  <c r="L480" i="19" s="1"/>
  <c r="L479" i="19" s="1"/>
  <c r="L478" i="19" s="1"/>
  <c r="L491" i="19"/>
  <c r="L492" i="19"/>
  <c r="L495" i="19"/>
  <c r="L494" i="19" s="1"/>
  <c r="L501" i="19"/>
  <c r="L500" i="19" s="1"/>
  <c r="L499" i="19" s="1"/>
  <c r="L498" i="19" s="1"/>
  <c r="L529" i="19"/>
  <c r="L530" i="19"/>
  <c r="L531" i="19"/>
  <c r="L540" i="19"/>
  <c r="L539" i="19" s="1"/>
  <c r="L538" i="19" s="1"/>
  <c r="L543" i="19"/>
  <c r="L542" i="19" s="1"/>
  <c r="L541" i="19" s="1"/>
  <c r="L546" i="19"/>
  <c r="L545" i="19" s="1"/>
  <c r="L544" i="19" s="1"/>
  <c r="L553" i="19"/>
  <c r="L554" i="19"/>
  <c r="L555" i="19"/>
  <c r="L561" i="19"/>
  <c r="L562" i="19"/>
  <c r="L563" i="19"/>
  <c r="L572" i="19"/>
  <c r="L573" i="19"/>
  <c r="L575" i="19"/>
  <c r="L576" i="19"/>
  <c r="L580" i="19"/>
  <c r="L581" i="19"/>
  <c r="L583" i="19"/>
  <c r="L584" i="19"/>
  <c r="L587" i="19"/>
  <c r="L586" i="19" s="1"/>
  <c r="L585" i="19" s="1"/>
  <c r="L593" i="19"/>
  <c r="L594" i="19"/>
  <c r="L596" i="19"/>
  <c r="L597" i="19"/>
  <c r="L599" i="19"/>
  <c r="L600" i="19"/>
  <c r="L417" i="19"/>
  <c r="L410" i="19"/>
  <c r="L409" i="19" s="1"/>
  <c r="L404" i="19"/>
  <c r="L403" i="19" s="1"/>
  <c r="L402" i="19"/>
  <c r="L401" i="19" s="1"/>
  <c r="L400" i="19"/>
  <c r="L399" i="19"/>
  <c r="L398" i="19"/>
  <c r="L397" i="19"/>
  <c r="L395" i="19"/>
  <c r="L394" i="19"/>
  <c r="L393" i="19"/>
  <c r="L387" i="19"/>
  <c r="L386" i="19" s="1"/>
  <c r="L385" i="19"/>
  <c r="L384" i="19" s="1"/>
  <c r="L383" i="19"/>
  <c r="L382" i="19"/>
  <c r="L380" i="19"/>
  <c r="L379" i="19"/>
  <c r="L378" i="19"/>
  <c r="L377" i="19"/>
  <c r="L371" i="19"/>
  <c r="L370" i="19"/>
  <c r="L363" i="19"/>
  <c r="L362" i="19"/>
  <c r="L361" i="19"/>
  <c r="L359" i="19"/>
  <c r="L358" i="19" s="1"/>
  <c r="L354" i="19"/>
  <c r="L353" i="19"/>
  <c r="L352" i="19"/>
  <c r="L350" i="19"/>
  <c r="L349" i="19"/>
  <c r="L346" i="19"/>
  <c r="L345" i="19"/>
  <c r="L343" i="19"/>
  <c r="L342" i="19"/>
  <c r="L341" i="19"/>
  <c r="L339" i="19"/>
  <c r="L338" i="19"/>
  <c r="L336" i="19"/>
  <c r="L335" i="19"/>
  <c r="L334" i="19"/>
  <c r="L332" i="19"/>
  <c r="L331" i="19"/>
  <c r="L329" i="19"/>
  <c r="L328" i="19"/>
  <c r="L327" i="19"/>
  <c r="L326" i="19"/>
  <c r="L320" i="19"/>
  <c r="L319" i="19" s="1"/>
  <c r="L318" i="19" s="1"/>
  <c r="L317" i="19" s="1"/>
  <c r="L316" i="19" s="1"/>
  <c r="L315" i="19"/>
  <c r="L314" i="19" s="1"/>
  <c r="L313" i="19"/>
  <c r="L312" i="19" s="1"/>
  <c r="L311" i="19"/>
  <c r="L310" i="19" s="1"/>
  <c r="L309" i="19"/>
  <c r="L308" i="19" s="1"/>
  <c r="L302" i="19"/>
  <c r="L301" i="19" s="1"/>
  <c r="L300" i="19" s="1"/>
  <c r="L299" i="19"/>
  <c r="L298" i="19" s="1"/>
  <c r="L297" i="19" s="1"/>
  <c r="L296" i="19"/>
  <c r="L295" i="19" s="1"/>
  <c r="L294" i="19" s="1"/>
  <c r="L280" i="19"/>
  <c r="L279" i="19" s="1"/>
  <c r="L278" i="19"/>
  <c r="L277" i="19" s="1"/>
  <c r="L269" i="19"/>
  <c r="L268" i="19" s="1"/>
  <c r="L263" i="19"/>
  <c r="L262" i="19" s="1"/>
  <c r="L261" i="19" s="1"/>
  <c r="L260" i="19" s="1"/>
  <c r="L259" i="19" s="1"/>
  <c r="L258" i="19" s="1"/>
  <c r="L249" i="19"/>
  <c r="L248" i="19"/>
  <c r="L243" i="19"/>
  <c r="L242" i="19" s="1"/>
  <c r="L241" i="19" s="1"/>
  <c r="L240" i="19" s="1"/>
  <c r="L239" i="19"/>
  <c r="L238" i="19" s="1"/>
  <c r="L237" i="19" s="1"/>
  <c r="L236" i="19"/>
  <c r="L235" i="19" s="1"/>
  <c r="L234" i="19" s="1"/>
  <c r="L233" i="19"/>
  <c r="L232" i="19" s="1"/>
  <c r="L231" i="19"/>
  <c r="L230" i="19"/>
  <c r="L229" i="19"/>
  <c r="L227" i="19"/>
  <c r="L226" i="19"/>
  <c r="L225" i="19"/>
  <c r="L221" i="19"/>
  <c r="L220" i="19" s="1"/>
  <c r="L219" i="19" s="1"/>
  <c r="L218" i="19" s="1"/>
  <c r="L212" i="19"/>
  <c r="L211" i="19"/>
  <c r="L210" i="19"/>
  <c r="L202" i="19"/>
  <c r="L201" i="19" s="1"/>
  <c r="L200" i="19" s="1"/>
  <c r="L199" i="19" s="1"/>
  <c r="L198" i="19" s="1"/>
  <c r="L197" i="19" s="1"/>
  <c r="L196" i="19" s="1"/>
  <c r="L195" i="19"/>
  <c r="L194" i="19" s="1"/>
  <c r="L193" i="19" s="1"/>
  <c r="L192" i="19" s="1"/>
  <c r="L191" i="19" s="1"/>
  <c r="L190" i="19" s="1"/>
  <c r="L189" i="19" s="1"/>
  <c r="L188" i="19"/>
  <c r="L187" i="19" s="1"/>
  <c r="L186" i="19" s="1"/>
  <c r="L185" i="19"/>
  <c r="L184" i="19" s="1"/>
  <c r="L183" i="19" s="1"/>
  <c r="L179" i="19"/>
  <c r="L178" i="19"/>
  <c r="L177" i="19"/>
  <c r="L168" i="19"/>
  <c r="L167" i="19" s="1"/>
  <c r="L166" i="19" s="1"/>
  <c r="L165" i="19" s="1"/>
  <c r="L164" i="19" s="1"/>
  <c r="L163" i="19" s="1"/>
  <c r="L162" i="19"/>
  <c r="L161" i="19" s="1"/>
  <c r="L160" i="19" s="1"/>
  <c r="L159" i="19" s="1"/>
  <c r="L158" i="19" s="1"/>
  <c r="L157" i="19" s="1"/>
  <c r="L155" i="19"/>
  <c r="L154" i="19" s="1"/>
  <c r="L153" i="19" s="1"/>
  <c r="L152" i="19" s="1"/>
  <c r="L151" i="19" s="1"/>
  <c r="L150" i="19" s="1"/>
  <c r="L149" i="19" s="1"/>
  <c r="L148" i="19"/>
  <c r="L147" i="19" s="1"/>
  <c r="L146" i="19" s="1"/>
  <c r="L145" i="19" s="1"/>
  <c r="L144" i="19" s="1"/>
  <c r="L143" i="19" s="1"/>
  <c r="L142" i="19" s="1"/>
  <c r="L136" i="19"/>
  <c r="L135" i="19" s="1"/>
  <c r="L134" i="19" s="1"/>
  <c r="L133" i="19" s="1"/>
  <c r="L132" i="19" s="1"/>
  <c r="L131" i="19"/>
  <c r="L130" i="19" s="1"/>
  <c r="L129" i="19" s="1"/>
  <c r="L128" i="19" s="1"/>
  <c r="L127" i="19"/>
  <c r="L126" i="19" s="1"/>
  <c r="L125" i="19" s="1"/>
  <c r="L124" i="19" s="1"/>
  <c r="L121" i="19"/>
  <c r="L120" i="19" s="1"/>
  <c r="L119" i="19" s="1"/>
  <c r="L118" i="19" s="1"/>
  <c r="L117" i="19" s="1"/>
  <c r="L116" i="19" s="1"/>
  <c r="L115" i="19"/>
  <c r="L114" i="19" s="1"/>
  <c r="L113" i="19" s="1"/>
  <c r="L112" i="19"/>
  <c r="L111" i="19" s="1"/>
  <c r="L110" i="19" s="1"/>
  <c r="L105" i="19"/>
  <c r="L104" i="19" s="1"/>
  <c r="L103" i="19" s="1"/>
  <c r="L102" i="19" s="1"/>
  <c r="L101" i="19"/>
  <c r="L100" i="19"/>
  <c r="L99" i="19"/>
  <c r="L95" i="19"/>
  <c r="L94" i="19" s="1"/>
  <c r="L93" i="19" s="1"/>
  <c r="L92" i="19"/>
  <c r="L91" i="19" s="1"/>
  <c r="L90" i="19" s="1"/>
  <c r="L86" i="19"/>
  <c r="L85" i="19" s="1"/>
  <c r="L84" i="19"/>
  <c r="L83" i="19" s="1"/>
  <c r="L76" i="19"/>
  <c r="L73" i="19"/>
  <c r="L72" i="19" s="1"/>
  <c r="L71" i="19"/>
  <c r="L70" i="19" s="1"/>
  <c r="L68" i="19"/>
  <c r="L67" i="19"/>
  <c r="L62" i="19"/>
  <c r="L61" i="19" s="1"/>
  <c r="L60" i="19" s="1"/>
  <c r="L59" i="19" s="1"/>
  <c r="L58" i="19" s="1"/>
  <c r="L56" i="19"/>
  <c r="L55" i="19" s="1"/>
  <c r="L54" i="19" s="1"/>
  <c r="L53" i="19" s="1"/>
  <c r="L52" i="19" s="1"/>
  <c r="L51" i="19"/>
  <c r="L50" i="19" s="1"/>
  <c r="L49" i="19" s="1"/>
  <c r="L48" i="19" s="1"/>
  <c r="L47" i="19" s="1"/>
  <c r="L46" i="19" s="1"/>
  <c r="L45" i="19"/>
  <c r="L44" i="19" s="1"/>
  <c r="L43" i="19" s="1"/>
  <c r="L42" i="19"/>
  <c r="L41" i="19"/>
  <c r="L39" i="19"/>
  <c r="L38" i="19"/>
  <c r="L36" i="19"/>
  <c r="L35" i="19" s="1"/>
  <c r="L34" i="19"/>
  <c r="L33" i="19" s="1"/>
  <c r="L32" i="19"/>
  <c r="L31" i="19"/>
  <c r="L30" i="19"/>
  <c r="L24" i="19"/>
  <c r="L23" i="19" s="1"/>
  <c r="L22" i="19" s="1"/>
  <c r="L21" i="19" s="1"/>
  <c r="L20" i="19" s="1"/>
  <c r="L19" i="19" s="1"/>
  <c r="L890" i="3"/>
  <c r="L889" i="3"/>
  <c r="L887" i="3"/>
  <c r="L886" i="3"/>
  <c r="L884" i="3"/>
  <c r="L883" i="3"/>
  <c r="L877" i="3"/>
  <c r="L876" i="3" s="1"/>
  <c r="L875" i="3" s="1"/>
  <c r="L874" i="3"/>
  <c r="L873" i="3"/>
  <c r="L871" i="3"/>
  <c r="L870" i="3"/>
  <c r="L866" i="3"/>
  <c r="L865" i="3"/>
  <c r="L863" i="3"/>
  <c r="L862" i="3"/>
  <c r="L853" i="3"/>
  <c r="L852" i="3"/>
  <c r="L851" i="3"/>
  <c r="L843" i="3"/>
  <c r="L842" i="3"/>
  <c r="L834" i="3"/>
  <c r="L833" i="3" s="1"/>
  <c r="L832" i="3" s="1"/>
  <c r="L831" i="3"/>
  <c r="L830" i="3" s="1"/>
  <c r="L829" i="3" s="1"/>
  <c r="L828" i="3"/>
  <c r="L827" i="3" s="1"/>
  <c r="L826" i="3" s="1"/>
  <c r="L819" i="3"/>
  <c r="L818" i="3"/>
  <c r="L817" i="3"/>
  <c r="L776" i="3"/>
  <c r="L775" i="3" s="1"/>
  <c r="L774" i="3"/>
  <c r="L773" i="3"/>
  <c r="L772" i="3"/>
  <c r="L754" i="3"/>
  <c r="L753" i="3" s="1"/>
  <c r="L752" i="3" s="1"/>
  <c r="L751" i="3" s="1"/>
  <c r="L750" i="3" s="1"/>
  <c r="L749" i="3" s="1"/>
  <c r="L748" i="3" s="1"/>
  <c r="L745" i="3"/>
  <c r="L743" i="3"/>
  <c r="L741" i="3"/>
  <c r="L740" i="3"/>
  <c r="L739" i="3"/>
  <c r="L727" i="3"/>
  <c r="L718" i="3"/>
  <c r="L717" i="3" s="1"/>
  <c r="L716" i="3"/>
  <c r="L714" i="3"/>
  <c r="L706" i="3"/>
  <c r="L705" i="3" s="1"/>
  <c r="L702" i="3"/>
  <c r="L701" i="3" s="1"/>
  <c r="L693" i="3"/>
  <c r="L692" i="3" s="1"/>
  <c r="L691" i="3" s="1"/>
  <c r="L671" i="3"/>
  <c r="L670" i="3" s="1"/>
  <c r="L669" i="3" s="1"/>
  <c r="L668" i="3" s="1"/>
  <c r="L662" i="3"/>
  <c r="L661" i="3"/>
  <c r="L648" i="3"/>
  <c r="L647" i="3" s="1"/>
  <c r="L646" i="3"/>
  <c r="L645" i="3" s="1"/>
  <c r="L643" i="3"/>
  <c r="L642" i="3"/>
  <c r="L640" i="3"/>
  <c r="L639" i="3" s="1"/>
  <c r="L637" i="3"/>
  <c r="L636" i="3" s="1"/>
  <c r="L635" i="3"/>
  <c r="L634" i="3"/>
  <c r="L633" i="3"/>
  <c r="L630" i="3"/>
  <c r="L629" i="3"/>
  <c r="L628" i="3"/>
  <c r="L600" i="3"/>
  <c r="L598" i="3" s="1"/>
  <c r="L597" i="3"/>
  <c r="L596" i="3" s="1"/>
  <c r="L595" i="3"/>
  <c r="L594" i="3"/>
  <c r="L592" i="3"/>
  <c r="L591" i="3" s="1"/>
  <c r="L585" i="3"/>
  <c r="L583" i="3"/>
  <c r="L576" i="3"/>
  <c r="L575" i="3" s="1"/>
  <c r="L566" i="3"/>
  <c r="L565" i="3"/>
  <c r="L564" i="3"/>
  <c r="L557" i="3"/>
  <c r="L556" i="3"/>
  <c r="L552" i="3"/>
  <c r="L551" i="3"/>
  <c r="L549" i="3"/>
  <c r="L548" i="3"/>
  <c r="L547" i="3"/>
  <c r="L545" i="3"/>
  <c r="L544" i="3"/>
  <c r="L543" i="3"/>
  <c r="L541" i="3"/>
  <c r="L540" i="3"/>
  <c r="L538" i="3"/>
  <c r="L537" i="3" s="1"/>
  <c r="L533" i="3"/>
  <c r="L528" i="3"/>
  <c r="L526" i="3" s="1"/>
  <c r="L525" i="3"/>
  <c r="L522" i="3"/>
  <c r="L516" i="3"/>
  <c r="L515" i="3" s="1"/>
  <c r="L510" i="3" s="1"/>
  <c r="L501" i="3"/>
  <c r="L500" i="3" s="1"/>
  <c r="L499" i="3"/>
  <c r="L498" i="3" s="1"/>
  <c r="L497" i="3"/>
  <c r="L496" i="3" s="1"/>
  <c r="L493" i="3"/>
  <c r="L492" i="3" s="1"/>
  <c r="L484" i="3"/>
  <c r="L483" i="3" s="1"/>
  <c r="L482" i="3" s="1"/>
  <c r="L481" i="3"/>
  <c r="L480" i="3" s="1"/>
  <c r="L479" i="3" s="1"/>
  <c r="L478" i="3"/>
  <c r="L477" i="3" s="1"/>
  <c r="L476" i="3" s="1"/>
  <c r="L460" i="3"/>
  <c r="L459" i="3" s="1"/>
  <c r="L458" i="3" s="1"/>
  <c r="L457" i="3" s="1"/>
  <c r="L456" i="3" s="1"/>
  <c r="L455" i="3" s="1"/>
  <c r="L454" i="3" s="1"/>
  <c r="L453" i="3"/>
  <c r="L452" i="3" s="1"/>
  <c r="L451" i="3" s="1"/>
  <c r="L450" i="3" s="1"/>
  <c r="L449" i="3" s="1"/>
  <c r="L448" i="3" s="1"/>
  <c r="L437" i="3"/>
  <c r="L436" i="3" s="1"/>
  <c r="L417" i="3"/>
  <c r="L416" i="3" s="1"/>
  <c r="L415" i="3" s="1"/>
  <c r="L414" i="3" s="1"/>
  <c r="L405" i="3"/>
  <c r="L404" i="3"/>
  <c r="L399" i="3"/>
  <c r="L398" i="3" s="1"/>
  <c r="L397" i="3" s="1"/>
  <c r="L396" i="3" s="1"/>
  <c r="L395" i="3" s="1"/>
  <c r="L394" i="3"/>
  <c r="L393" i="3"/>
  <c r="L388" i="3"/>
  <c r="L387" i="3" s="1"/>
  <c r="L386" i="3" s="1"/>
  <c r="L385" i="3"/>
  <c r="L384" i="3" s="1"/>
  <c r="L383" i="3" s="1"/>
  <c r="L380" i="3"/>
  <c r="L379" i="3" s="1"/>
  <c r="L378" i="3"/>
  <c r="L377" i="3"/>
  <c r="L376" i="3"/>
  <c r="L374" i="3"/>
  <c r="L373" i="3"/>
  <c r="L372" i="3"/>
  <c r="L365" i="3"/>
  <c r="L364" i="3" s="1"/>
  <c r="L363" i="3" s="1"/>
  <c r="L356" i="3"/>
  <c r="L355" i="3" s="1"/>
  <c r="L354" i="3" s="1"/>
  <c r="L353" i="3" s="1"/>
  <c r="L352" i="3" s="1"/>
  <c r="L351" i="3" s="1"/>
  <c r="L350" i="3"/>
  <c r="L349" i="3" s="1"/>
  <c r="L348" i="3"/>
  <c r="L346" i="3"/>
  <c r="L332" i="3"/>
  <c r="L331" i="3" s="1"/>
  <c r="L325" i="3"/>
  <c r="L324" i="3" s="1"/>
  <c r="L323" i="3" s="1"/>
  <c r="L322" i="3" s="1"/>
  <c r="L321" i="3" s="1"/>
  <c r="L320" i="3" s="1"/>
  <c r="L319" i="3" s="1"/>
  <c r="L318" i="3"/>
  <c r="L317" i="3" s="1"/>
  <c r="L316" i="3" s="1"/>
  <c r="L315" i="3"/>
  <c r="L314" i="3" s="1"/>
  <c r="L313" i="3" s="1"/>
  <c r="L306" i="3"/>
  <c r="L305" i="3" s="1"/>
  <c r="L304" i="3" s="1"/>
  <c r="L303" i="3"/>
  <c r="L302" i="3"/>
  <c r="L192" i="3"/>
  <c r="L191" i="3" s="1"/>
  <c r="L190" i="3" s="1"/>
  <c r="L189" i="3" s="1"/>
  <c r="L188" i="3" s="1"/>
  <c r="L187" i="3" s="1"/>
  <c r="L186" i="3"/>
  <c r="L185" i="3" s="1"/>
  <c r="L184" i="3"/>
  <c r="L183" i="3" s="1"/>
  <c r="L182" i="3"/>
  <c r="L181" i="3" s="1"/>
  <c r="L165" i="3"/>
  <c r="L164" i="3" s="1"/>
  <c r="L163" i="3"/>
  <c r="L162" i="3" s="1"/>
  <c r="L161" i="3"/>
  <c r="L160" i="3" s="1"/>
  <c r="L156" i="3"/>
  <c r="L155" i="3" s="1"/>
  <c r="L154" i="3" s="1"/>
  <c r="L153" i="3" s="1"/>
  <c r="L152" i="3"/>
  <c r="L151" i="3" s="1"/>
  <c r="L150" i="3" s="1"/>
  <c r="L149" i="3" s="1"/>
  <c r="L146" i="3"/>
  <c r="L145" i="3" s="1"/>
  <c r="L144" i="3" s="1"/>
  <c r="L143" i="3" s="1"/>
  <c r="L142" i="3" s="1"/>
  <c r="L141" i="3" s="1"/>
  <c r="L140" i="3"/>
  <c r="L139" i="3" s="1"/>
  <c r="L138" i="3" s="1"/>
  <c r="L137" i="3"/>
  <c r="L136" i="3" s="1"/>
  <c r="L135" i="3" s="1"/>
  <c r="L130" i="3"/>
  <c r="L129" i="3" s="1"/>
  <c r="L128" i="3" s="1"/>
  <c r="L127" i="3" s="1"/>
  <c r="L126" i="3"/>
  <c r="L125" i="3" s="1"/>
  <c r="L124" i="3" s="1"/>
  <c r="L123" i="3"/>
  <c r="L122" i="3"/>
  <c r="L121" i="3"/>
  <c r="L114" i="3"/>
  <c r="L113" i="3" s="1"/>
  <c r="L112" i="3"/>
  <c r="L111" i="3" s="1"/>
  <c r="L106" i="3"/>
  <c r="L105" i="3" s="1"/>
  <c r="L104" i="3"/>
  <c r="L103" i="3" s="1"/>
  <c r="L102" i="3"/>
  <c r="L101" i="3" s="1"/>
  <c r="L100" i="3"/>
  <c r="L99" i="3" s="1"/>
  <c r="L85" i="3"/>
  <c r="L83" i="3"/>
  <c r="L72" i="3"/>
  <c r="L66" i="3"/>
  <c r="L65" i="3" s="1"/>
  <c r="L64" i="3" s="1"/>
  <c r="L63" i="3" s="1"/>
  <c r="L62" i="3" s="1"/>
  <c r="L61" i="3"/>
  <c r="L60" i="3" s="1"/>
  <c r="L59" i="3" s="1"/>
  <c r="L58" i="3" s="1"/>
  <c r="L57" i="3" s="1"/>
  <c r="L50" i="3"/>
  <c r="L49" i="3" s="1"/>
  <c r="L48" i="3" s="1"/>
  <c r="L47" i="3" s="1"/>
  <c r="L46" i="3" s="1"/>
  <c r="L45" i="3" s="1"/>
  <c r="L44" i="3"/>
  <c r="L43" i="3" s="1"/>
  <c r="L42" i="3" s="1"/>
  <c r="L41" i="3"/>
  <c r="L40" i="3"/>
  <c r="L38" i="3"/>
  <c r="L37" i="3"/>
  <c r="L35" i="3"/>
  <c r="L34" i="3" s="1"/>
  <c r="L33" i="3"/>
  <c r="L32" i="3" s="1"/>
  <c r="L31" i="3"/>
  <c r="L29" i="3"/>
  <c r="L22" i="3"/>
  <c r="L21" i="3" s="1"/>
  <c r="L20" i="3" s="1"/>
  <c r="L19" i="3" s="1"/>
  <c r="L18" i="3" s="1"/>
  <c r="L17" i="3" s="1"/>
  <c r="L309" i="3" l="1"/>
  <c r="L308" i="3" s="1"/>
  <c r="L307" i="3" s="1"/>
  <c r="L330" i="3"/>
  <c r="L329" i="3" s="1"/>
  <c r="L328" i="3" s="1"/>
  <c r="L327" i="3" s="1"/>
  <c r="L326" i="3" s="1"/>
  <c r="L391" i="3"/>
  <c r="L390" i="3" s="1"/>
  <c r="L389" i="3" s="1"/>
  <c r="L413" i="3"/>
  <c r="L412" i="3" s="1"/>
  <c r="L411" i="3" s="1"/>
  <c r="L497" i="19"/>
  <c r="L496" i="19" s="1"/>
  <c r="L598" i="19"/>
  <c r="L641" i="3"/>
  <c r="L592" i="19"/>
  <c r="L247" i="19"/>
  <c r="L246" i="19" s="1"/>
  <c r="L245" i="19" s="1"/>
  <c r="L244" i="19" s="1"/>
  <c r="L267" i="19"/>
  <c r="L266" i="19" s="1"/>
  <c r="L265" i="19" s="1"/>
  <c r="L264" i="19" s="1"/>
  <c r="L257" i="19" s="1"/>
  <c r="L490" i="19"/>
  <c r="L489" i="19" s="1"/>
  <c r="L488" i="19" s="1"/>
  <c r="L487" i="19" s="1"/>
  <c r="L885" i="3"/>
  <c r="L371" i="3"/>
  <c r="L864" i="3"/>
  <c r="L509" i="3"/>
  <c r="L508" i="3" s="1"/>
  <c r="L348" i="19"/>
  <c r="L595" i="19"/>
  <c r="L340" i="19"/>
  <c r="L176" i="19"/>
  <c r="L175" i="19" s="1"/>
  <c r="L174" i="19" s="1"/>
  <c r="L173" i="19" s="1"/>
  <c r="L172" i="19" s="1"/>
  <c r="L360" i="19"/>
  <c r="L574" i="19"/>
  <c r="L416" i="19"/>
  <c r="L415" i="19" s="1"/>
  <c r="L414" i="19" s="1"/>
  <c r="L413" i="19" s="1"/>
  <c r="L412" i="19" s="1"/>
  <c r="L411" i="19" s="1"/>
  <c r="L467" i="3"/>
  <c r="L466" i="3" s="1"/>
  <c r="L337" i="19"/>
  <c r="L29" i="19"/>
  <c r="L392" i="19"/>
  <c r="L579" i="19"/>
  <c r="L528" i="19"/>
  <c r="L527" i="19" s="1"/>
  <c r="L526" i="19" s="1"/>
  <c r="L525" i="19" s="1"/>
  <c r="L524" i="19" s="1"/>
  <c r="L552" i="19"/>
  <c r="L551" i="19" s="1"/>
  <c r="L550" i="19" s="1"/>
  <c r="L549" i="19" s="1"/>
  <c r="L548" i="19" s="1"/>
  <c r="L582" i="19"/>
  <c r="L39" i="3"/>
  <c r="L375" i="3"/>
  <c r="L403" i="3"/>
  <c r="L402" i="3" s="1"/>
  <c r="L401" i="3" s="1"/>
  <c r="L400" i="3" s="1"/>
  <c r="L555" i="3"/>
  <c r="L574" i="3"/>
  <c r="L573" i="3" s="1"/>
  <c r="L850" i="3"/>
  <c r="L849" i="3" s="1"/>
  <c r="L848" i="3" s="1"/>
  <c r="L847" i="3" s="1"/>
  <c r="L846" i="3" s="1"/>
  <c r="L882" i="3"/>
  <c r="L660" i="3"/>
  <c r="L659" i="3" s="1"/>
  <c r="L658" i="3" s="1"/>
  <c r="L657" i="3" s="1"/>
  <c r="L656" i="3" s="1"/>
  <c r="L649" i="3" s="1"/>
  <c r="L872" i="3"/>
  <c r="L593" i="3"/>
  <c r="L861" i="3"/>
  <c r="L869" i="3"/>
  <c r="L37" i="19"/>
  <c r="L66" i="19"/>
  <c r="L65" i="19" s="1"/>
  <c r="L325" i="19"/>
  <c r="L330" i="19"/>
  <c r="L571" i="19"/>
  <c r="L560" i="19"/>
  <c r="L559" i="19" s="1"/>
  <c r="L558" i="19" s="1"/>
  <c r="L557" i="19" s="1"/>
  <c r="L556" i="19" s="1"/>
  <c r="L40" i="19"/>
  <c r="L209" i="19"/>
  <c r="L208" i="19" s="1"/>
  <c r="L207" i="19" s="1"/>
  <c r="L206" i="19" s="1"/>
  <c r="L205" i="19" s="1"/>
  <c r="L204" i="19" s="1"/>
  <c r="L224" i="19"/>
  <c r="L351" i="19"/>
  <c r="L472" i="19"/>
  <c r="L468" i="19"/>
  <c r="L396" i="19"/>
  <c r="L381" i="19"/>
  <c r="L376" i="19"/>
  <c r="L369" i="19"/>
  <c r="L368" i="19" s="1"/>
  <c r="L367" i="19" s="1"/>
  <c r="L333" i="19"/>
  <c r="L228" i="19"/>
  <c r="L98" i="19"/>
  <c r="L97" i="19" s="1"/>
  <c r="L96" i="19" s="1"/>
  <c r="L69" i="19"/>
  <c r="L432" i="19"/>
  <c r="L431" i="19" s="1"/>
  <c r="L430" i="19" s="1"/>
  <c r="L429" i="19" s="1"/>
  <c r="L276" i="19"/>
  <c r="L275" i="19" s="1"/>
  <c r="L274" i="19" s="1"/>
  <c r="L273" i="19" s="1"/>
  <c r="L272" i="19" s="1"/>
  <c r="L182" i="19"/>
  <c r="L181" i="19" s="1"/>
  <c r="L180" i="19" s="1"/>
  <c r="L82" i="19"/>
  <c r="L81" i="19" s="1"/>
  <c r="L80" i="19" s="1"/>
  <c r="L79" i="19" s="1"/>
  <c r="L89" i="19"/>
  <c r="L123" i="19"/>
  <c r="L122" i="19" s="1"/>
  <c r="L293" i="19"/>
  <c r="L292" i="19" s="1"/>
  <c r="L291" i="19" s="1"/>
  <c r="L290" i="19" s="1"/>
  <c r="L537" i="19"/>
  <c r="L536" i="19" s="1"/>
  <c r="L535" i="19" s="1"/>
  <c r="L534" i="19" s="1"/>
  <c r="L156" i="19"/>
  <c r="L307" i="19"/>
  <c r="L306" i="19" s="1"/>
  <c r="L305" i="19" s="1"/>
  <c r="L304" i="19" s="1"/>
  <c r="L109" i="19"/>
  <c r="L108" i="19" s="1"/>
  <c r="L107" i="19" s="1"/>
  <c r="L440" i="19"/>
  <c r="L439" i="19" s="1"/>
  <c r="L438" i="19" s="1"/>
  <c r="L437" i="19" s="1"/>
  <c r="L563" i="3"/>
  <c r="L120" i="3"/>
  <c r="L119" i="3" s="1"/>
  <c r="L118" i="3" s="1"/>
  <c r="L36" i="3"/>
  <c r="L542" i="3"/>
  <c r="L539" i="3"/>
  <c r="L546" i="3"/>
  <c r="L550" i="3"/>
  <c r="L738" i="3"/>
  <c r="L888" i="3"/>
  <c r="L816" i="3"/>
  <c r="L815" i="3" s="1"/>
  <c r="L814" i="3" s="1"/>
  <c r="L813" i="3" s="1"/>
  <c r="L812" i="3" s="1"/>
  <c r="L771" i="3"/>
  <c r="L770" i="3" s="1"/>
  <c r="L627" i="3"/>
  <c r="L644" i="3"/>
  <c r="L180" i="3"/>
  <c r="L179" i="3" s="1"/>
  <c r="L110" i="3"/>
  <c r="L148" i="3"/>
  <c r="L98" i="3"/>
  <c r="L97" i="3" s="1"/>
  <c r="L96" i="3" s="1"/>
  <c r="L95" i="3" s="1"/>
  <c r="L159" i="3"/>
  <c r="L158" i="3" s="1"/>
  <c r="L157" i="3" s="1"/>
  <c r="L134" i="3"/>
  <c r="L133" i="3" s="1"/>
  <c r="L132" i="3" s="1"/>
  <c r="L825" i="3"/>
  <c r="L824" i="3" s="1"/>
  <c r="L823" i="3" s="1"/>
  <c r="L822" i="3" s="1"/>
  <c r="L475" i="3"/>
  <c r="L474" i="3" s="1"/>
  <c r="L473" i="3" s="1"/>
  <c r="L472" i="3" s="1"/>
  <c r="L667" i="3"/>
  <c r="L666" i="3"/>
  <c r="L665" i="3" s="1"/>
  <c r="L368" i="3"/>
  <c r="L367" i="3" s="1"/>
  <c r="L366" i="3" s="1"/>
  <c r="L362" i="3" s="1"/>
  <c r="L55" i="3"/>
  <c r="L54" i="3" s="1"/>
  <c r="L53" i="3" s="1"/>
  <c r="L52" i="3" s="1"/>
  <c r="L51" i="3" s="1"/>
  <c r="L570" i="19" l="1"/>
  <c r="L569" i="19" s="1"/>
  <c r="L568" i="19" s="1"/>
  <c r="L567" i="19" s="1"/>
  <c r="L860" i="3"/>
  <c r="L859" i="3" s="1"/>
  <c r="L858" i="3" s="1"/>
  <c r="L857" i="3" s="1"/>
  <c r="L370" i="3"/>
  <c r="L369" i="3" s="1"/>
  <c r="L361" i="3" s="1"/>
  <c r="L591" i="19"/>
  <c r="L590" i="19" s="1"/>
  <c r="L589" i="19" s="1"/>
  <c r="L588" i="19" s="1"/>
  <c r="L171" i="19"/>
  <c r="L170" i="19" s="1"/>
  <c r="L547" i="19"/>
  <c r="L533" i="19" s="1"/>
  <c r="L465" i="3"/>
  <c r="L464" i="3" s="1"/>
  <c r="L463" i="3" s="1"/>
  <c r="L462" i="3" s="1"/>
  <c r="L461" i="3" s="1"/>
  <c r="L467" i="19"/>
  <c r="L466" i="19" s="1"/>
  <c r="L465" i="19" s="1"/>
  <c r="L464" i="19" s="1"/>
  <c r="L223" i="19"/>
  <c r="L222" i="19" s="1"/>
  <c r="L217" i="19" s="1"/>
  <c r="L216" i="19" s="1"/>
  <c r="L215" i="19" s="1"/>
  <c r="L214" i="19" s="1"/>
  <c r="L391" i="19"/>
  <c r="L375" i="19"/>
  <c r="L374" i="19" s="1"/>
  <c r="L373" i="19" s="1"/>
  <c r="L372" i="19" s="1"/>
  <c r="L28" i="19"/>
  <c r="L27" i="19" s="1"/>
  <c r="L26" i="19" s="1"/>
  <c r="L25" i="19" s="1"/>
  <c r="L881" i="3"/>
  <c r="L880" i="3" s="1"/>
  <c r="L879" i="3" s="1"/>
  <c r="L878" i="3" s="1"/>
  <c r="L88" i="19"/>
  <c r="L87" i="19" s="1"/>
  <c r="L78" i="19" s="1"/>
  <c r="L428" i="19"/>
  <c r="L106" i="19"/>
  <c r="L178" i="3"/>
  <c r="L177" i="3" s="1"/>
  <c r="L176" i="3" s="1"/>
  <c r="L491" i="3"/>
  <c r="L490" i="3" s="1"/>
  <c r="L360" i="3" l="1"/>
  <c r="L359" i="3" s="1"/>
  <c r="L566" i="19"/>
  <c r="L565" i="19" s="1"/>
  <c r="L856" i="3"/>
  <c r="L855" i="3" s="1"/>
  <c r="L445" i="3" l="1"/>
  <c r="L444" i="3" s="1"/>
  <c r="N602" i="19"/>
  <c r="M461" i="19" l="1"/>
  <c r="L461" i="19" s="1"/>
  <c r="L460" i="19" s="1"/>
  <c r="M645" i="3"/>
  <c r="L769" i="3" l="1"/>
  <c r="L768" i="3" s="1"/>
  <c r="L767" i="3"/>
  <c r="L766" i="3"/>
  <c r="L765" i="3"/>
  <c r="L680" i="3"/>
  <c r="L679" i="3" s="1"/>
  <c r="L713" i="3"/>
  <c r="L712" i="3" s="1"/>
  <c r="L700" i="3"/>
  <c r="L699" i="3" s="1"/>
  <c r="L678" i="3"/>
  <c r="L677" i="3" s="1"/>
  <c r="H142" i="7"/>
  <c r="L347" i="19"/>
  <c r="L344" i="19" s="1"/>
  <c r="L534" i="3"/>
  <c r="L536" i="3"/>
  <c r="L764" i="3" l="1"/>
  <c r="L763" i="3" s="1"/>
  <c r="L532" i="3"/>
  <c r="M641" i="3"/>
  <c r="N357" i="19"/>
  <c r="N356" i="19"/>
  <c r="M356" i="19"/>
  <c r="L356" i="19" s="1"/>
  <c r="M357" i="19"/>
  <c r="L357" i="19" s="1"/>
  <c r="L560" i="3"/>
  <c r="M559" i="3"/>
  <c r="L559" i="3" s="1"/>
  <c r="L355" i="19" l="1"/>
  <c r="L324" i="19" s="1"/>
  <c r="L558" i="3"/>
  <c r="H359" i="7"/>
  <c r="H358" i="7" s="1"/>
  <c r="H357" i="7" s="1"/>
  <c r="L301" i="3"/>
  <c r="L300" i="3" s="1"/>
  <c r="L299" i="3" s="1"/>
  <c r="L298" i="3" l="1"/>
  <c r="L297" i="3" s="1"/>
  <c r="L296" i="3" s="1"/>
  <c r="L295" i="3" s="1"/>
  <c r="L294" i="3" s="1"/>
  <c r="L323" i="19"/>
  <c r="L322" i="19" s="1"/>
  <c r="L321" i="19" s="1"/>
  <c r="M305" i="3"/>
  <c r="M304" i="3" s="1"/>
  <c r="L845" i="3" l="1"/>
  <c r="L844" i="3" s="1"/>
  <c r="L223" i="3"/>
  <c r="L222" i="3" s="1"/>
  <c r="L221" i="3" s="1"/>
  <c r="L220" i="3" s="1"/>
  <c r="L219" i="3" s="1"/>
  <c r="L218" i="3" s="1"/>
  <c r="L84" i="3" l="1"/>
  <c r="L82" i="3" s="1"/>
  <c r="L81" i="3" s="1"/>
  <c r="L71" i="3"/>
  <c r="L70" i="3" s="1"/>
  <c r="L69" i="3" s="1"/>
  <c r="L76" i="3"/>
  <c r="L75" i="3"/>
  <c r="L74" i="3" s="1"/>
  <c r="L73" i="3" l="1"/>
  <c r="M782" i="3"/>
  <c r="L624" i="3"/>
  <c r="L623" i="3" s="1"/>
  <c r="L622" i="3" s="1"/>
  <c r="L621" i="3" s="1"/>
  <c r="L726" i="3"/>
  <c r="L725" i="3" s="1"/>
  <c r="L602" i="19"/>
  <c r="L601" i="19" s="1"/>
  <c r="L761" i="3"/>
  <c r="L760" i="3" s="1"/>
  <c r="L759" i="3" s="1"/>
  <c r="L758" i="3" s="1"/>
  <c r="L589" i="3"/>
  <c r="L590" i="3"/>
  <c r="L530" i="3"/>
  <c r="L531" i="3"/>
  <c r="L495" i="3"/>
  <c r="L494" i="3" s="1"/>
  <c r="L489" i="3" s="1"/>
  <c r="L523" i="3"/>
  <c r="L524" i="3"/>
  <c r="L584" i="3"/>
  <c r="L582" i="3"/>
  <c r="L735" i="3"/>
  <c r="L734" i="3" s="1"/>
  <c r="L733" i="3" s="1"/>
  <c r="L732" i="3" s="1"/>
  <c r="M704" i="3"/>
  <c r="L704" i="3" s="1"/>
  <c r="L703" i="3" s="1"/>
  <c r="L488" i="3" l="1"/>
  <c r="L487" i="3" s="1"/>
  <c r="L486" i="3" s="1"/>
  <c r="L782" i="3"/>
  <c r="L781" i="3" s="1"/>
  <c r="L780" i="3" s="1"/>
  <c r="H230" i="7"/>
  <c r="L68" i="3"/>
  <c r="L67" i="3" s="1"/>
  <c r="L56" i="3" s="1"/>
  <c r="L529" i="3"/>
  <c r="L588" i="3"/>
  <c r="L581" i="3"/>
  <c r="L521" i="3"/>
  <c r="M841" i="3"/>
  <c r="L841" i="3" s="1"/>
  <c r="L840" i="3" s="1"/>
  <c r="L839" i="3" s="1"/>
  <c r="L838" i="3" s="1"/>
  <c r="L837" i="3" s="1"/>
  <c r="L836" i="3" s="1"/>
  <c r="L835" i="3" s="1"/>
  <c r="L821" i="3" s="1"/>
  <c r="M690" i="3"/>
  <c r="L690" i="3" s="1"/>
  <c r="L689" i="3" s="1"/>
  <c r="L688" i="3" s="1"/>
  <c r="L687" i="3" s="1"/>
  <c r="L686" i="3" s="1"/>
  <c r="L685" i="3" s="1"/>
  <c r="L682" i="3"/>
  <c r="L681" i="3" s="1"/>
  <c r="H194" i="7"/>
  <c r="H193" i="7" s="1"/>
  <c r="M717" i="3"/>
  <c r="L580" i="3" l="1"/>
  <c r="L579" i="3" s="1"/>
  <c r="L578" i="3" s="1"/>
  <c r="L676" i="3"/>
  <c r="L675" i="3" s="1"/>
  <c r="L674" i="3" s="1"/>
  <c r="L673" i="3" s="1"/>
  <c r="L672" i="3" s="1"/>
  <c r="M744" i="3"/>
  <c r="L744" i="3" s="1"/>
  <c r="L742" i="3" s="1"/>
  <c r="L737" i="3" s="1"/>
  <c r="L736" i="3" s="1"/>
  <c r="L731" i="3" s="1"/>
  <c r="L730" i="3" s="1"/>
  <c r="M572" i="3" l="1"/>
  <c r="L572" i="3" s="1"/>
  <c r="L571" i="3" s="1"/>
  <c r="L567" i="3" s="1"/>
  <c r="H95" i="7" l="1"/>
  <c r="H94" i="7" s="1"/>
  <c r="H90" i="7" s="1"/>
  <c r="M571" i="3"/>
  <c r="M567" i="3" s="1"/>
  <c r="I347" i="18"/>
  <c r="I346" i="18" s="1"/>
  <c r="I345" i="18" s="1"/>
  <c r="I344" i="18" s="1"/>
  <c r="I339" i="18" s="1"/>
  <c r="H347" i="18"/>
  <c r="H346" i="18" s="1"/>
  <c r="H345" i="18" s="1"/>
  <c r="H344" i="18" s="1"/>
  <c r="H339" i="18" s="1"/>
  <c r="M562" i="3"/>
  <c r="L347" i="3"/>
  <c r="L345" i="3" s="1"/>
  <c r="L344" i="3" s="1"/>
  <c r="L343" i="3" s="1"/>
  <c r="L342" i="3" s="1"/>
  <c r="L341" i="3" s="1"/>
  <c r="L340" i="3" s="1"/>
  <c r="M561" i="3" l="1"/>
  <c r="L562" i="3"/>
  <c r="L561" i="3" s="1"/>
  <c r="H83" i="7"/>
  <c r="H82" i="7" s="1"/>
  <c r="L520" i="3" l="1"/>
  <c r="L519" i="3" s="1"/>
  <c r="L518" i="3" s="1"/>
  <c r="L517" i="3" s="1"/>
  <c r="E33" i="8"/>
  <c r="E32" i="8" s="1"/>
  <c r="E31" i="8" s="1"/>
  <c r="E30" i="8" s="1"/>
  <c r="D33" i="8"/>
  <c r="D32" i="8" s="1"/>
  <c r="C33" i="8"/>
  <c r="C32" i="8" s="1"/>
  <c r="D31" i="8" l="1"/>
  <c r="D30" i="8" s="1"/>
  <c r="C31" i="8"/>
  <c r="C30" i="8" s="1"/>
  <c r="M439" i="3"/>
  <c r="L439" i="3" s="1"/>
  <c r="L438" i="3" s="1"/>
  <c r="L435" i="3" s="1"/>
  <c r="L434" i="3" s="1"/>
  <c r="L433" i="3" s="1"/>
  <c r="L432" i="3" s="1"/>
  <c r="H400" i="7"/>
  <c r="H85" i="7" l="1"/>
  <c r="H84" i="7" s="1"/>
  <c r="L447" i="3"/>
  <c r="L446" i="3" s="1"/>
  <c r="L443" i="3" s="1"/>
  <c r="L442" i="3" s="1"/>
  <c r="L441" i="3" s="1"/>
  <c r="L440" i="3" s="1"/>
  <c r="L431" i="3" s="1"/>
  <c r="M446" i="3"/>
  <c r="F34" i="6" l="1"/>
  <c r="N147" i="19"/>
  <c r="N146" i="19" s="1"/>
  <c r="N145" i="19" s="1"/>
  <c r="N144" i="19" s="1"/>
  <c r="N143" i="19" s="1"/>
  <c r="N142" i="19" s="1"/>
  <c r="M147" i="19"/>
  <c r="M146" i="19" s="1"/>
  <c r="M145" i="19" s="1"/>
  <c r="M144" i="19" s="1"/>
  <c r="M143" i="19" s="1"/>
  <c r="M142" i="19" s="1"/>
  <c r="N630" i="19" l="1"/>
  <c r="M630" i="19"/>
  <c r="E34" i="6" s="1"/>
  <c r="H454" i="7"/>
  <c r="H453" i="7" s="1"/>
  <c r="H452" i="7" s="1"/>
  <c r="H451" i="7" s="1"/>
  <c r="M191" i="3"/>
  <c r="M190" i="3" s="1"/>
  <c r="M189" i="3" s="1"/>
  <c r="M188" i="3" s="1"/>
  <c r="M187" i="3" s="1"/>
  <c r="M919" i="3" s="1"/>
  <c r="D34" i="6" s="1"/>
  <c r="L117" i="3"/>
  <c r="L116" i="3" s="1"/>
  <c r="L115" i="3" s="1"/>
  <c r="L109" i="3" s="1"/>
  <c r="L108" i="3" s="1"/>
  <c r="L107" i="3" s="1"/>
  <c r="L94" i="3" s="1"/>
  <c r="H458" i="7" l="1"/>
  <c r="H457" i="7" s="1"/>
  <c r="H456" i="7" s="1"/>
  <c r="M60" i="3"/>
  <c r="M59" i="3" s="1"/>
  <c r="M58" i="3" s="1"/>
  <c r="M57" i="3" s="1"/>
  <c r="M77" i="19" l="1"/>
  <c r="L77" i="19" s="1"/>
  <c r="L75" i="19" s="1"/>
  <c r="L74" i="19" s="1"/>
  <c r="L64" i="19" s="1"/>
  <c r="L63" i="19" s="1"/>
  <c r="L57" i="19" s="1"/>
  <c r="L18" i="19" s="1"/>
  <c r="L17" i="19" s="1"/>
  <c r="M454" i="19" l="1"/>
  <c r="L454" i="19" s="1"/>
  <c r="L453" i="19" s="1"/>
  <c r="L450" i="19" s="1"/>
  <c r="L449" i="19" s="1"/>
  <c r="M710" i="3"/>
  <c r="L710" i="3" s="1"/>
  <c r="L709" i="3" s="1"/>
  <c r="L698" i="3" s="1"/>
  <c r="N454" i="19"/>
  <c r="M722" i="3" l="1"/>
  <c r="H198" i="7" l="1"/>
  <c r="H197" i="7" s="1"/>
  <c r="L722" i="3"/>
  <c r="L721" i="3" s="1"/>
  <c r="M721" i="3"/>
  <c r="M711" i="3" s="1"/>
  <c r="L28" i="3"/>
  <c r="L27" i="3" s="1"/>
  <c r="L26" i="3" l="1"/>
  <c r="L25" i="3" s="1"/>
  <c r="L24" i="3" s="1"/>
  <c r="L23" i="3" s="1"/>
  <c r="L16" i="3" s="1"/>
  <c r="L711" i="3"/>
  <c r="L697" i="3" s="1"/>
  <c r="L206" i="3"/>
  <c r="L205" i="3" s="1"/>
  <c r="L204" i="3" s="1"/>
  <c r="L203" i="3" s="1"/>
  <c r="L202" i="3" s="1"/>
  <c r="L201" i="3" s="1"/>
  <c r="L200" i="3" s="1"/>
  <c r="M199" i="3"/>
  <c r="L199" i="3" s="1"/>
  <c r="L198" i="3" s="1"/>
  <c r="L197" i="3" s="1"/>
  <c r="L196" i="3" s="1"/>
  <c r="L195" i="3" s="1"/>
  <c r="L194" i="3" s="1"/>
  <c r="L193" i="3" s="1"/>
  <c r="H465" i="7"/>
  <c r="H463" i="7"/>
  <c r="H462" i="7" s="1"/>
  <c r="H461" i="7"/>
  <c r="H460" i="7" s="1"/>
  <c r="M181" i="3"/>
  <c r="M183" i="3"/>
  <c r="L430" i="3" l="1"/>
  <c r="L429" i="3" s="1"/>
  <c r="L426" i="3" s="1"/>
  <c r="L425" i="3" s="1"/>
  <c r="L424" i="3" l="1"/>
  <c r="L423" i="3" s="1"/>
  <c r="L422" i="3" s="1"/>
  <c r="L358" i="3" s="1"/>
  <c r="L632" i="3" l="1"/>
  <c r="L631" i="3" s="1"/>
  <c r="L626" i="3" s="1"/>
  <c r="L625" i="3" s="1"/>
  <c r="L620" i="3" s="1"/>
  <c r="L619" i="3" s="1"/>
  <c r="N456" i="19" l="1"/>
  <c r="M456" i="19"/>
  <c r="M170" i="3" l="1"/>
  <c r="L170" i="3" s="1"/>
  <c r="L169" i="3" s="1"/>
  <c r="L168" i="3" s="1"/>
  <c r="L167" i="3" l="1"/>
  <c r="L166" i="3" s="1"/>
  <c r="L147" i="3" s="1"/>
  <c r="L131" i="3" s="1"/>
  <c r="L15" i="3" s="1"/>
  <c r="H147" i="7"/>
  <c r="H149" i="7"/>
  <c r="M396" i="19"/>
  <c r="I114" i="18"/>
  <c r="H114" i="18"/>
  <c r="N409" i="19"/>
  <c r="M409" i="19"/>
  <c r="N408" i="19"/>
  <c r="N407" i="19" s="1"/>
  <c r="M408" i="19"/>
  <c r="I108" i="18"/>
  <c r="H108" i="18"/>
  <c r="N369" i="19"/>
  <c r="M369" i="19"/>
  <c r="I61" i="18"/>
  <c r="H61" i="18"/>
  <c r="N351" i="19"/>
  <c r="M351" i="19"/>
  <c r="I41" i="18"/>
  <c r="H41" i="18"/>
  <c r="N333" i="19"/>
  <c r="M333" i="19"/>
  <c r="M581" i="3"/>
  <c r="M407" i="19" l="1"/>
  <c r="M406" i="19" s="1"/>
  <c r="L408" i="19"/>
  <c r="L407" i="19" s="1"/>
  <c r="L406" i="19" s="1"/>
  <c r="L390" i="19" s="1"/>
  <c r="L389" i="19" s="1"/>
  <c r="L388" i="19" s="1"/>
  <c r="L303" i="19" s="1"/>
  <c r="L289" i="19" s="1"/>
  <c r="H112" i="18"/>
  <c r="I112" i="18"/>
  <c r="N406" i="19"/>
  <c r="M647" i="3"/>
  <c r="M644" i="3" s="1"/>
  <c r="M593" i="3"/>
  <c r="H57" i="7"/>
  <c r="H55" i="7"/>
  <c r="H54" i="7"/>
  <c r="M532" i="3"/>
  <c r="H53" i="7" l="1"/>
  <c r="M606" i="3"/>
  <c r="M605" i="3" s="1"/>
  <c r="M604" i="3" s="1"/>
  <c r="L606" i="3" l="1"/>
  <c r="L605" i="3" s="1"/>
  <c r="L604" i="3" s="1"/>
  <c r="L577" i="3" s="1"/>
  <c r="L485" i="3" s="1"/>
  <c r="M355" i="3"/>
  <c r="M354" i="3" s="1"/>
  <c r="M353" i="3" s="1"/>
  <c r="M352" i="3" s="1"/>
  <c r="M351" i="3" s="1"/>
  <c r="L471" i="3" l="1"/>
  <c r="I412" i="18"/>
  <c r="I411" i="18" s="1"/>
  <c r="H412" i="18"/>
  <c r="H411" i="18" s="1"/>
  <c r="N154" i="19"/>
  <c r="N153" i="19" s="1"/>
  <c r="N152" i="19" s="1"/>
  <c r="N151" i="19" s="1"/>
  <c r="N150" i="19" s="1"/>
  <c r="N149" i="19" s="1"/>
  <c r="M154" i="19"/>
  <c r="M153" i="19" s="1"/>
  <c r="M152" i="19" s="1"/>
  <c r="M151" i="19" s="1"/>
  <c r="M150" i="19" s="1"/>
  <c r="I431" i="18"/>
  <c r="H431" i="18"/>
  <c r="I430" i="18"/>
  <c r="H430" i="18"/>
  <c r="N75" i="19"/>
  <c r="N74" i="19" s="1"/>
  <c r="M75" i="19"/>
  <c r="M74" i="19" s="1"/>
  <c r="M149" i="19" l="1"/>
  <c r="H429" i="18"/>
  <c r="H428" i="18" s="1"/>
  <c r="I429" i="18"/>
  <c r="I428" i="18" s="1"/>
  <c r="H336" i="7" l="1"/>
  <c r="H335" i="7" s="1"/>
  <c r="H334" i="7" s="1"/>
  <c r="H333" i="7" s="1"/>
  <c r="H565" i="7" l="1"/>
  <c r="H564" i="7"/>
  <c r="H563" i="7"/>
  <c r="H562" i="7" l="1"/>
  <c r="H561" i="7" s="1"/>
  <c r="M82" i="3"/>
  <c r="M81" i="3" s="1"/>
  <c r="H270" i="7" l="1"/>
  <c r="I145" i="18"/>
  <c r="I144" i="18" s="1"/>
  <c r="I143" i="18" s="1"/>
  <c r="H145" i="18"/>
  <c r="H144" i="18" s="1"/>
  <c r="H143" i="18" s="1"/>
  <c r="N444" i="19"/>
  <c r="N443" i="19" s="1"/>
  <c r="M444" i="19"/>
  <c r="M443" i="19" s="1"/>
  <c r="H201" i="7"/>
  <c r="M692" i="3"/>
  <c r="M691" i="3" s="1"/>
  <c r="I185" i="18" l="1"/>
  <c r="H185" i="18"/>
  <c r="M781" i="3" l="1"/>
  <c r="N500" i="19"/>
  <c r="M500" i="19"/>
  <c r="I200" i="18"/>
  <c r="H200" i="18"/>
  <c r="I199" i="18"/>
  <c r="H199" i="18"/>
  <c r="I198" i="18"/>
  <c r="H198" i="18"/>
  <c r="H202" i="18"/>
  <c r="H201" i="18" s="1"/>
  <c r="I202" i="18"/>
  <c r="I201" i="18" s="1"/>
  <c r="N494" i="19"/>
  <c r="M494" i="19"/>
  <c r="L486" i="19"/>
  <c r="L485" i="19" s="1"/>
  <c r="L477" i="19" s="1"/>
  <c r="M490" i="19"/>
  <c r="N490" i="19"/>
  <c r="N489" i="19" l="1"/>
  <c r="N488" i="19" s="1"/>
  <c r="N487" i="19" s="1"/>
  <c r="M489" i="19"/>
  <c r="M488" i="19" s="1"/>
  <c r="M487" i="19" s="1"/>
  <c r="H197" i="18"/>
  <c r="H196" i="18" s="1"/>
  <c r="I197" i="18"/>
  <c r="I196" i="18" s="1"/>
  <c r="L762" i="3" l="1"/>
  <c r="L757" i="3" s="1"/>
  <c r="L756" i="3" s="1"/>
  <c r="H233" i="7"/>
  <c r="H232" i="7" s="1"/>
  <c r="H231" i="7" s="1"/>
  <c r="L785" i="3"/>
  <c r="L784" i="3" s="1"/>
  <c r="L783" i="3" s="1"/>
  <c r="L779" i="3" s="1"/>
  <c r="M784" i="3"/>
  <c r="M783" i="3" s="1"/>
  <c r="L778" i="3" l="1"/>
  <c r="L777" i="3" s="1"/>
  <c r="L755" i="3" s="1"/>
  <c r="L747" i="3" s="1"/>
  <c r="N460" i="19"/>
  <c r="M460" i="19"/>
  <c r="N463" i="19"/>
  <c r="M463" i="19"/>
  <c r="L463" i="19" s="1"/>
  <c r="L462" i="19" s="1"/>
  <c r="L459" i="19" s="1"/>
  <c r="L458" i="19" s="1"/>
  <c r="L448" i="19" s="1"/>
  <c r="L447" i="19" s="1"/>
  <c r="L446" i="19" s="1"/>
  <c r="L420" i="19" s="1"/>
  <c r="L16" i="19" s="1"/>
  <c r="I139" i="18"/>
  <c r="I138" i="18" s="1"/>
  <c r="N453" i="19"/>
  <c r="M453" i="19"/>
  <c r="L729" i="3"/>
  <c r="L728" i="3" s="1"/>
  <c r="L724" i="3" s="1"/>
  <c r="L723" i="3" s="1"/>
  <c r="L696" i="3" s="1"/>
  <c r="L695" i="3" s="1"/>
  <c r="L694" i="3" s="1"/>
  <c r="L664" i="3" s="1"/>
  <c r="H178" i="7"/>
  <c r="H177" i="7" s="1"/>
  <c r="M701" i="3"/>
  <c r="L14" i="3" l="1"/>
  <c r="H139" i="18"/>
  <c r="H138" i="18" s="1"/>
  <c r="N268" i="19"/>
  <c r="I321" i="18"/>
  <c r="H321" i="18"/>
  <c r="N242" i="19"/>
  <c r="N241" i="19" s="1"/>
  <c r="N240" i="19" s="1"/>
  <c r="M242" i="19"/>
  <c r="M241" i="19" s="1"/>
  <c r="M240" i="19" s="1"/>
  <c r="N267" i="19" l="1"/>
  <c r="N266" i="19" s="1"/>
  <c r="N265" i="19" s="1"/>
  <c r="N264" i="19" s="1"/>
  <c r="I319" i="18"/>
  <c r="I318" i="18" s="1"/>
  <c r="H319" i="18"/>
  <c r="H318" i="18" s="1"/>
  <c r="N586" i="19"/>
  <c r="N585" i="19" s="1"/>
  <c r="M586" i="19"/>
  <c r="M585" i="19" s="1"/>
  <c r="H420" i="7"/>
  <c r="H419" i="7" s="1"/>
  <c r="M876" i="3"/>
  <c r="M875" i="3" s="1"/>
  <c r="I265" i="18" l="1"/>
  <c r="I264" i="18" s="1"/>
  <c r="H265" i="18"/>
  <c r="H264" i="18" s="1"/>
  <c r="N194" i="19"/>
  <c r="N193" i="19" s="1"/>
  <c r="N192" i="19" s="1"/>
  <c r="N191" i="19" s="1"/>
  <c r="N190" i="19" s="1"/>
  <c r="N636" i="19" s="1"/>
  <c r="M194" i="19"/>
  <c r="M193" i="19" s="1"/>
  <c r="M192" i="19" s="1"/>
  <c r="M191" i="19" s="1"/>
  <c r="M190" i="19" s="1"/>
  <c r="M636" i="19" s="1"/>
  <c r="N189" i="19" l="1"/>
  <c r="M189" i="19"/>
  <c r="H19" i="18" l="1"/>
  <c r="I19" i="18"/>
  <c r="I23" i="18"/>
  <c r="H25" i="18"/>
  <c r="I25" i="18"/>
  <c r="H26" i="18"/>
  <c r="I26" i="18"/>
  <c r="H28" i="18"/>
  <c r="I28" i="18"/>
  <c r="H30" i="18"/>
  <c r="I30" i="18"/>
  <c r="H33" i="18"/>
  <c r="I33" i="18"/>
  <c r="H34" i="18"/>
  <c r="I34" i="18"/>
  <c r="H35" i="18"/>
  <c r="I35" i="18"/>
  <c r="H36" i="18"/>
  <c r="I36" i="18"/>
  <c r="H42" i="18"/>
  <c r="I42" i="18"/>
  <c r="I43" i="18"/>
  <c r="H44" i="18"/>
  <c r="I44" i="18"/>
  <c r="H46" i="18"/>
  <c r="I46" i="18"/>
  <c r="H47" i="18"/>
  <c r="I47" i="18"/>
  <c r="H49" i="18"/>
  <c r="I49" i="18"/>
  <c r="H50" i="18"/>
  <c r="I50" i="18"/>
  <c r="H51" i="18"/>
  <c r="I51" i="18"/>
  <c r="H53" i="18"/>
  <c r="I53" i="18"/>
  <c r="H54" i="18"/>
  <c r="I54" i="18"/>
  <c r="H55" i="18"/>
  <c r="I55" i="18"/>
  <c r="H57" i="18"/>
  <c r="I57" i="18"/>
  <c r="H58" i="18"/>
  <c r="I58" i="18"/>
  <c r="H60" i="18"/>
  <c r="I60" i="18"/>
  <c r="H62" i="18"/>
  <c r="I62" i="18"/>
  <c r="H64" i="18"/>
  <c r="I64" i="18"/>
  <c r="H65" i="18"/>
  <c r="I65" i="18"/>
  <c r="H69" i="18"/>
  <c r="H68" i="18" s="1"/>
  <c r="I69" i="18"/>
  <c r="H71" i="18"/>
  <c r="I71" i="18"/>
  <c r="H72" i="18"/>
  <c r="I72" i="18"/>
  <c r="H73" i="18"/>
  <c r="I73" i="18"/>
  <c r="H80" i="18"/>
  <c r="I80" i="18"/>
  <c r="H81" i="18"/>
  <c r="I81" i="18"/>
  <c r="H82" i="18"/>
  <c r="I82" i="18"/>
  <c r="H83" i="18"/>
  <c r="I83" i="18"/>
  <c r="H88" i="18"/>
  <c r="I88" i="18"/>
  <c r="H90" i="18"/>
  <c r="I90" i="18"/>
  <c r="I94" i="18"/>
  <c r="H95" i="18"/>
  <c r="I95" i="18"/>
  <c r="H96" i="18"/>
  <c r="I96" i="18"/>
  <c r="I98" i="18"/>
  <c r="H99" i="18"/>
  <c r="I99" i="18"/>
  <c r="I100" i="18"/>
  <c r="H101" i="18"/>
  <c r="I101" i="18"/>
  <c r="H103" i="18"/>
  <c r="I103" i="18"/>
  <c r="H105" i="18"/>
  <c r="H104" i="18" s="1"/>
  <c r="I105" i="18"/>
  <c r="I104" i="18" s="1"/>
  <c r="H109" i="18"/>
  <c r="H107" i="18" s="1"/>
  <c r="I109" i="18"/>
  <c r="I107" i="18" s="1"/>
  <c r="H117" i="18"/>
  <c r="I117" i="18"/>
  <c r="H120" i="18"/>
  <c r="I120" i="18"/>
  <c r="H123" i="18"/>
  <c r="I123" i="18"/>
  <c r="H129" i="18"/>
  <c r="I129" i="18"/>
  <c r="H131" i="18"/>
  <c r="I131" i="18"/>
  <c r="H134" i="18"/>
  <c r="I134" i="18"/>
  <c r="H137" i="18"/>
  <c r="I137" i="18"/>
  <c r="I142" i="18"/>
  <c r="H149" i="18"/>
  <c r="H148" i="18" s="1"/>
  <c r="I149" i="18"/>
  <c r="I148" i="18" s="1"/>
  <c r="H151" i="18"/>
  <c r="H155" i="18"/>
  <c r="I155" i="18"/>
  <c r="H156" i="18"/>
  <c r="I156" i="18"/>
  <c r="H157" i="18"/>
  <c r="I157" i="18"/>
  <c r="H159" i="18"/>
  <c r="I159" i="18"/>
  <c r="H160" i="18"/>
  <c r="I160" i="18"/>
  <c r="H161" i="18"/>
  <c r="I161" i="18"/>
  <c r="H164" i="18"/>
  <c r="I164" i="18"/>
  <c r="H169" i="18"/>
  <c r="H168" i="18" s="1"/>
  <c r="I173" i="18"/>
  <c r="I172" i="18" s="1"/>
  <c r="H177" i="18"/>
  <c r="I177" i="18"/>
  <c r="H179" i="18"/>
  <c r="I179" i="18"/>
  <c r="H195" i="18"/>
  <c r="I195" i="18"/>
  <c r="H213" i="18"/>
  <c r="I213" i="18"/>
  <c r="H214" i="18"/>
  <c r="I214" i="18"/>
  <c r="H215" i="18"/>
  <c r="I215" i="18"/>
  <c r="H219" i="18"/>
  <c r="I219" i="18"/>
  <c r="H220" i="18"/>
  <c r="I220" i="18"/>
  <c r="H221" i="18"/>
  <c r="I221" i="18"/>
  <c r="H224" i="18"/>
  <c r="I224" i="18"/>
  <c r="H227" i="18"/>
  <c r="I227" i="18"/>
  <c r="H230" i="18"/>
  <c r="I230" i="18"/>
  <c r="H236" i="18"/>
  <c r="I236" i="18"/>
  <c r="H238" i="18"/>
  <c r="I238" i="18"/>
  <c r="H242" i="18"/>
  <c r="I242" i="18"/>
  <c r="H245" i="18"/>
  <c r="I245" i="18"/>
  <c r="H250" i="18"/>
  <c r="I250" i="18"/>
  <c r="H251" i="18"/>
  <c r="I251" i="18"/>
  <c r="H255" i="18"/>
  <c r="I255" i="18"/>
  <c r="H261" i="18"/>
  <c r="I261" i="18"/>
  <c r="H262" i="18"/>
  <c r="I262" i="18"/>
  <c r="H263" i="18"/>
  <c r="I263" i="18"/>
  <c r="H268" i="18"/>
  <c r="I268" i="18"/>
  <c r="H271" i="18"/>
  <c r="I271" i="18"/>
  <c r="H274" i="18"/>
  <c r="I274" i="18"/>
  <c r="H280" i="18"/>
  <c r="I280" i="18"/>
  <c r="I284" i="18"/>
  <c r="H285" i="18"/>
  <c r="I285" i="18"/>
  <c r="H286" i="18"/>
  <c r="I286" i="18"/>
  <c r="H290" i="18"/>
  <c r="I290" i="18"/>
  <c r="H292" i="18"/>
  <c r="I292" i="18"/>
  <c r="H295" i="18"/>
  <c r="I295" i="18"/>
  <c r="H298" i="18"/>
  <c r="I298" i="18"/>
  <c r="H304" i="18"/>
  <c r="I304" i="18"/>
  <c r="H305" i="18"/>
  <c r="I305" i="18"/>
  <c r="H307" i="18"/>
  <c r="I307" i="18"/>
  <c r="H308" i="18"/>
  <c r="I308" i="18"/>
  <c r="H312" i="18"/>
  <c r="I312" i="18"/>
  <c r="H313" i="18"/>
  <c r="I313" i="18"/>
  <c r="H315" i="18"/>
  <c r="I315" i="18"/>
  <c r="H316" i="18"/>
  <c r="I316" i="18"/>
  <c r="H324" i="18"/>
  <c r="I324" i="18"/>
  <c r="H328" i="18"/>
  <c r="I328" i="18"/>
  <c r="H331" i="18"/>
  <c r="I331" i="18"/>
  <c r="H334" i="18"/>
  <c r="I334" i="18"/>
  <c r="H337" i="18"/>
  <c r="I337" i="18"/>
  <c r="H353" i="18"/>
  <c r="I353" i="18"/>
  <c r="H356" i="18"/>
  <c r="I356" i="18"/>
  <c r="H362" i="18"/>
  <c r="I362" i="18"/>
  <c r="H368" i="18"/>
  <c r="I368" i="18"/>
  <c r="H372" i="18"/>
  <c r="I372" i="18"/>
  <c r="H384" i="18"/>
  <c r="I384" i="18"/>
  <c r="H390" i="18"/>
  <c r="I390" i="18"/>
  <c r="H395" i="18"/>
  <c r="I395" i="18"/>
  <c r="H399" i="18"/>
  <c r="I399" i="18"/>
  <c r="H404" i="18"/>
  <c r="I404" i="18"/>
  <c r="H410" i="18"/>
  <c r="H414" i="18"/>
  <c r="I414" i="18"/>
  <c r="H415" i="18"/>
  <c r="I415" i="18"/>
  <c r="H418" i="18"/>
  <c r="I418" i="18"/>
  <c r="H420" i="18"/>
  <c r="I420" i="18"/>
  <c r="H423" i="18"/>
  <c r="I423" i="18"/>
  <c r="H424" i="18"/>
  <c r="I424" i="18"/>
  <c r="H437" i="18"/>
  <c r="I437" i="18"/>
  <c r="H442" i="18"/>
  <c r="I442" i="18"/>
  <c r="H443" i="18"/>
  <c r="I443" i="18"/>
  <c r="H444" i="18"/>
  <c r="I444" i="18"/>
  <c r="H449" i="18"/>
  <c r="I449" i="18"/>
  <c r="I59" i="18" l="1"/>
  <c r="H59" i="18"/>
  <c r="I40" i="18"/>
  <c r="H284" i="18"/>
  <c r="H43" i="18"/>
  <c r="H40" i="18" s="1"/>
  <c r="H393" i="18" l="1"/>
  <c r="H378" i="18"/>
  <c r="H500" i="7" l="1"/>
  <c r="H499" i="7" s="1"/>
  <c r="M164" i="3"/>
  <c r="H173" i="18" l="1"/>
  <c r="H172" i="18" s="1"/>
  <c r="H23" i="18" l="1"/>
  <c r="H401" i="7" l="1"/>
  <c r="H398" i="7" s="1"/>
  <c r="M375" i="3"/>
  <c r="H422" i="7" l="1"/>
  <c r="M398" i="3"/>
  <c r="M397" i="3" s="1"/>
  <c r="M396" i="3" s="1"/>
  <c r="M395" i="3" s="1"/>
  <c r="M546" i="3" l="1"/>
  <c r="H98" i="18" l="1"/>
  <c r="M466" i="3" l="1"/>
  <c r="M465" i="3" l="1"/>
  <c r="M464" i="3" s="1"/>
  <c r="M463" i="3" s="1"/>
  <c r="M462" i="3" s="1"/>
  <c r="M461" i="3" s="1"/>
  <c r="H315" i="7"/>
  <c r="H314" i="7" s="1"/>
  <c r="I102" i="18" l="1"/>
  <c r="H102" i="18"/>
  <c r="N401" i="19" l="1"/>
  <c r="M401" i="19"/>
  <c r="H139" i="7"/>
  <c r="H138" i="7" s="1"/>
  <c r="M639" i="3"/>
  <c r="I403" i="18" l="1"/>
  <c r="H403" i="18"/>
  <c r="I401" i="18"/>
  <c r="H401" i="18"/>
  <c r="I406" i="18"/>
  <c r="H406" i="18"/>
  <c r="I407" i="18"/>
  <c r="H407" i="18"/>
  <c r="I333" i="18" l="1"/>
  <c r="H333" i="18"/>
  <c r="I330" i="18"/>
  <c r="H330" i="18"/>
  <c r="I327" i="18"/>
  <c r="H327" i="18"/>
  <c r="H255" i="7" l="1"/>
  <c r="I378" i="18" l="1"/>
  <c r="H332" i="7"/>
  <c r="H331" i="7" s="1"/>
  <c r="H330" i="7" s="1"/>
  <c r="M125" i="3"/>
  <c r="M124" i="3" s="1"/>
  <c r="H142" i="18" l="1"/>
  <c r="H141" i="18" s="1"/>
  <c r="H186" i="7" l="1"/>
  <c r="H185" i="7" s="1"/>
  <c r="M709" i="3" l="1"/>
  <c r="H289" i="18" l="1"/>
  <c r="H38" i="18" l="1"/>
  <c r="H100" i="18"/>
  <c r="H94" i="18"/>
  <c r="M775" i="3" l="1"/>
  <c r="M771" i="3" l="1"/>
  <c r="M770" i="3" s="1"/>
  <c r="H266" i="7" l="1"/>
  <c r="H265" i="7" s="1"/>
  <c r="H264" i="7"/>
  <c r="H263" i="7"/>
  <c r="H262" i="7"/>
  <c r="H261" i="7" l="1"/>
  <c r="H260" i="7" s="1"/>
  <c r="M390" i="3" l="1"/>
  <c r="M389" i="3" s="1"/>
  <c r="H397" i="7" l="1"/>
  <c r="H396" i="7" s="1"/>
  <c r="M742" i="3"/>
  <c r="I323" i="18" l="1"/>
  <c r="H323" i="18"/>
  <c r="I322" i="18"/>
  <c r="I320" i="18" s="1"/>
  <c r="H322" i="18"/>
  <c r="H320" i="18" s="1"/>
  <c r="N279" i="19"/>
  <c r="M279" i="19"/>
  <c r="I68" i="18" l="1"/>
  <c r="N358" i="19"/>
  <c r="I410" i="18" l="1"/>
  <c r="H112" i="7" l="1"/>
  <c r="H111" i="7" l="1"/>
  <c r="H110" i="7" s="1"/>
  <c r="N462" i="19" l="1"/>
  <c r="I151" i="18"/>
  <c r="N40" i="19"/>
  <c r="M40" i="19"/>
  <c r="H530" i="7"/>
  <c r="H529" i="7"/>
  <c r="M39" i="3"/>
  <c r="H78" i="7"/>
  <c r="H77" i="7"/>
  <c r="H89" i="7"/>
  <c r="H88" i="7"/>
  <c r="H87" i="7"/>
  <c r="H76" i="7" l="1"/>
  <c r="H405" i="18"/>
  <c r="I405" i="18"/>
  <c r="H528" i="7"/>
  <c r="H70" i="18"/>
  <c r="I70" i="18"/>
  <c r="H86" i="7"/>
  <c r="H39" i="18"/>
  <c r="I39" i="18"/>
  <c r="M358" i="19"/>
  <c r="N360" i="19"/>
  <c r="M360" i="19"/>
  <c r="M563" i="3"/>
  <c r="M558" i="3" l="1"/>
  <c r="N592" i="19"/>
  <c r="M592" i="19"/>
  <c r="N598" i="19"/>
  <c r="M598" i="19"/>
  <c r="N574" i="19"/>
  <c r="M574" i="19"/>
  <c r="N579" i="19"/>
  <c r="M579" i="19"/>
  <c r="H432" i="7"/>
  <c r="H433" i="7"/>
  <c r="M882" i="3"/>
  <c r="M888" i="3"/>
  <c r="M864" i="3"/>
  <c r="M869" i="3"/>
  <c r="H385" i="7" l="1"/>
  <c r="H384" i="7" s="1"/>
  <c r="H346" i="7"/>
  <c r="H345" i="7" s="1"/>
  <c r="H535" i="7"/>
  <c r="H534" i="7" s="1"/>
  <c r="F39" i="6" l="1"/>
  <c r="E39" i="6"/>
  <c r="M452" i="3"/>
  <c r="M451" i="3" s="1"/>
  <c r="M450" i="3" s="1"/>
  <c r="M449" i="3" s="1"/>
  <c r="M448" i="3" s="1"/>
  <c r="M324" i="3"/>
  <c r="M323" i="3" s="1"/>
  <c r="M322" i="3" s="1"/>
  <c r="M321" i="3" s="1"/>
  <c r="M320" i="3" s="1"/>
  <c r="M319" i="3" s="1"/>
  <c r="M198" i="3"/>
  <c r="M197" i="3" s="1"/>
  <c r="M196" i="3" s="1"/>
  <c r="M195" i="3" s="1"/>
  <c r="M194" i="3" s="1"/>
  <c r="M925" i="3" l="1"/>
  <c r="D39" i="6" s="1"/>
  <c r="M193" i="3"/>
  <c r="I397" i="18"/>
  <c r="H397" i="18"/>
  <c r="I393" i="18" l="1"/>
  <c r="I22" i="18" l="1"/>
  <c r="N247" i="19"/>
  <c r="M247" i="19"/>
  <c r="H22" i="18"/>
  <c r="M367" i="3"/>
  <c r="M403" i="3"/>
  <c r="M885" i="3" l="1"/>
  <c r="M881" i="3" s="1"/>
  <c r="H59" i="7" l="1"/>
  <c r="N262" i="19" l="1"/>
  <c r="N261" i="19" s="1"/>
  <c r="M262" i="19"/>
  <c r="M261" i="19" s="1"/>
  <c r="M591" i="3" l="1"/>
  <c r="I436" i="18" l="1"/>
  <c r="I435" i="18" s="1"/>
  <c r="I434" i="18" s="1"/>
  <c r="I433" i="18" s="1"/>
  <c r="H436" i="18"/>
  <c r="H435" i="18" s="1"/>
  <c r="H434" i="18" s="1"/>
  <c r="H433" i="18" s="1"/>
  <c r="I86" i="18"/>
  <c r="H86" i="18"/>
  <c r="I85" i="18"/>
  <c r="H85" i="18"/>
  <c r="I38" i="18"/>
  <c r="N319" i="19"/>
  <c r="N318" i="19" s="1"/>
  <c r="N317" i="19" s="1"/>
  <c r="N316" i="19" s="1"/>
  <c r="M319" i="19"/>
  <c r="M318" i="19" s="1"/>
  <c r="M317" i="19" s="1"/>
  <c r="M316" i="19" s="1"/>
  <c r="H21" i="18"/>
  <c r="H58" i="7"/>
  <c r="H24" i="7"/>
  <c r="M537" i="3"/>
  <c r="M515" i="3"/>
  <c r="M510" i="3" s="1"/>
  <c r="I111" i="18" l="1"/>
  <c r="N310" i="19"/>
  <c r="I21" i="18"/>
  <c r="I20" i="18" s="1"/>
  <c r="M509" i="3"/>
  <c r="M508" i="3" s="1"/>
  <c r="M310" i="19"/>
  <c r="H111" i="18"/>
  <c r="M381" i="19"/>
  <c r="I37" i="18"/>
  <c r="H20" i="18"/>
  <c r="I171" i="18"/>
  <c r="H171" i="18"/>
  <c r="H167" i="18" s="1"/>
  <c r="I84" i="18"/>
  <c r="H37" i="18"/>
  <c r="N330" i="19"/>
  <c r="N381" i="19"/>
  <c r="M330" i="19"/>
  <c r="H84" i="18" l="1"/>
  <c r="M496" i="3"/>
  <c r="N499" i="19" l="1"/>
  <c r="N498" i="19" s="1"/>
  <c r="N497" i="19" s="1"/>
  <c r="M499" i="19"/>
  <c r="M498" i="19" s="1"/>
  <c r="M497" i="19" s="1"/>
  <c r="I178" i="18"/>
  <c r="H178" i="18"/>
  <c r="H176" i="18" s="1"/>
  <c r="F32" i="6" l="1"/>
  <c r="E32" i="6"/>
  <c r="I254" i="18" l="1"/>
  <c r="I253" i="18" s="1"/>
  <c r="I252" i="18" s="1"/>
  <c r="H254" i="18"/>
  <c r="H253" i="18" s="1"/>
  <c r="H252" i="18" s="1"/>
  <c r="H464" i="7" l="1"/>
  <c r="H459" i="7" s="1"/>
  <c r="H455" i="7" s="1"/>
  <c r="H506" i="7"/>
  <c r="N104" i="19"/>
  <c r="N103" i="19" s="1"/>
  <c r="N102" i="19" s="1"/>
  <c r="M104" i="19"/>
  <c r="M103" i="19" s="1"/>
  <c r="M102" i="19" s="1"/>
  <c r="I249" i="18"/>
  <c r="H249" i="18"/>
  <c r="I394" i="18" l="1"/>
  <c r="H394" i="18"/>
  <c r="M185" i="3"/>
  <c r="M180" i="3" s="1"/>
  <c r="M178" i="3" l="1"/>
  <c r="M177" i="3" s="1"/>
  <c r="M176" i="3" s="1"/>
  <c r="M179" i="3"/>
  <c r="M916" i="3" l="1"/>
  <c r="H373" i="7"/>
  <c r="D32" i="6" l="1"/>
  <c r="I289" i="18"/>
  <c r="I288" i="18"/>
  <c r="H288" i="18"/>
  <c r="I133" i="18" l="1"/>
  <c r="I132" i="18" s="1"/>
  <c r="H133" i="18"/>
  <c r="H132" i="18" s="1"/>
  <c r="N459" i="19"/>
  <c r="N458" i="19" s="1"/>
  <c r="N441" i="19"/>
  <c r="M441" i="19"/>
  <c r="N440" i="19" l="1"/>
  <c r="N439" i="19" s="1"/>
  <c r="N438" i="19" s="1"/>
  <c r="N437" i="19" s="1"/>
  <c r="M440" i="19"/>
  <c r="M439" i="19" s="1"/>
  <c r="M438" i="19" s="1"/>
  <c r="M437" i="19" s="1"/>
  <c r="D60" i="6" l="1"/>
  <c r="M725" i="3" l="1"/>
  <c r="M631" i="19" l="1"/>
  <c r="H205" i="7" l="1"/>
  <c r="H25" i="7" l="1"/>
  <c r="M268" i="19"/>
  <c r="M267" i="19" l="1"/>
  <c r="M266" i="19" s="1"/>
  <c r="M265" i="19" s="1"/>
  <c r="M264" i="19" s="1"/>
  <c r="H36" i="7"/>
  <c r="H35" i="7" s="1"/>
  <c r="N260" i="19" l="1"/>
  <c r="N259" i="19" s="1"/>
  <c r="N258" i="19" s="1"/>
  <c r="N257" i="19" s="1"/>
  <c r="M260" i="19"/>
  <c r="M259" i="19" s="1"/>
  <c r="M258" i="19" s="1"/>
  <c r="M257" i="19" s="1"/>
  <c r="M438" i="3"/>
  <c r="M861" i="3" l="1"/>
  <c r="N384" i="19" l="1"/>
  <c r="M384" i="19"/>
  <c r="M596" i="3" l="1"/>
  <c r="H23" i="7" l="1"/>
  <c r="M483" i="3"/>
  <c r="M371" i="3"/>
  <c r="M345" i="3"/>
  <c r="M70" i="3"/>
  <c r="M49" i="3"/>
  <c r="M43" i="3"/>
  <c r="M21" i="3"/>
  <c r="M54" i="3" l="1"/>
  <c r="M53" i="3" s="1"/>
  <c r="M65" i="3" l="1"/>
  <c r="M120" i="3" l="1"/>
  <c r="I87" i="18" l="1"/>
  <c r="H87" i="18"/>
  <c r="H114" i="7" l="1"/>
  <c r="H113" i="7" s="1"/>
  <c r="H146" i="7"/>
  <c r="H553" i="7" l="1"/>
  <c r="H552" i="7" s="1"/>
  <c r="H551" i="7" s="1"/>
  <c r="M169" i="3"/>
  <c r="M168" i="3" s="1"/>
  <c r="M129" i="3"/>
  <c r="M128" i="3" s="1"/>
  <c r="M127" i="3" s="1"/>
  <c r="M167" i="3" l="1"/>
  <c r="M477" i="3"/>
  <c r="H61" i="7" l="1"/>
  <c r="H62" i="7"/>
  <c r="N496" i="19" l="1"/>
  <c r="N651" i="19" s="1"/>
  <c r="H45" i="18"/>
  <c r="I45" i="18"/>
  <c r="H60" i="7"/>
  <c r="M496" i="19" l="1"/>
  <c r="M651" i="19" s="1"/>
  <c r="E52" i="6" s="1"/>
  <c r="F52" i="6"/>
  <c r="N337" i="19"/>
  <c r="M337" i="19"/>
  <c r="M539" i="3"/>
  <c r="I116" i="18" l="1"/>
  <c r="I115" i="18" s="1"/>
  <c r="H116" i="18"/>
  <c r="H115" i="18" s="1"/>
  <c r="I119" i="18"/>
  <c r="I118" i="18" s="1"/>
  <c r="H119" i="18"/>
  <c r="H118" i="18" s="1"/>
  <c r="I122" i="18"/>
  <c r="I121" i="18" s="1"/>
  <c r="H122" i="18"/>
  <c r="H121" i="18" s="1"/>
  <c r="N355" i="19"/>
  <c r="M355" i="19"/>
  <c r="N295" i="19"/>
  <c r="N294" i="19" s="1"/>
  <c r="M295" i="19"/>
  <c r="M294" i="19" s="1"/>
  <c r="N298" i="19"/>
  <c r="N297" i="19" s="1"/>
  <c r="M298" i="19"/>
  <c r="M297" i="19" s="1"/>
  <c r="N301" i="19"/>
  <c r="N300" i="19" s="1"/>
  <c r="M301" i="19"/>
  <c r="M300" i="19" s="1"/>
  <c r="H63" i="18" l="1"/>
  <c r="I63" i="18"/>
  <c r="N293" i="19"/>
  <c r="N292" i="19" s="1"/>
  <c r="N291" i="19" s="1"/>
  <c r="N290" i="19" s="1"/>
  <c r="M293" i="19"/>
  <c r="M292" i="19" s="1"/>
  <c r="M291" i="19" s="1"/>
  <c r="M290" i="19" s="1"/>
  <c r="H152" i="7" l="1"/>
  <c r="H151" i="7" s="1"/>
  <c r="H150" i="7" s="1"/>
  <c r="H155" i="7"/>
  <c r="H154" i="7" s="1"/>
  <c r="H153" i="7" s="1"/>
  <c r="H158" i="7"/>
  <c r="H157" i="7" s="1"/>
  <c r="H156" i="7" s="1"/>
  <c r="M476" i="3"/>
  <c r="M480" i="3"/>
  <c r="M479" i="3" s="1"/>
  <c r="M482" i="3"/>
  <c r="H136" i="7"/>
  <c r="H135" i="7" s="1"/>
  <c r="H148" i="7"/>
  <c r="H145" i="7" l="1"/>
  <c r="M475" i="3"/>
  <c r="M474" i="3" s="1"/>
  <c r="M473" i="3" s="1"/>
  <c r="M472" i="3" s="1"/>
  <c r="I194" i="18" l="1"/>
  <c r="I193" i="18" s="1"/>
  <c r="H194" i="18"/>
  <c r="H193" i="18" s="1"/>
  <c r="I191" i="18"/>
  <c r="H191" i="18"/>
  <c r="N483" i="19"/>
  <c r="N482" i="19" s="1"/>
  <c r="N481" i="19" s="1"/>
  <c r="N480" i="19" s="1"/>
  <c r="N479" i="19" s="1"/>
  <c r="N478" i="19" s="1"/>
  <c r="M483" i="19"/>
  <c r="M482" i="19" s="1"/>
  <c r="M481" i="19" s="1"/>
  <c r="M480" i="19" s="1"/>
  <c r="M479" i="19" s="1"/>
  <c r="M478" i="19" s="1"/>
  <c r="H269" i="7"/>
  <c r="H259" i="7"/>
  <c r="H258" i="7" s="1"/>
  <c r="H257" i="7" s="1"/>
  <c r="H268" i="7" l="1"/>
  <c r="H267" i="7" s="1"/>
  <c r="N435" i="19"/>
  <c r="I130" i="18" s="1"/>
  <c r="M435" i="19"/>
  <c r="H130" i="18" s="1"/>
  <c r="I163" i="18"/>
  <c r="I162" i="18" s="1"/>
  <c r="H163" i="18"/>
  <c r="H162" i="18" s="1"/>
  <c r="N426" i="19"/>
  <c r="N425" i="19" s="1"/>
  <c r="N424" i="19" s="1"/>
  <c r="M426" i="19"/>
  <c r="M425" i="19" s="1"/>
  <c r="M424" i="19" s="1"/>
  <c r="I383" i="18"/>
  <c r="I382" i="18" s="1"/>
  <c r="I381" i="18" s="1"/>
  <c r="I380" i="18" s="1"/>
  <c r="H383" i="18"/>
  <c r="H382" i="18" s="1"/>
  <c r="H381" i="18" s="1"/>
  <c r="H380" i="18" s="1"/>
  <c r="N167" i="19"/>
  <c r="N166" i="19" s="1"/>
  <c r="N165" i="19" s="1"/>
  <c r="N164" i="19" s="1"/>
  <c r="N163" i="19" s="1"/>
  <c r="M167" i="19"/>
  <c r="M166" i="19" s="1"/>
  <c r="M165" i="19" s="1"/>
  <c r="M164" i="19" s="1"/>
  <c r="M163" i="19" s="1"/>
  <c r="I377" i="18"/>
  <c r="I376" i="18" s="1"/>
  <c r="H377" i="18"/>
  <c r="H376" i="18" s="1"/>
  <c r="N135" i="19"/>
  <c r="N134" i="19" s="1"/>
  <c r="M135" i="19"/>
  <c r="M134" i="19" s="1"/>
  <c r="I367" i="18"/>
  <c r="I366" i="18" s="1"/>
  <c r="I365" i="18" s="1"/>
  <c r="H367" i="18"/>
  <c r="H366" i="18" s="1"/>
  <c r="H365" i="18" s="1"/>
  <c r="N126" i="19"/>
  <c r="N125" i="19" s="1"/>
  <c r="N124" i="19" s="1"/>
  <c r="M126" i="19"/>
  <c r="M125" i="19" s="1"/>
  <c r="M124" i="19" s="1"/>
  <c r="I244" i="18"/>
  <c r="I243" i="18" s="1"/>
  <c r="H244" i="18"/>
  <c r="H243" i="18" s="1"/>
  <c r="I241" i="18"/>
  <c r="I240" i="18" s="1"/>
  <c r="H241" i="18"/>
  <c r="H240" i="18" s="1"/>
  <c r="N94" i="19"/>
  <c r="N93" i="19" s="1"/>
  <c r="M94" i="19"/>
  <c r="M93" i="19" s="1"/>
  <c r="N91" i="19"/>
  <c r="N90" i="19" s="1"/>
  <c r="M91" i="19"/>
  <c r="M90" i="19" s="1"/>
  <c r="I417" i="18"/>
  <c r="H417" i="18"/>
  <c r="N72" i="19"/>
  <c r="I419" i="18" s="1"/>
  <c r="M72" i="19"/>
  <c r="H419" i="18" s="1"/>
  <c r="M70" i="19"/>
  <c r="N70" i="19"/>
  <c r="N66" i="19"/>
  <c r="N65" i="19" s="1"/>
  <c r="M66" i="19"/>
  <c r="M65" i="19" s="1"/>
  <c r="N61" i="19"/>
  <c r="N60" i="19" s="1"/>
  <c r="N59" i="19" s="1"/>
  <c r="N58" i="19" s="1"/>
  <c r="M61" i="19"/>
  <c r="M60" i="19" s="1"/>
  <c r="M59" i="19" s="1"/>
  <c r="M58" i="19" s="1"/>
  <c r="N37" i="19"/>
  <c r="M37" i="19"/>
  <c r="M423" i="19" l="1"/>
  <c r="M422" i="19" s="1"/>
  <c r="M421" i="19" s="1"/>
  <c r="N423" i="19"/>
  <c r="N422" i="19" s="1"/>
  <c r="N421" i="19" s="1"/>
  <c r="N89" i="19"/>
  <c r="M89" i="19"/>
  <c r="N69" i="19"/>
  <c r="N64" i="19" s="1"/>
  <c r="M69" i="19"/>
  <c r="M64" i="19" s="1"/>
  <c r="I416" i="18"/>
  <c r="H416" i="18"/>
  <c r="H413" i="18"/>
  <c r="I413" i="18"/>
  <c r="M764" i="3"/>
  <c r="M753" i="3"/>
  <c r="M752" i="3" s="1"/>
  <c r="M751" i="3" s="1"/>
  <c r="M750" i="3" s="1"/>
  <c r="M749" i="3" s="1"/>
  <c r="M748" i="3" s="1"/>
  <c r="M63" i="19" l="1"/>
  <c r="M57" i="19" s="1"/>
  <c r="N63" i="19"/>
  <c r="N57" i="19" s="1"/>
  <c r="H538" i="7"/>
  <c r="I291" i="18" l="1"/>
  <c r="H291" i="18"/>
  <c r="I294" i="18"/>
  <c r="I293" i="18" s="1"/>
  <c r="H294" i="18"/>
  <c r="H293" i="18" s="1"/>
  <c r="I297" i="18"/>
  <c r="I296" i="18" s="1"/>
  <c r="H297" i="18"/>
  <c r="H296" i="18" s="1"/>
  <c r="N238" i="19"/>
  <c r="N237" i="19" s="1"/>
  <c r="M238" i="19"/>
  <c r="M237" i="19" s="1"/>
  <c r="N235" i="19"/>
  <c r="N234" i="19" s="1"/>
  <c r="M235" i="19"/>
  <c r="M234" i="19" s="1"/>
  <c r="N232" i="19"/>
  <c r="M232" i="19"/>
  <c r="M387" i="3"/>
  <c r="H166" i="7" l="1"/>
  <c r="H165" i="7" s="1"/>
  <c r="M679" i="3"/>
  <c r="H200" i="7" l="1"/>
  <c r="H199" i="7" s="1"/>
  <c r="H221" i="7"/>
  <c r="H220" i="7" s="1"/>
  <c r="H219" i="7" s="1"/>
  <c r="I223" i="18"/>
  <c r="I222" i="18" s="1"/>
  <c r="H223" i="18"/>
  <c r="H222" i="18" s="1"/>
  <c r="I226" i="18"/>
  <c r="I225" i="18" s="1"/>
  <c r="H226" i="18"/>
  <c r="H225" i="18" s="1"/>
  <c r="I229" i="18"/>
  <c r="I228" i="18" s="1"/>
  <c r="H229" i="18"/>
  <c r="H228" i="18" s="1"/>
  <c r="H291" i="7"/>
  <c r="H290" i="7" s="1"/>
  <c r="H289" i="7" s="1"/>
  <c r="H294" i="7"/>
  <c r="H293" i="7" s="1"/>
  <c r="H292" i="7" s="1"/>
  <c r="H297" i="7"/>
  <c r="H296" i="7" s="1"/>
  <c r="H295" i="7" s="1"/>
  <c r="N552" i="19" l="1"/>
  <c r="M552" i="19"/>
  <c r="N545" i="19"/>
  <c r="N544" i="19" s="1"/>
  <c r="M545" i="19"/>
  <c r="M544" i="19" s="1"/>
  <c r="N542" i="19"/>
  <c r="N541" i="19" s="1"/>
  <c r="M542" i="19"/>
  <c r="M541" i="19" s="1"/>
  <c r="N539" i="19"/>
  <c r="N538" i="19" s="1"/>
  <c r="M539" i="19"/>
  <c r="M538" i="19" s="1"/>
  <c r="M833" i="3"/>
  <c r="M832" i="3" s="1"/>
  <c r="M830" i="3"/>
  <c r="M829" i="3" s="1"/>
  <c r="M827" i="3"/>
  <c r="M826" i="3" s="1"/>
  <c r="N537" i="19" l="1"/>
  <c r="N536" i="19" s="1"/>
  <c r="N535" i="19" s="1"/>
  <c r="N534" i="19" s="1"/>
  <c r="M537" i="19"/>
  <c r="M536" i="19" s="1"/>
  <c r="M535" i="19" s="1"/>
  <c r="M534" i="19" s="1"/>
  <c r="M825" i="3"/>
  <c r="M824" i="3" s="1"/>
  <c r="M823" i="3" s="1"/>
  <c r="M822" i="3" s="1"/>
  <c r="N209" i="19"/>
  <c r="N208" i="19" s="1"/>
  <c r="M209" i="19"/>
  <c r="M208" i="19" s="1"/>
  <c r="M670" i="3" l="1"/>
  <c r="M669" i="3" s="1"/>
  <c r="M668" i="3" s="1"/>
  <c r="M666" i="3" l="1"/>
  <c r="M665" i="3" s="1"/>
  <c r="M667" i="3"/>
  <c r="I273" i="18" l="1"/>
  <c r="I272" i="18" s="1"/>
  <c r="H273" i="18"/>
  <c r="H272" i="18" s="1"/>
  <c r="I270" i="18"/>
  <c r="I269" i="18" s="1"/>
  <c r="H270" i="18"/>
  <c r="H269" i="18" s="1"/>
  <c r="N187" i="19"/>
  <c r="N186" i="19" s="1"/>
  <c r="M187" i="19"/>
  <c r="M186" i="19" s="1"/>
  <c r="H362" i="7"/>
  <c r="H361" i="7" s="1"/>
  <c r="H360" i="7" s="1"/>
  <c r="M317" i="3"/>
  <c r="M316" i="3" s="1"/>
  <c r="N184" i="19" l="1"/>
  <c r="N183" i="19" s="1"/>
  <c r="N182" i="19" s="1"/>
  <c r="N181" i="19" s="1"/>
  <c r="N180" i="19" s="1"/>
  <c r="M184" i="19"/>
  <c r="M183" i="19" s="1"/>
  <c r="M182" i="19" s="1"/>
  <c r="M181" i="19" l="1"/>
  <c r="M180" i="19" s="1"/>
  <c r="M689" i="3" l="1"/>
  <c r="M688" i="3" s="1"/>
  <c r="M687" i="3" l="1"/>
  <c r="M686" i="3" s="1"/>
  <c r="M685" i="3" s="1"/>
  <c r="M595" i="19"/>
  <c r="M20" i="3" l="1"/>
  <c r="M19" i="3" s="1"/>
  <c r="M18" i="3" s="1"/>
  <c r="M17" i="3" s="1"/>
  <c r="M32" i="3"/>
  <c r="M34" i="3"/>
  <c r="M42" i="3"/>
  <c r="M48" i="3"/>
  <c r="M47" i="3" s="1"/>
  <c r="M46" i="3" s="1"/>
  <c r="M45" i="3" s="1"/>
  <c r="M901" i="3" s="1"/>
  <c r="M52" i="3"/>
  <c r="M51" i="3" s="1"/>
  <c r="M64" i="3"/>
  <c r="M63" i="3" s="1"/>
  <c r="M62" i="3" s="1"/>
  <c r="M69" i="3"/>
  <c r="M74" i="3"/>
  <c r="M76" i="3"/>
  <c r="M99" i="3"/>
  <c r="M101" i="3"/>
  <c r="M103" i="3"/>
  <c r="M105" i="3"/>
  <c r="M111" i="3"/>
  <c r="M113" i="3"/>
  <c r="M116" i="3"/>
  <c r="M115" i="3" s="1"/>
  <c r="M136" i="3"/>
  <c r="M135" i="3" s="1"/>
  <c r="M139" i="3"/>
  <c r="M138" i="3" s="1"/>
  <c r="M145" i="3"/>
  <c r="M144" i="3" s="1"/>
  <c r="M151" i="3"/>
  <c r="M150" i="3" s="1"/>
  <c r="M149" i="3" s="1"/>
  <c r="M155" i="3"/>
  <c r="M154" i="3" s="1"/>
  <c r="M153" i="3" s="1"/>
  <c r="M160" i="3"/>
  <c r="M162" i="3"/>
  <c r="M205" i="3"/>
  <c r="M204" i="3" s="1"/>
  <c r="M203" i="3" s="1"/>
  <c r="M202" i="3" s="1"/>
  <c r="M201" i="3" s="1"/>
  <c r="M222" i="3"/>
  <c r="M221" i="3" s="1"/>
  <c r="M220" i="3" s="1"/>
  <c r="M219" i="3" s="1"/>
  <c r="M218" i="3" s="1"/>
  <c r="M298" i="3"/>
  <c r="M314" i="3"/>
  <c r="M313" i="3" s="1"/>
  <c r="M309" i="3" s="1"/>
  <c r="M331" i="3"/>
  <c r="M349" i="3"/>
  <c r="M344" i="3" s="1"/>
  <c r="M364" i="3"/>
  <c r="M363" i="3" s="1"/>
  <c r="M379" i="3"/>
  <c r="M370" i="3" s="1"/>
  <c r="M384" i="3"/>
  <c r="M383" i="3" s="1"/>
  <c r="M402" i="3"/>
  <c r="M401" i="3" s="1"/>
  <c r="M400" i="3" s="1"/>
  <c r="M416" i="3"/>
  <c r="M415" i="3" s="1"/>
  <c r="M414" i="3" s="1"/>
  <c r="M429" i="3"/>
  <c r="M426" i="3" s="1"/>
  <c r="M436" i="3"/>
  <c r="M444" i="3"/>
  <c r="M459" i="3"/>
  <c r="M490" i="3"/>
  <c r="M492" i="3"/>
  <c r="M494" i="3"/>
  <c r="M498" i="3"/>
  <c r="M500" i="3"/>
  <c r="M542" i="3"/>
  <c r="M588" i="3"/>
  <c r="M677" i="3"/>
  <c r="M681" i="3"/>
  <c r="M699" i="3"/>
  <c r="M703" i="3"/>
  <c r="M705" i="3"/>
  <c r="M768" i="3"/>
  <c r="M763" i="3" s="1"/>
  <c r="M780" i="3"/>
  <c r="M816" i="3"/>
  <c r="M815" i="3" s="1"/>
  <c r="M814" i="3" s="1"/>
  <c r="M813" i="3" s="1"/>
  <c r="M812" i="3" s="1"/>
  <c r="M943" i="3" s="1"/>
  <c r="M850" i="3"/>
  <c r="M849" i="3" s="1"/>
  <c r="M848" i="3" s="1"/>
  <c r="M847" i="3" s="1"/>
  <c r="M846" i="3" s="1"/>
  <c r="M872" i="3"/>
  <c r="M23" i="19"/>
  <c r="M22" i="19" s="1"/>
  <c r="M21" i="19" s="1"/>
  <c r="M20" i="19" s="1"/>
  <c r="M19" i="19" s="1"/>
  <c r="M29" i="19"/>
  <c r="M33" i="19"/>
  <c r="M35" i="19"/>
  <c r="M44" i="19"/>
  <c r="M43" i="19" s="1"/>
  <c r="M50" i="19"/>
  <c r="M49" i="19" s="1"/>
  <c r="M48" i="19" s="1"/>
  <c r="M47" i="19" s="1"/>
  <c r="M46" i="19" s="1"/>
  <c r="M613" i="19" s="1"/>
  <c r="E20" i="6" s="1"/>
  <c r="M83" i="19"/>
  <c r="M85" i="19"/>
  <c r="M111" i="19"/>
  <c r="M110" i="19" s="1"/>
  <c r="M114" i="19"/>
  <c r="M113" i="19" s="1"/>
  <c r="M120" i="19"/>
  <c r="M119" i="19" s="1"/>
  <c r="M118" i="19" s="1"/>
  <c r="M117" i="19" s="1"/>
  <c r="M116" i="19" s="1"/>
  <c r="M624" i="19" s="1"/>
  <c r="E29" i="6" s="1"/>
  <c r="M130" i="19"/>
  <c r="M129" i="19" s="1"/>
  <c r="M128" i="19" s="1"/>
  <c r="M123" i="19" s="1"/>
  <c r="M161" i="19"/>
  <c r="M160" i="19" s="1"/>
  <c r="M159" i="19" s="1"/>
  <c r="M158" i="19" s="1"/>
  <c r="M157" i="19" s="1"/>
  <c r="M156" i="19" s="1"/>
  <c r="M176" i="19"/>
  <c r="M175" i="19" s="1"/>
  <c r="M174" i="19" s="1"/>
  <c r="M173" i="19" s="1"/>
  <c r="M172" i="19" s="1"/>
  <c r="M201" i="19"/>
  <c r="M200" i="19" s="1"/>
  <c r="M199" i="19" s="1"/>
  <c r="M198" i="19" s="1"/>
  <c r="M197" i="19" s="1"/>
  <c r="M220" i="19"/>
  <c r="M219" i="19" s="1"/>
  <c r="M224" i="19"/>
  <c r="M228" i="19"/>
  <c r="M246" i="19"/>
  <c r="M245" i="19" s="1"/>
  <c r="M244" i="19" s="1"/>
  <c r="M277" i="19"/>
  <c r="M276" i="19" s="1"/>
  <c r="M308" i="19"/>
  <c r="M312" i="19"/>
  <c r="M314" i="19"/>
  <c r="M325" i="19"/>
  <c r="M340" i="19"/>
  <c r="M344" i="19"/>
  <c r="M348" i="19"/>
  <c r="M368" i="19"/>
  <c r="M367" i="19" s="1"/>
  <c r="M386" i="19"/>
  <c r="M392" i="19"/>
  <c r="M416" i="19"/>
  <c r="M415" i="19" s="1"/>
  <c r="M414" i="19" s="1"/>
  <c r="M413" i="19" s="1"/>
  <c r="M412" i="19" s="1"/>
  <c r="M411" i="19" s="1"/>
  <c r="M433" i="19"/>
  <c r="M451" i="19"/>
  <c r="M450" i="19" s="1"/>
  <c r="M455" i="19"/>
  <c r="M462" i="19"/>
  <c r="M468" i="19"/>
  <c r="M472" i="19"/>
  <c r="M528" i="19"/>
  <c r="M527" i="19" s="1"/>
  <c r="M526" i="19" s="1"/>
  <c r="M525" i="19" s="1"/>
  <c r="M524" i="19" s="1"/>
  <c r="M653" i="19" s="1"/>
  <c r="M551" i="19"/>
  <c r="M550" i="19" s="1"/>
  <c r="M549" i="19" s="1"/>
  <c r="M548" i="19" s="1"/>
  <c r="M637" i="19" s="1"/>
  <c r="M560" i="19"/>
  <c r="M559" i="19" s="1"/>
  <c r="M558" i="19" s="1"/>
  <c r="M557" i="19" s="1"/>
  <c r="M556" i="19" s="1"/>
  <c r="M571" i="19"/>
  <c r="M582" i="19"/>
  <c r="M601" i="19"/>
  <c r="M662" i="19" s="1"/>
  <c r="E61" i="6" s="1"/>
  <c r="E60" i="6" s="1"/>
  <c r="M489" i="3" l="1"/>
  <c r="M860" i="3"/>
  <c r="M859" i="3" s="1"/>
  <c r="M570" i="19"/>
  <c r="M330" i="3"/>
  <c r="M329" i="3" s="1"/>
  <c r="M328" i="3" s="1"/>
  <c r="M327" i="3" s="1"/>
  <c r="M326" i="3" s="1"/>
  <c r="M413" i="3"/>
  <c r="M412" i="3" s="1"/>
  <c r="M411" i="3" s="1"/>
  <c r="M200" i="3"/>
  <c r="M580" i="3"/>
  <c r="M698" i="3"/>
  <c r="M676" i="3"/>
  <c r="M458" i="3"/>
  <c r="M457" i="3" s="1"/>
  <c r="M456" i="3" s="1"/>
  <c r="M455" i="3" s="1"/>
  <c r="M454" i="3" s="1"/>
  <c r="M443" i="3"/>
  <c r="M442" i="3" s="1"/>
  <c r="M441" i="3" s="1"/>
  <c r="M440" i="3" s="1"/>
  <c r="M171" i="19"/>
  <c r="M28" i="19"/>
  <c r="M27" i="19" s="1"/>
  <c r="M26" i="19" s="1"/>
  <c r="M25" i="19" s="1"/>
  <c r="M612" i="19" s="1"/>
  <c r="E19" i="6" s="1"/>
  <c r="M486" i="19"/>
  <c r="M650" i="19" s="1"/>
  <c r="M779" i="3"/>
  <c r="M762" i="3"/>
  <c r="M159" i="3"/>
  <c r="M158" i="3" s="1"/>
  <c r="M157" i="3" s="1"/>
  <c r="M143" i="3"/>
  <c r="M142" i="3" s="1"/>
  <c r="M141" i="3" s="1"/>
  <c r="M912" i="3" s="1"/>
  <c r="M324" i="19"/>
  <c r="M323" i="19" s="1"/>
  <c r="M899" i="3"/>
  <c r="M82" i="19"/>
  <c r="M81" i="19" s="1"/>
  <c r="M80" i="19" s="1"/>
  <c r="M79" i="19" s="1"/>
  <c r="M307" i="19"/>
  <c r="M306" i="19" s="1"/>
  <c r="E40" i="6"/>
  <c r="M435" i="3"/>
  <c r="M434" i="3" s="1"/>
  <c r="M433" i="3" s="1"/>
  <c r="M432" i="3" s="1"/>
  <c r="M166" i="3"/>
  <c r="E54" i="6"/>
  <c r="M459" i="19"/>
  <c r="M458" i="19" s="1"/>
  <c r="M432" i="19"/>
  <c r="M431" i="19" s="1"/>
  <c r="M430" i="19" s="1"/>
  <c r="M133" i="19"/>
  <c r="M132" i="19" s="1"/>
  <c r="M223" i="19"/>
  <c r="M222" i="19" s="1"/>
  <c r="M934" i="3"/>
  <c r="M903" i="3"/>
  <c r="M308" i="3"/>
  <c r="M307" i="3" s="1"/>
  <c r="M449" i="19"/>
  <c r="M98" i="3"/>
  <c r="M97" i="3" s="1"/>
  <c r="M96" i="3" s="1"/>
  <c r="M95" i="3" s="1"/>
  <c r="M591" i="19"/>
  <c r="M590" i="19" s="1"/>
  <c r="M589" i="19" s="1"/>
  <c r="M588" i="19" s="1"/>
  <c r="M647" i="19" s="1"/>
  <c r="M275" i="19"/>
  <c r="M274" i="19" s="1"/>
  <c r="M273" i="19" s="1"/>
  <c r="M218" i="19"/>
  <c r="M207" i="19"/>
  <c r="M206" i="19" s="1"/>
  <c r="M205" i="19" s="1"/>
  <c r="M204" i="19" s="1"/>
  <c r="M386" i="3"/>
  <c r="M880" i="3"/>
  <c r="M879" i="3" s="1"/>
  <c r="M878" i="3" s="1"/>
  <c r="M937" i="3" s="1"/>
  <c r="M660" i="3"/>
  <c r="M659" i="3" s="1"/>
  <c r="M658" i="3" s="1"/>
  <c r="M657" i="3" s="1"/>
  <c r="M656" i="3" s="1"/>
  <c r="M649" i="3" s="1"/>
  <c r="M343" i="3"/>
  <c r="M342" i="3" s="1"/>
  <c r="M341" i="3" s="1"/>
  <c r="M340" i="3" s="1"/>
  <c r="M134" i="3"/>
  <c r="M133" i="3" s="1"/>
  <c r="M132" i="3" s="1"/>
  <c r="M911" i="3" s="1"/>
  <c r="D28" i="6" s="1"/>
  <c r="M110" i="3"/>
  <c r="M109" i="3" s="1"/>
  <c r="M844" i="3"/>
  <c r="M840" i="3"/>
  <c r="M366" i="3"/>
  <c r="M362" i="3" s="1"/>
  <c r="M760" i="3"/>
  <c r="M759" i="3" s="1"/>
  <c r="M758" i="3" s="1"/>
  <c r="M738" i="3"/>
  <c r="M737" i="3" s="1"/>
  <c r="M734" i="3"/>
  <c r="M733" i="3" s="1"/>
  <c r="M732" i="3" s="1"/>
  <c r="M728" i="3"/>
  <c r="M631" i="3"/>
  <c r="M627" i="3"/>
  <c r="M623" i="3"/>
  <c r="M622" i="3" s="1"/>
  <c r="M621" i="3" s="1"/>
  <c r="M574" i="3"/>
  <c r="M573" i="3" s="1"/>
  <c r="M550" i="3"/>
  <c r="M529" i="3"/>
  <c r="M521" i="3"/>
  <c r="M425" i="3"/>
  <c r="M297" i="3"/>
  <c r="M296" i="3" s="1"/>
  <c r="M148" i="3"/>
  <c r="M119" i="3"/>
  <c r="M118" i="3" s="1"/>
  <c r="M73" i="3"/>
  <c r="M68" i="3" s="1"/>
  <c r="M36" i="3"/>
  <c r="M26" i="3" s="1"/>
  <c r="M196" i="19"/>
  <c r="M659" i="19"/>
  <c r="M645" i="19"/>
  <c r="E46" i="6" s="1"/>
  <c r="M547" i="19"/>
  <c r="M533" i="19" s="1"/>
  <c r="M611" i="19"/>
  <c r="E18" i="6" s="1"/>
  <c r="M467" i="19"/>
  <c r="M466" i="19" s="1"/>
  <c r="M465" i="19" s="1"/>
  <c r="M464" i="19" s="1"/>
  <c r="M642" i="19" s="1"/>
  <c r="E44" i="6" s="1"/>
  <c r="M376" i="19"/>
  <c r="M375" i="19" s="1"/>
  <c r="M55" i="19"/>
  <c r="M54" i="19" s="1"/>
  <c r="M53" i="19" s="1"/>
  <c r="M52" i="19" s="1"/>
  <c r="M615" i="19" s="1"/>
  <c r="E22" i="6" s="1"/>
  <c r="M109" i="19"/>
  <c r="M108" i="19" s="1"/>
  <c r="M107" i="19" s="1"/>
  <c r="M98" i="19"/>
  <c r="M97" i="19" s="1"/>
  <c r="M96" i="19" s="1"/>
  <c r="M88" i="19" s="1"/>
  <c r="M949" i="3" l="1"/>
  <c r="M952" i="3" s="1"/>
  <c r="M778" i="3"/>
  <c r="M777" i="3" s="1"/>
  <c r="M941" i="3" s="1"/>
  <c r="M122" i="19"/>
  <c r="M625" i="19" s="1"/>
  <c r="M485" i="19"/>
  <c r="M477" i="19" s="1"/>
  <c r="M520" i="3"/>
  <c r="M519" i="3" s="1"/>
  <c r="M518" i="3" s="1"/>
  <c r="M517" i="3" s="1"/>
  <c r="M431" i="3"/>
  <c r="M614" i="19"/>
  <c r="E21" i="6" s="1"/>
  <c r="M757" i="3"/>
  <c r="M756" i="3" s="1"/>
  <c r="M626" i="3"/>
  <c r="M625" i="3" s="1"/>
  <c r="M620" i="3" s="1"/>
  <c r="M619" i="3" s="1"/>
  <c r="M927" i="3" s="1"/>
  <c r="D41" i="6" s="1"/>
  <c r="M147" i="3"/>
  <c r="M913" i="3" s="1"/>
  <c r="D30" i="6" s="1"/>
  <c r="M170" i="19"/>
  <c r="M654" i="19"/>
  <c r="E49" i="6"/>
  <c r="M272" i="19"/>
  <c r="M108" i="3"/>
  <c r="M569" i="19"/>
  <c r="M568" i="19" s="1"/>
  <c r="M567" i="19" s="1"/>
  <c r="M646" i="19" s="1"/>
  <c r="M391" i="19"/>
  <c r="M448" i="19"/>
  <c r="M447" i="19" s="1"/>
  <c r="M424" i="3"/>
  <c r="M423" i="3" s="1"/>
  <c r="M488" i="3"/>
  <c r="M487" i="3" s="1"/>
  <c r="M486" i="3" s="1"/>
  <c r="M619" i="19"/>
  <c r="E25" i="6" s="1"/>
  <c r="M657" i="19"/>
  <c r="M660" i="19"/>
  <c r="E58" i="6"/>
  <c r="E57" i="6" s="1"/>
  <c r="M322" i="19"/>
  <c r="M858" i="3"/>
  <c r="M857" i="3" s="1"/>
  <c r="M374" i="19"/>
  <c r="M373" i="19" s="1"/>
  <c r="M372" i="19" s="1"/>
  <c r="M305" i="19"/>
  <c r="M304" i="19" s="1"/>
  <c r="M633" i="19" s="1"/>
  <c r="M429" i="19"/>
  <c r="M428" i="19" s="1"/>
  <c r="M87" i="19"/>
  <c r="M78" i="19" s="1"/>
  <c r="M18" i="19"/>
  <c r="M675" i="3"/>
  <c r="M674" i="3" s="1"/>
  <c r="M673" i="3" s="1"/>
  <c r="M672" i="3" s="1"/>
  <c r="M697" i="3"/>
  <c r="M736" i="3"/>
  <c r="M731" i="3" s="1"/>
  <c r="M730" i="3" s="1"/>
  <c r="M931" i="3" s="1"/>
  <c r="M217" i="19"/>
  <c r="M907" i="3"/>
  <c r="M67" i="3"/>
  <c r="M56" i="3" s="1"/>
  <c r="M369" i="3"/>
  <c r="M839" i="3"/>
  <c r="M838" i="3" s="1"/>
  <c r="M837" i="3" s="1"/>
  <c r="M836" i="3" s="1"/>
  <c r="M926" i="3" s="1"/>
  <c r="M947" i="3"/>
  <c r="M295" i="3"/>
  <c r="M294" i="3" s="1"/>
  <c r="M902" i="3"/>
  <c r="M724" i="3"/>
  <c r="M723" i="3" s="1"/>
  <c r="M25" i="3"/>
  <c r="M24" i="3" s="1"/>
  <c r="M23" i="3" s="1"/>
  <c r="M623" i="19"/>
  <c r="E28" i="6" s="1"/>
  <c r="M16" i="3" l="1"/>
  <c r="M922" i="3"/>
  <c r="M755" i="3"/>
  <c r="M747" i="3" s="1"/>
  <c r="M635" i="19"/>
  <c r="E38" i="6" s="1"/>
  <c r="M940" i="3"/>
  <c r="M944" i="3" s="1"/>
  <c r="M390" i="19"/>
  <c r="M389" i="19" s="1"/>
  <c r="M388" i="19" s="1"/>
  <c r="M566" i="19"/>
  <c r="M565" i="19" s="1"/>
  <c r="E48" i="6"/>
  <c r="E45" i="6" s="1"/>
  <c r="M216" i="19"/>
  <c r="M616" i="19" s="1"/>
  <c r="E30" i="6"/>
  <c r="E27" i="6" s="1"/>
  <c r="M641" i="19"/>
  <c r="M446" i="19"/>
  <c r="M420" i="19" s="1"/>
  <c r="M917" i="3"/>
  <c r="M920" i="3" s="1"/>
  <c r="M422" i="3"/>
  <c r="M361" i="3"/>
  <c r="M321" i="19"/>
  <c r="M634" i="19" s="1"/>
  <c r="E36" i="6"/>
  <c r="E51" i="6"/>
  <c r="E50" i="6" s="1"/>
  <c r="E33" i="6"/>
  <c r="E31" i="6" s="1"/>
  <c r="M936" i="3"/>
  <c r="M938" i="3" s="1"/>
  <c r="M856" i="3"/>
  <c r="M855" i="3" s="1"/>
  <c r="M923" i="3"/>
  <c r="D37" i="6" s="1"/>
  <c r="M106" i="19"/>
  <c r="M17" i="19" s="1"/>
  <c r="M620" i="19"/>
  <c r="M107" i="3"/>
  <c r="M908" i="3" s="1"/>
  <c r="D26" i="6" s="1"/>
  <c r="M835" i="3"/>
  <c r="M821" i="3" s="1"/>
  <c r="M696" i="3"/>
  <c r="M695" i="3" s="1"/>
  <c r="M930" i="3" s="1"/>
  <c r="M932" i="3" s="1"/>
  <c r="M131" i="3"/>
  <c r="M900" i="3"/>
  <c r="M360" i="3" l="1"/>
  <c r="M904" i="3" s="1"/>
  <c r="D23" i="6" s="1"/>
  <c r="M909" i="3"/>
  <c r="M638" i="19"/>
  <c r="E41" i="6" s="1"/>
  <c r="E37" i="6"/>
  <c r="M303" i="19"/>
  <c r="M289" i="19" s="1"/>
  <c r="M215" i="19"/>
  <c r="M214" i="19" s="1"/>
  <c r="M648" i="19"/>
  <c r="E23" i="6"/>
  <c r="E17" i="6" s="1"/>
  <c r="M617" i="19"/>
  <c r="M626" i="19"/>
  <c r="M914" i="3"/>
  <c r="E43" i="6"/>
  <c r="E42" i="6" s="1"/>
  <c r="M643" i="19"/>
  <c r="M621" i="19"/>
  <c r="E26" i="6"/>
  <c r="M94" i="3"/>
  <c r="M15" i="3" s="1"/>
  <c r="M694" i="3"/>
  <c r="M664" i="3" s="1"/>
  <c r="M359" i="3" l="1"/>
  <c r="M358" i="3" s="1"/>
  <c r="M639" i="19"/>
  <c r="M16" i="19"/>
  <c r="D29" i="8" s="1"/>
  <c r="E35" i="6"/>
  <c r="M905" i="3"/>
  <c r="H109" i="7"/>
  <c r="H108" i="7" s="1"/>
  <c r="D28" i="8" l="1"/>
  <c r="D27" i="8" s="1"/>
  <c r="D26" i="8" s="1"/>
  <c r="I279" i="18"/>
  <c r="I278" i="18" s="1"/>
  <c r="I277" i="18" s="1"/>
  <c r="H279" i="18"/>
  <c r="H278" i="18" s="1"/>
  <c r="H277" i="18" s="1"/>
  <c r="N220" i="19"/>
  <c r="N219" i="19" s="1"/>
  <c r="H80" i="7" l="1"/>
  <c r="H81" i="7"/>
  <c r="H79" i="7" l="1"/>
  <c r="H247" i="7" l="1"/>
  <c r="H245" i="7" l="1"/>
  <c r="H527" i="7" l="1"/>
  <c r="H280" i="7" l="1"/>
  <c r="H113" i="18" l="1"/>
  <c r="H110" i="18" s="1"/>
  <c r="I113" i="18"/>
  <c r="I110" i="18" s="1"/>
  <c r="H20" i="7" l="1"/>
  <c r="H19" i="7" s="1"/>
  <c r="H49" i="7"/>
  <c r="H47" i="7" s="1"/>
  <c r="H168" i="7" l="1"/>
  <c r="H167" i="7" s="1"/>
  <c r="H471" i="7" l="1"/>
  <c r="H470" i="7" s="1"/>
  <c r="I27" i="18" l="1"/>
  <c r="I29" i="18"/>
  <c r="I89" i="18"/>
  <c r="I136" i="18"/>
  <c r="I135" i="18" s="1"/>
  <c r="I150" i="18"/>
  <c r="I147" i="18" s="1"/>
  <c r="I169" i="18"/>
  <c r="I168" i="18" s="1"/>
  <c r="I167" i="18" s="1"/>
  <c r="I187" i="18"/>
  <c r="I235" i="18"/>
  <c r="I237" i="18"/>
  <c r="I267" i="18"/>
  <c r="I266" i="18" s="1"/>
  <c r="I317" i="18"/>
  <c r="I336" i="18"/>
  <c r="I335" i="18" s="1"/>
  <c r="I352" i="18"/>
  <c r="I351" i="18" s="1"/>
  <c r="I355" i="18"/>
  <c r="I354" i="18" s="1"/>
  <c r="I361" i="18"/>
  <c r="I360" i="18" s="1"/>
  <c r="I359" i="18" s="1"/>
  <c r="I358" i="18" s="1"/>
  <c r="I371" i="18"/>
  <c r="I370" i="18" s="1"/>
  <c r="I369" i="18" s="1"/>
  <c r="I364" i="18" s="1"/>
  <c r="I389" i="18"/>
  <c r="I388" i="18" s="1"/>
  <c r="I396" i="18"/>
  <c r="I398" i="18"/>
  <c r="I400" i="18"/>
  <c r="I402" i="18"/>
  <c r="I409" i="18"/>
  <c r="I408" i="18" s="1"/>
  <c r="I448" i="18"/>
  <c r="H89" i="18"/>
  <c r="N416" i="19"/>
  <c r="N415" i="19" s="1"/>
  <c r="N414" i="19" s="1"/>
  <c r="N413" i="19" s="1"/>
  <c r="N412" i="19" s="1"/>
  <c r="N411" i="19" s="1"/>
  <c r="N392" i="19"/>
  <c r="N386" i="19"/>
  <c r="N368" i="19"/>
  <c r="N367" i="19" s="1"/>
  <c r="N348" i="19"/>
  <c r="N340" i="19"/>
  <c r="N314" i="19"/>
  <c r="N312" i="19"/>
  <c r="I18" i="18"/>
  <c r="I234" i="18" l="1"/>
  <c r="I233" i="18" s="1"/>
  <c r="I422" i="18"/>
  <c r="I421" i="18" s="1"/>
  <c r="I146" i="18"/>
  <c r="I375" i="18"/>
  <c r="I374" i="18" s="1"/>
  <c r="I212" i="18"/>
  <c r="I211" i="18" s="1"/>
  <c r="I210" i="18" s="1"/>
  <c r="I441" i="18"/>
  <c r="I440" i="18" s="1"/>
  <c r="I447" i="18"/>
  <c r="I446" i="18" s="1"/>
  <c r="H97" i="18"/>
  <c r="N308" i="19"/>
  <c r="N307" i="19" s="1"/>
  <c r="N325" i="19"/>
  <c r="I303" i="18"/>
  <c r="I329" i="18"/>
  <c r="I306" i="18"/>
  <c r="I93" i="18"/>
  <c r="I248" i="18"/>
  <c r="I247" i="18" s="1"/>
  <c r="I246" i="18" s="1"/>
  <c r="I283" i="18"/>
  <c r="I176" i="18"/>
  <c r="I175" i="18" s="1"/>
  <c r="I260" i="18"/>
  <c r="I259" i="18" s="1"/>
  <c r="I218" i="18"/>
  <c r="I217" i="18" s="1"/>
  <c r="I216" i="18" s="1"/>
  <c r="I141" i="18"/>
  <c r="I140" i="18" s="1"/>
  <c r="I48" i="18"/>
  <c r="I32" i="18"/>
  <c r="I24" i="18"/>
  <c r="I17" i="18" s="1"/>
  <c r="I332" i="18"/>
  <c r="I326" i="18"/>
  <c r="I56" i="18"/>
  <c r="I392" i="18"/>
  <c r="I391" i="18" s="1"/>
  <c r="I287" i="18"/>
  <c r="I181" i="18"/>
  <c r="I180" i="18" s="1"/>
  <c r="I52" i="18"/>
  <c r="I311" i="18"/>
  <c r="I314" i="18"/>
  <c r="I154" i="18"/>
  <c r="I79" i="18"/>
  <c r="I78" i="18" s="1"/>
  <c r="I350" i="18"/>
  <c r="I349" i="18" s="1"/>
  <c r="N344" i="19"/>
  <c r="N376" i="19"/>
  <c r="N375" i="19" s="1"/>
  <c r="I97" i="18"/>
  <c r="I387" i="18" l="1"/>
  <c r="I302" i="18"/>
  <c r="I31" i="18"/>
  <c r="I16" i="18" s="1"/>
  <c r="I174" i="18"/>
  <c r="I166" i="18" s="1"/>
  <c r="I92" i="18"/>
  <c r="I91" i="18" s="1"/>
  <c r="N324" i="19"/>
  <c r="N323" i="19" s="1"/>
  <c r="I77" i="18"/>
  <c r="H239" i="18"/>
  <c r="N306" i="19"/>
  <c r="N305" i="19" s="1"/>
  <c r="N304" i="19" s="1"/>
  <c r="I239" i="18"/>
  <c r="I232" i="18" s="1"/>
  <c r="I282" i="18"/>
  <c r="I281" i="18" s="1"/>
  <c r="I276" i="18" s="1"/>
  <c r="I258" i="18"/>
  <c r="I257" i="18" s="1"/>
  <c r="I325" i="18"/>
  <c r="I209" i="18"/>
  <c r="N396" i="19"/>
  <c r="N391" i="19" l="1"/>
  <c r="N633" i="19"/>
  <c r="F36" i="6" s="1"/>
  <c r="I386" i="18"/>
  <c r="N374" i="19"/>
  <c r="N373" i="19" s="1"/>
  <c r="N372" i="19" s="1"/>
  <c r="N322" i="19"/>
  <c r="I301" i="18"/>
  <c r="I300" i="18" s="1"/>
  <c r="I15" i="18"/>
  <c r="H144" i="7"/>
  <c r="H143" i="7" s="1"/>
  <c r="H141" i="7"/>
  <c r="H140" i="7" s="1"/>
  <c r="H133" i="7"/>
  <c r="H123" i="7"/>
  <c r="H117" i="7"/>
  <c r="H115" i="7" s="1"/>
  <c r="H107" i="7"/>
  <c r="H106" i="7"/>
  <c r="H73" i="7"/>
  <c r="H72" i="7"/>
  <c r="H70" i="7"/>
  <c r="H69" i="7"/>
  <c r="H68" i="7"/>
  <c r="H66" i="7"/>
  <c r="H65" i="7"/>
  <c r="H64" i="7"/>
  <c r="H43" i="7"/>
  <c r="H32" i="7"/>
  <c r="H30" i="7"/>
  <c r="H28" i="7"/>
  <c r="H27" i="7"/>
  <c r="H129" i="7"/>
  <c r="H101" i="7"/>
  <c r="H52" i="7"/>
  <c r="H51" i="7"/>
  <c r="H45" i="7"/>
  <c r="H44" i="7"/>
  <c r="N390" i="19" l="1"/>
  <c r="N389" i="19" s="1"/>
  <c r="N388" i="19" s="1"/>
  <c r="H105" i="7"/>
  <c r="N321" i="19"/>
  <c r="N634" i="19" s="1"/>
  <c r="F37" i="6" s="1"/>
  <c r="H102" i="7"/>
  <c r="H128" i="7"/>
  <c r="H134" i="7"/>
  <c r="H46" i="7"/>
  <c r="H42" i="7" s="1"/>
  <c r="H18" i="7"/>
  <c r="H22" i="7"/>
  <c r="H131" i="7"/>
  <c r="H127" i="7"/>
  <c r="N303" i="19" l="1"/>
  <c r="N289" i="19" s="1"/>
  <c r="H409" i="18"/>
  <c r="H408" i="18" s="1"/>
  <c r="H402" i="18"/>
  <c r="H371" i="18"/>
  <c r="H370" i="18" s="1"/>
  <c r="H369" i="18" s="1"/>
  <c r="H364" i="18" s="1"/>
  <c r="H336" i="18"/>
  <c r="H335" i="18" s="1"/>
  <c r="H422" i="18" l="1"/>
  <c r="H375" i="18"/>
  <c r="H374" i="18" s="1"/>
  <c r="H441" i="18"/>
  <c r="H440" i="18" s="1"/>
  <c r="D36" i="6"/>
  <c r="H392" i="18"/>
  <c r="H283" i="18"/>
  <c r="H237" i="18"/>
  <c r="H235" i="18"/>
  <c r="H187" i="18"/>
  <c r="H150" i="18"/>
  <c r="H147" i="18" s="1"/>
  <c r="H140" i="18" l="1"/>
  <c r="H234" i="18"/>
  <c r="H146" i="18"/>
  <c r="H212" i="18"/>
  <c r="H248" i="18"/>
  <c r="H158" i="18"/>
  <c r="H154" i="18"/>
  <c r="H653" i="7" l="1"/>
  <c r="H578" i="7"/>
  <c r="H577" i="7" s="1"/>
  <c r="H574" i="7"/>
  <c r="H573" i="7"/>
  <c r="H572" i="7"/>
  <c r="H547" i="7"/>
  <c r="H546" i="7"/>
  <c r="H543" i="7"/>
  <c r="H541" i="7"/>
  <c r="H537" i="7"/>
  <c r="H536" i="7" s="1"/>
  <c r="H533" i="7"/>
  <c r="H524" i="7"/>
  <c r="H522" i="7"/>
  <c r="H520" i="7"/>
  <c r="H518" i="7"/>
  <c r="H516" i="7"/>
  <c r="H515" i="7"/>
  <c r="H512" i="7"/>
  <c r="H496" i="7"/>
  <c r="H490" i="7"/>
  <c r="H486" i="7"/>
  <c r="H480" i="7"/>
  <c r="H474" i="7"/>
  <c r="H450" i="7"/>
  <c r="H436" i="7"/>
  <c r="H430" i="7"/>
  <c r="H429" i="7"/>
  <c r="H427" i="7"/>
  <c r="H426" i="7"/>
  <c r="H423" i="7"/>
  <c r="H421" i="7" s="1"/>
  <c r="H418" i="7" s="1"/>
  <c r="H417" i="7"/>
  <c r="H416" i="7"/>
  <c r="H414" i="7"/>
  <c r="H413" i="7"/>
  <c r="H411" i="7"/>
  <c r="H410" i="7"/>
  <c r="H408" i="7"/>
  <c r="H407" i="7"/>
  <c r="H395" i="7"/>
  <c r="H392" i="7"/>
  <c r="H391" i="7" s="1"/>
  <c r="H390" i="7" s="1"/>
  <c r="H387" i="7"/>
  <c r="H383" i="7"/>
  <c r="H382" i="7"/>
  <c r="H381" i="7"/>
  <c r="H379" i="7"/>
  <c r="H378" i="7"/>
  <c r="H377" i="7"/>
  <c r="H372" i="7"/>
  <c r="H370" i="7"/>
  <c r="H356" i="7"/>
  <c r="H351" i="7"/>
  <c r="H344" i="7"/>
  <c r="H343" i="7"/>
  <c r="H342" i="7"/>
  <c r="H329" i="7"/>
  <c r="H327" i="7"/>
  <c r="H323" i="7"/>
  <c r="H318" i="7"/>
  <c r="H309" i="7"/>
  <c r="H307" i="7"/>
  <c r="H305" i="7"/>
  <c r="H303" i="7"/>
  <c r="H288" i="7"/>
  <c r="H287" i="7"/>
  <c r="H286" i="7"/>
  <c r="H282" i="7"/>
  <c r="H281" i="7" s="1"/>
  <c r="H279" i="7"/>
  <c r="H278" i="7"/>
  <c r="H253" i="7"/>
  <c r="H239" i="7"/>
  <c r="H238" i="7"/>
  <c r="H237" i="7"/>
  <c r="H229" i="7"/>
  <c r="H218" i="7"/>
  <c r="H217" i="7"/>
  <c r="H216" i="7"/>
  <c r="H213" i="7"/>
  <c r="H214" i="7"/>
  <c r="H212" i="7"/>
  <c r="H208" i="7"/>
  <c r="H207" i="7" s="1"/>
  <c r="H192" i="7"/>
  <c r="H190" i="7"/>
  <c r="H189" i="7"/>
  <c r="H182" i="7"/>
  <c r="H181" i="7" s="1"/>
  <c r="H176" i="7"/>
  <c r="H173" i="7"/>
  <c r="H164" i="7"/>
  <c r="H188" i="7" l="1"/>
  <c r="H571" i="7"/>
  <c r="H570" i="7" s="1"/>
  <c r="H514" i="7"/>
  <c r="H545" i="7"/>
  <c r="H241" i="7"/>
  <c r="H240" i="7" s="1"/>
  <c r="H394" i="7"/>
  <c r="H393" i="7" s="1"/>
  <c r="H277" i="7"/>
  <c r="I128" i="18" l="1"/>
  <c r="I127" i="18" l="1"/>
  <c r="I126" i="18" s="1"/>
  <c r="E25" i="8" l="1"/>
  <c r="E24" i="8" s="1"/>
  <c r="E23" i="8" s="1"/>
  <c r="E22" i="8" s="1"/>
  <c r="N277" i="19"/>
  <c r="N276" i="19" s="1"/>
  <c r="N246" i="19"/>
  <c r="N245" i="19" s="1"/>
  <c r="N244" i="19" s="1"/>
  <c r="N228" i="19"/>
  <c r="N224" i="19"/>
  <c r="M610" i="19" l="1"/>
  <c r="N223" i="19"/>
  <c r="N222" i="19" s="1"/>
  <c r="N218" i="19"/>
  <c r="F33" i="6"/>
  <c r="F31" i="6" s="1"/>
  <c r="H368" i="7"/>
  <c r="N275" i="19"/>
  <c r="N274" i="19" s="1"/>
  <c r="N273" i="19" s="1"/>
  <c r="I158" i="18"/>
  <c r="I153" i="18" s="1"/>
  <c r="N468" i="19"/>
  <c r="N455" i="19"/>
  <c r="N451" i="19"/>
  <c r="N450" i="19" s="1"/>
  <c r="N433" i="19"/>
  <c r="N432" i="19" l="1"/>
  <c r="N431" i="19" s="1"/>
  <c r="N430" i="19" s="1"/>
  <c r="I152" i="18"/>
  <c r="I125" i="18" s="1"/>
  <c r="N217" i="19"/>
  <c r="N272" i="19"/>
  <c r="N472" i="19"/>
  <c r="N467" i="19" s="1"/>
  <c r="N466" i="19" s="1"/>
  <c r="N465" i="19" s="1"/>
  <c r="N464" i="19" s="1"/>
  <c r="N642" i="19" s="1"/>
  <c r="F44" i="6" s="1"/>
  <c r="H180" i="7"/>
  <c r="H206" i="7"/>
  <c r="H204" i="7" s="1"/>
  <c r="N449" i="19"/>
  <c r="D44" i="6"/>
  <c r="D25" i="8" l="1"/>
  <c r="D24" i="8" s="1"/>
  <c r="D23" i="8" s="1"/>
  <c r="D22" i="8" s="1"/>
  <c r="D21" i="8" s="1"/>
  <c r="D14" i="8" s="1"/>
  <c r="C25" i="8"/>
  <c r="I463" i="18"/>
  <c r="N216" i="19"/>
  <c r="N616" i="19" s="1"/>
  <c r="F23" i="6" s="1"/>
  <c r="N448" i="19"/>
  <c r="N447" i="19" s="1"/>
  <c r="N429" i="19"/>
  <c r="D33" i="6"/>
  <c r="D31" i="6" s="1"/>
  <c r="N161" i="19"/>
  <c r="N160" i="19" s="1"/>
  <c r="N159" i="19" s="1"/>
  <c r="N158" i="19" s="1"/>
  <c r="N157" i="19" s="1"/>
  <c r="N156" i="19" s="1"/>
  <c r="N130" i="19"/>
  <c r="N129" i="19" s="1"/>
  <c r="N128" i="19" s="1"/>
  <c r="N123" i="19" s="1"/>
  <c r="N120" i="19"/>
  <c r="N119" i="19" s="1"/>
  <c r="N118" i="19" s="1"/>
  <c r="N117" i="19" s="1"/>
  <c r="N116" i="19" s="1"/>
  <c r="N624" i="19" s="1"/>
  <c r="F29" i="6" s="1"/>
  <c r="N114" i="19"/>
  <c r="N113" i="19" s="1"/>
  <c r="N111" i="19"/>
  <c r="N110" i="19" s="1"/>
  <c r="N98" i="19"/>
  <c r="N97" i="19" s="1"/>
  <c r="N96" i="19" s="1"/>
  <c r="N88" i="19" s="1"/>
  <c r="N85" i="19"/>
  <c r="N83" i="19"/>
  <c r="N55" i="19"/>
  <c r="N50" i="19"/>
  <c r="N49" i="19" s="1"/>
  <c r="N48" i="19" s="1"/>
  <c r="N47" i="19" s="1"/>
  <c r="N46" i="19" s="1"/>
  <c r="N613" i="19" s="1"/>
  <c r="F20" i="6" s="1"/>
  <c r="N44" i="19"/>
  <c r="N43" i="19" s="1"/>
  <c r="N35" i="19"/>
  <c r="N33" i="19"/>
  <c r="N29" i="19"/>
  <c r="N23" i="19"/>
  <c r="N22" i="19" s="1"/>
  <c r="N21" i="19" s="1"/>
  <c r="N20" i="19" s="1"/>
  <c r="N19" i="19" s="1"/>
  <c r="D29" i="6"/>
  <c r="D27" i="6" s="1"/>
  <c r="D20" i="6"/>
  <c r="D18" i="6"/>
  <c r="N28" i="19" l="1"/>
  <c r="N27" i="19" s="1"/>
  <c r="N26" i="19" s="1"/>
  <c r="N25" i="19" s="1"/>
  <c r="N635" i="19"/>
  <c r="F38" i="6" s="1"/>
  <c r="N428" i="19"/>
  <c r="N215" i="19"/>
  <c r="N214" i="19" s="1"/>
  <c r="N641" i="19"/>
  <c r="F43" i="6" s="1"/>
  <c r="F42" i="6" s="1"/>
  <c r="N446" i="19"/>
  <c r="N82" i="19"/>
  <c r="N81" i="19" s="1"/>
  <c r="N80" i="19" s="1"/>
  <c r="N79" i="19" s="1"/>
  <c r="N133" i="19"/>
  <c r="N132" i="19" s="1"/>
  <c r="N87" i="19"/>
  <c r="N620" i="19" s="1"/>
  <c r="F26" i="6" s="1"/>
  <c r="N611" i="19"/>
  <c r="F18" i="6" s="1"/>
  <c r="N54" i="19"/>
  <c r="N53" i="19" s="1"/>
  <c r="N52" i="19" s="1"/>
  <c r="N615" i="19" s="1"/>
  <c r="F22" i="6" s="1"/>
  <c r="D22" i="6"/>
  <c r="D46" i="6"/>
  <c r="N645" i="19"/>
  <c r="F46" i="6" s="1"/>
  <c r="H328" i="7"/>
  <c r="H326" i="7" s="1"/>
  <c r="H498" i="7"/>
  <c r="N109" i="19"/>
  <c r="N108" i="19" s="1"/>
  <c r="N107" i="19" s="1"/>
  <c r="N623" i="19" s="1"/>
  <c r="F28" i="6" s="1"/>
  <c r="N122" i="19" l="1"/>
  <c r="N625" i="19" s="1"/>
  <c r="N420" i="19"/>
  <c r="N18" i="19"/>
  <c r="D25" i="6"/>
  <c r="D43" i="6"/>
  <c r="D42" i="6" s="1"/>
  <c r="N78" i="19"/>
  <c r="N619" i="19"/>
  <c r="F25" i="6" s="1"/>
  <c r="F24" i="6" s="1"/>
  <c r="N612" i="19"/>
  <c r="F19" i="6" s="1"/>
  <c r="F30" i="6" l="1"/>
  <c r="F27" i="6" s="1"/>
  <c r="N106" i="19"/>
  <c r="N17" i="19" s="1"/>
  <c r="E24" i="6"/>
  <c r="E15" i="6" s="1"/>
  <c r="N201" i="19"/>
  <c r="N200" i="19" s="1"/>
  <c r="N199" i="19" s="1"/>
  <c r="N198" i="19" s="1"/>
  <c r="N197" i="19" s="1"/>
  <c r="N176" i="19"/>
  <c r="N175" i="19" s="1"/>
  <c r="N174" i="19" s="1"/>
  <c r="N173" i="19" s="1"/>
  <c r="N172" i="19" s="1"/>
  <c r="N171" i="19" s="1"/>
  <c r="N196" i="19" l="1"/>
  <c r="N170" i="19" s="1"/>
  <c r="N659" i="19"/>
  <c r="F58" i="6" s="1"/>
  <c r="F57" i="6" s="1"/>
  <c r="I439" i="18"/>
  <c r="I467" i="18" l="1"/>
  <c r="N207" i="19"/>
  <c r="N206" i="19" s="1"/>
  <c r="N205" i="19" s="1"/>
  <c r="N204" i="19" s="1"/>
  <c r="N528" i="19"/>
  <c r="N527" i="19" s="1"/>
  <c r="N526" i="19" s="1"/>
  <c r="N525" i="19" s="1"/>
  <c r="N524" i="19" s="1"/>
  <c r="N486" i="19" l="1"/>
  <c r="N653" i="19"/>
  <c r="F54" i="6" s="1"/>
  <c r="N614" i="19"/>
  <c r="F21" i="6" s="1"/>
  <c r="F17" i="6" s="1"/>
  <c r="N485" i="19" l="1"/>
  <c r="N477" i="19" s="1"/>
  <c r="N650" i="19"/>
  <c r="F51" i="6" s="1"/>
  <c r="F50" i="6" s="1"/>
  <c r="N560" i="19"/>
  <c r="N559" i="19" s="1"/>
  <c r="N558" i="19" s="1"/>
  <c r="N557" i="19" s="1"/>
  <c r="N556" i="19" s="1"/>
  <c r="N638" i="19" s="1"/>
  <c r="N551" i="19"/>
  <c r="N550" i="19" s="1"/>
  <c r="N549" i="19" s="1"/>
  <c r="N548" i="19" s="1"/>
  <c r="N637" i="19" s="1"/>
  <c r="F41" i="6" l="1"/>
  <c r="N547" i="19"/>
  <c r="N533" i="19" s="1"/>
  <c r="N595" i="19"/>
  <c r="N582" i="19"/>
  <c r="N571" i="19"/>
  <c r="N570" i="19" l="1"/>
  <c r="F40" i="6"/>
  <c r="F35" i="6" s="1"/>
  <c r="N591" i="19"/>
  <c r="N590" i="19" s="1"/>
  <c r="N589" i="19" s="1"/>
  <c r="N588" i="19" s="1"/>
  <c r="N569" i="19" l="1"/>
  <c r="N568" i="19" s="1"/>
  <c r="N567" i="19" s="1"/>
  <c r="H15" i="6"/>
  <c r="N647" i="19"/>
  <c r="F49" i="6" s="1"/>
  <c r="N646" i="19" l="1"/>
  <c r="F48" i="6" s="1"/>
  <c r="F45" i="6" s="1"/>
  <c r="N566" i="19"/>
  <c r="N565" i="19" s="1"/>
  <c r="D49" i="6"/>
  <c r="D54" i="6" l="1"/>
  <c r="D52" i="6" l="1"/>
  <c r="D48" i="6"/>
  <c r="D45" i="6" s="1"/>
  <c r="D51" i="6" l="1"/>
  <c r="D50" i="6" s="1"/>
  <c r="D58" i="6" l="1"/>
  <c r="D57" i="6" s="1"/>
  <c r="D40" i="6"/>
  <c r="D21" i="6" l="1"/>
  <c r="H449" i="7"/>
  <c r="H446" i="7" s="1"/>
  <c r="H497" i="7" l="1"/>
  <c r="H396" i="18" l="1"/>
  <c r="H519" i="7" l="1"/>
  <c r="H21" i="7" l="1"/>
  <c r="H122" i="7" l="1"/>
  <c r="H121" i="7" s="1"/>
  <c r="H187" i="7" l="1"/>
  <c r="N657" i="19" l="1"/>
  <c r="H369" i="7" l="1"/>
  <c r="H386" i="7"/>
  <c r="H445" i="7" l="1"/>
  <c r="H444" i="7" s="1"/>
  <c r="I452" i="18" l="1"/>
  <c r="I451" i="18" s="1"/>
  <c r="I14" i="18" s="1"/>
  <c r="H452" i="18"/>
  <c r="H451" i="18" s="1"/>
  <c r="H470" i="18" s="1"/>
  <c r="H317" i="18"/>
  <c r="H287" i="18"/>
  <c r="H282" i="18" s="1"/>
  <c r="H281" i="18" s="1"/>
  <c r="H260" i="18"/>
  <c r="H259" i="18" s="1"/>
  <c r="I470" i="18" l="1"/>
  <c r="H211" i="18" l="1"/>
  <c r="H56" i="18"/>
  <c r="H48" i="18"/>
  <c r="H29" i="18"/>
  <c r="H27" i="18"/>
  <c r="H18" i="18"/>
  <c r="H448" i="18"/>
  <c r="H421" i="18"/>
  <c r="H400" i="18"/>
  <c r="H398" i="18"/>
  <c r="H389" i="18"/>
  <c r="H388" i="18" s="1"/>
  <c r="H361" i="18"/>
  <c r="H360" i="18" s="1"/>
  <c r="H359" i="18" s="1"/>
  <c r="H358" i="18" s="1"/>
  <c r="H355" i="18"/>
  <c r="H354" i="18" s="1"/>
  <c r="H352" i="18"/>
  <c r="H351" i="18" s="1"/>
  <c r="H332" i="18"/>
  <c r="H329" i="18"/>
  <c r="H326" i="18"/>
  <c r="H314" i="18"/>
  <c r="H311" i="18"/>
  <c r="H306" i="18"/>
  <c r="H303" i="18"/>
  <c r="H267" i="18"/>
  <c r="H266" i="18" s="1"/>
  <c r="H247" i="18"/>
  <c r="H246" i="18" s="1"/>
  <c r="H218" i="18"/>
  <c r="H217" i="18" s="1"/>
  <c r="H216" i="18" s="1"/>
  <c r="H181" i="18"/>
  <c r="H180" i="18" s="1"/>
  <c r="H175" i="18"/>
  <c r="H136" i="18"/>
  <c r="H135" i="18" s="1"/>
  <c r="H128" i="18"/>
  <c r="H127" i="18" s="1"/>
  <c r="H302" i="18" l="1"/>
  <c r="H391" i="18"/>
  <c r="H387" i="18" s="1"/>
  <c r="H174" i="18"/>
  <c r="H166" i="18" s="1"/>
  <c r="H126" i="18"/>
  <c r="H258" i="18"/>
  <c r="H447" i="18"/>
  <c r="H446" i="18" s="1"/>
  <c r="H233" i="18"/>
  <c r="H232" i="18" s="1"/>
  <c r="H79" i="18"/>
  <c r="H78" i="18" s="1"/>
  <c r="H32" i="18"/>
  <c r="H439" i="18"/>
  <c r="H153" i="18"/>
  <c r="H152" i="18" s="1"/>
  <c r="H210" i="18"/>
  <c r="H209" i="18" s="1"/>
  <c r="H52" i="18"/>
  <c r="H93" i="18"/>
  <c r="H92" i="18" s="1"/>
  <c r="H24" i="18"/>
  <c r="H17" i="18" s="1"/>
  <c r="H350" i="18"/>
  <c r="H349" i="18" s="1"/>
  <c r="H276" i="18"/>
  <c r="H325" i="18"/>
  <c r="H31" i="18" l="1"/>
  <c r="H16" i="18" s="1"/>
  <c r="H467" i="18"/>
  <c r="H125" i="18"/>
  <c r="H77" i="18"/>
  <c r="H301" i="18"/>
  <c r="H300" i="18" s="1"/>
  <c r="H257" i="18"/>
  <c r="H91" i="18"/>
  <c r="H386" i="18"/>
  <c r="H15" i="18" l="1"/>
  <c r="H463" i="18" l="1"/>
  <c r="H472" i="18" s="1"/>
  <c r="H468" i="18" s="1"/>
  <c r="H14" i="18"/>
  <c r="K14" i="18" s="1"/>
  <c r="I472" i="18"/>
  <c r="I468" i="18" s="1"/>
  <c r="H355" i="7"/>
  <c r="H354" i="7" s="1"/>
  <c r="I465" i="18" l="1"/>
  <c r="I471" i="18"/>
  <c r="H471" i="18"/>
  <c r="H465" i="18"/>
  <c r="N601" i="19" l="1"/>
  <c r="N16" i="19" s="1"/>
  <c r="N610" i="19" s="1"/>
  <c r="L14" i="18" l="1"/>
  <c r="E29" i="8"/>
  <c r="E28" i="8" s="1"/>
  <c r="E27" i="8" s="1"/>
  <c r="E26" i="8" s="1"/>
  <c r="E21" i="8" s="1"/>
  <c r="E14" i="8" s="1"/>
  <c r="N662" i="19"/>
  <c r="F61" i="6" s="1"/>
  <c r="F60" i="6" s="1"/>
  <c r="F15" i="6" s="1"/>
  <c r="I15" i="6" l="1"/>
  <c r="N648" i="19"/>
  <c r="N660" i="19"/>
  <c r="N621" i="19"/>
  <c r="N631" i="19"/>
  <c r="N626" i="19" l="1"/>
  <c r="N643" i="19"/>
  <c r="N639" i="19"/>
  <c r="N654" i="19"/>
  <c r="N617" i="19"/>
  <c r="H652" i="7" l="1"/>
  <c r="H645" i="7" s="1"/>
  <c r="H644" i="7" l="1"/>
  <c r="H17" i="7"/>
  <c r="H371" i="7" l="1"/>
  <c r="H469" i="7" l="1"/>
  <c r="H306" i="7"/>
  <c r="H317" i="7"/>
  <c r="H311" i="7" s="1"/>
  <c r="H308" i="7"/>
  <c r="H542" i="7" l="1"/>
  <c r="H540" i="7"/>
  <c r="H532" i="7"/>
  <c r="H531" i="7" s="1"/>
  <c r="H521" i="7"/>
  <c r="H539" i="7" l="1"/>
  <c r="H435" i="7"/>
  <c r="H434" i="7" s="1"/>
  <c r="H505" i="7" l="1"/>
  <c r="H504" i="7" s="1"/>
  <c r="H503" i="7" s="1"/>
  <c r="H502" i="7" s="1"/>
  <c r="H495" i="7"/>
  <c r="H494" i="7" s="1"/>
  <c r="H489" i="7"/>
  <c r="H488" i="7" s="1"/>
  <c r="H487" i="7" s="1"/>
  <c r="H485" i="7"/>
  <c r="H479" i="7"/>
  <c r="H478" i="7" s="1"/>
  <c r="H473" i="7"/>
  <c r="H472" i="7" s="1"/>
  <c r="H415" i="7"/>
  <c r="H412" i="7"/>
  <c r="H409" i="7"/>
  <c r="H406" i="7"/>
  <c r="H405" i="7" l="1"/>
  <c r="H493" i="7"/>
  <c r="H492" i="7" s="1"/>
  <c r="H477" i="7"/>
  <c r="H428" i="7"/>
  <c r="H431" i="7"/>
  <c r="H425" i="7"/>
  <c r="H484" i="7"/>
  <c r="H483" i="7" s="1"/>
  <c r="H367" i="7"/>
  <c r="H366" i="7" s="1"/>
  <c r="H322" i="7"/>
  <c r="H226" i="7"/>
  <c r="H365" i="7" l="1"/>
  <c r="H236" i="7"/>
  <c r="H235" i="7" s="1"/>
  <c r="H215" i="7"/>
  <c r="H285" i="7"/>
  <c r="H284" i="7" s="1"/>
  <c r="H283" i="7" s="1"/>
  <c r="H325" i="7"/>
  <c r="H211" i="7"/>
  <c r="H424" i="7"/>
  <c r="H404" i="7" s="1"/>
  <c r="H341" i="7"/>
  <c r="H340" i="7" s="1"/>
  <c r="H179" i="7"/>
  <c r="H172" i="7"/>
  <c r="H171" i="7" s="1"/>
  <c r="H163" i="7"/>
  <c r="H162" i="7" s="1"/>
  <c r="H71" i="7"/>
  <c r="H63" i="7"/>
  <c r="H50" i="7"/>
  <c r="H31" i="7"/>
  <c r="H29" i="7"/>
  <c r="H302" i="7"/>
  <c r="H324" i="7" l="1"/>
  <c r="H210" i="7"/>
  <c r="H209" i="7" s="1"/>
  <c r="H203" i="7"/>
  <c r="H175" i="7"/>
  <c r="H174" i="7" s="1"/>
  <c r="H26" i="7"/>
  <c r="H16" i="7" s="1"/>
  <c r="H126" i="7"/>
  <c r="H161" i="7" l="1"/>
  <c r="H202" i="7"/>
  <c r="H160" i="7" l="1"/>
  <c r="H544" i="7"/>
  <c r="H376" i="7"/>
  <c r="H380" i="7"/>
  <c r="H375" i="7" l="1"/>
  <c r="H374" i="7" s="1"/>
  <c r="H364" i="7" s="1"/>
  <c r="H234" i="7"/>
  <c r="H67" i="7" l="1"/>
  <c r="H41" i="7" l="1"/>
  <c r="H15" i="7" s="1"/>
  <c r="H130" i="7"/>
  <c r="H125" i="7" s="1"/>
  <c r="H124" i="7" l="1"/>
  <c r="H523" i="7"/>
  <c r="H304" i="7"/>
  <c r="H301" i="7" s="1"/>
  <c r="H300" i="7" s="1"/>
  <c r="H569" i="7" l="1"/>
  <c r="H668" i="7" s="1"/>
  <c r="D24" i="6"/>
  <c r="H482" i="7"/>
  <c r="H476" i="7"/>
  <c r="H468" i="7"/>
  <c r="H467" i="7" s="1"/>
  <c r="H350" i="7"/>
  <c r="H349" i="7" s="1"/>
  <c r="H321" i="7"/>
  <c r="H276" i="7"/>
  <c r="H275" i="7" s="1"/>
  <c r="H228" i="7"/>
  <c r="H225" i="7"/>
  <c r="H310" i="7" l="1"/>
  <c r="H299" i="7" s="1"/>
  <c r="H224" i="7"/>
  <c r="H223" i="7" s="1"/>
  <c r="H339" i="7"/>
  <c r="H403" i="7"/>
  <c r="H338" i="7" l="1"/>
  <c r="H274" i="7" l="1"/>
  <c r="H511" i="7" l="1"/>
  <c r="H510" i="7" s="1"/>
  <c r="H526" i="7" l="1"/>
  <c r="C24" i="8" l="1"/>
  <c r="C23" i="8" s="1"/>
  <c r="C22" i="8" s="1"/>
  <c r="H525" i="7"/>
  <c r="H513" i="7" s="1"/>
  <c r="H509" i="7" s="1"/>
  <c r="D19" i="6"/>
  <c r="D17" i="6" s="1"/>
  <c r="H508" i="7" l="1"/>
  <c r="H99" i="7" l="1"/>
  <c r="H98" i="7" s="1"/>
  <c r="H97" i="7" s="1"/>
  <c r="M579" i="3"/>
  <c r="M578" i="3" s="1"/>
  <c r="M577" i="3" s="1"/>
  <c r="M485" i="3" l="1"/>
  <c r="M471" i="3" s="1"/>
  <c r="M14" i="3" s="1"/>
  <c r="H96" i="7"/>
  <c r="H14" i="7" s="1"/>
  <c r="H13" i="7" s="1"/>
  <c r="M924" i="3"/>
  <c r="D38" i="6" s="1"/>
  <c r="D35" i="6" l="1"/>
  <c r="D15" i="6" s="1"/>
  <c r="H664" i="7"/>
  <c r="C29" i="8"/>
  <c r="M928" i="3"/>
  <c r="M953" i="3" s="1"/>
  <c r="C28" i="8" l="1"/>
  <c r="C27" i="8" s="1"/>
  <c r="C26" i="8" s="1"/>
  <c r="H666" i="7"/>
  <c r="H670" i="7"/>
  <c r="H669" i="7" s="1"/>
  <c r="J13" i="7"/>
  <c r="G15" i="6"/>
  <c r="C21" i="8" l="1"/>
  <c r="C14" i="8" s="1"/>
</calcChain>
</file>

<file path=xl/sharedStrings.xml><?xml version="1.0" encoding="utf-8"?>
<sst xmlns="http://schemas.openxmlformats.org/spreadsheetml/2006/main" count="17554" uniqueCount="789">
  <si>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</si>
  <si>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</si>
  <si>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</si>
  <si>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</si>
  <si>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</si>
  <si>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</si>
  <si>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</si>
  <si>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</si>
  <si>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</si>
  <si>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</si>
  <si>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</si>
  <si>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</si>
  <si>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</si>
  <si>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</si>
  <si>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</si>
  <si>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</si>
  <si>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</si>
  <si>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</si>
  <si>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</si>
  <si>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</si>
  <si>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</si>
  <si>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</si>
  <si>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</si>
  <si>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</si>
  <si>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</si>
  <si>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</si>
  <si>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</si>
  <si>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</si>
  <si>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</si>
  <si>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</si>
  <si>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</si>
  <si>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</si>
  <si>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</si>
  <si>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</si>
  <si>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</si>
  <si>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</si>
  <si>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</si>
  <si>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</si>
  <si>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</si>
  <si>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</si>
  <si>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</si>
  <si>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</si>
  <si>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</si>
  <si>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</si>
  <si>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</si>
  <si>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</si>
  <si>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</si>
  <si>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</si>
  <si>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</si>
  <si>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</si>
  <si>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</si>
  <si>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</si>
  <si>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</si>
  <si>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</si>
  <si>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</si>
  <si>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</si>
  <si>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</si>
  <si>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</si>
  <si>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</si>
  <si>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</si>
  <si>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</si>
  <si>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</si>
  <si>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</si>
  <si>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</si>
  <si>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</si>
  <si>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</si>
  <si>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</si>
  <si>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</si>
  <si>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</si>
  <si>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</si>
  <si>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</si>
  <si>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</si>
  <si>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</si>
  <si>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</si>
  <si>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</si>
  <si>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</si>
  <si>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</si>
  <si>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</si>
  <si>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</si>
  <si>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</si>
  <si>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</si>
  <si>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</si>
  <si>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</si>
  <si>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</si>
  <si>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</si>
  <si>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</si>
  <si>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</si>
  <si>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</si>
  <si>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</si>
  <si>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</si>
  <si>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</si>
  <si>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</si>
  <si>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</si>
  <si>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</si>
  <si>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</si>
  <si>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</si>
  <si>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</si>
  <si>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</si>
  <si>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</si>
  <si>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</si>
  <si>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</si>
  <si>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</si>
  <si>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</si>
  <si>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</si>
  <si>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</si>
  <si>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</si>
  <si>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</si>
  <si>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</si>
  <si>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</si>
  <si>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</si>
  <si>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</si>
  <si>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</si>
  <si>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</si>
  <si>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</si>
  <si>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</si>
  <si>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</si>
  <si>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</si>
  <si>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</si>
  <si>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</si>
  <si>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</si>
  <si>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</si>
  <si>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</si>
  <si>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</si>
  <si>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</si>
  <si>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</si>
  <si>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</si>
  <si>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</si>
  <si>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</si>
  <si>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</si>
  <si>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</si>
  <si>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</si>
  <si>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</si>
  <si>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</si>
  <si>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</si>
  <si>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</si>
  <si>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</si>
  <si>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</si>
  <si>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</si>
  <si>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</si>
  <si>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</si>
  <si>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</si>
  <si>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</si>
  <si>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</si>
  <si>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</si>
  <si>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</si>
  <si>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</si>
  <si>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</si>
  <si>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</si>
  <si>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</si>
  <si>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</si>
  <si>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1 11 07015 05 0000 120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</si>
  <si>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</si>
  <si>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</si>
  <si>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</si>
  <si>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</si>
  <si>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</si>
  <si>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</si>
  <si>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</si>
  <si>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</si>
  <si>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</si>
  <si>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</si>
  <si>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</si>
  <si>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</si>
  <si>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</si>
  <si>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</si>
  <si>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</si>
  <si>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</si>
  <si>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</si>
  <si>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</si>
  <si>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</si>
  <si>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</si>
  <si>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</si>
  <si>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</si>
  <si>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</si>
  <si>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</si>
  <si>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</si>
  <si>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</si>
  <si>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</si>
  <si>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</si>
  <si>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</si>
  <si>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</si>
  <si>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</si>
  <si>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</si>
  <si>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</si>
  <si>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</si>
  <si>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</si>
  <si>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</si>
  <si>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</si>
  <si>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</si>
  <si>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</si>
  <si>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</si>
  <si>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</si>
  <si>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</si>
  <si>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</si>
  <si>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</si>
  <si>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</si>
  <si>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</si>
  <si>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</si>
  <si>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</si>
  <si>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</si>
  <si>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</si>
  <si>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</si>
  <si>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</si>
  <si>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</si>
  <si>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</si>
  <si>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</si>
  <si>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</si>
  <si>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</si>
  <si>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</si>
  <si>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</si>
  <si>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</si>
  <si>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</si>
  <si>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</si>
  <si>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</si>
  <si>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</si>
  <si>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Организация библиотечного обслуживания населения, комплектование библиотечных фондов библиотек поселения</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</si>
  <si>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</si>
  <si>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</si>
  <si>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</si>
  <si>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</si>
  <si>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</si>
  <si>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</si>
  <si>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</si>
  <si>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</si>
  <si>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</si>
  <si>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</si>
  <si>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</si>
  <si>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</si>
  <si>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</si>
  <si>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</si>
  <si>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</si>
  <si>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</si>
  <si>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</si>
  <si>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</si>
  <si>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</si>
  <si>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</si>
  <si>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</si>
  <si>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</si>
  <si>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</si>
  <si>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</si>
  <si>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</si>
  <si>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</si>
  <si>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</si>
  <si>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</si>
  <si>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</si>
  <si>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</si>
  <si>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</si>
  <si>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</si>
  <si>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</si>
  <si>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</si>
  <si>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</si>
  <si>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</si>
  <si>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</si>
  <si>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</si>
  <si>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</si>
  <si>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</si>
  <si>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</si>
  <si>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</si>
  <si>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</si>
  <si>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</si>
  <si>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</si>
  <si>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</si>
  <si>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</si>
  <si>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</si>
  <si>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</si>
  <si>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</si>
  <si>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</si>
  <si>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</si>
  <si>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</si>
  <si>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</si>
  <si>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</si>
  <si>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</si>
  <si>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</si>
  <si>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</si>
  <si>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</si>
  <si>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</si>
  <si>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</si>
  <si>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</si>
  <si>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</si>
  <si>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</si>
  <si>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</si>
  <si>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</si>
  <si>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</si>
  <si>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</si>
  <si>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</si>
  <si>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</si>
  <si>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</si>
  <si>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</si>
  <si>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</si>
  <si>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</si>
  <si>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</si>
  <si>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</si>
  <si>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</si>
  <si>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</si>
  <si>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</si>
  <si>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</si>
  <si>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</si>
  <si>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</si>
  <si>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</si>
  <si>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</si>
  <si>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</si>
  <si>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</si>
  <si>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</si>
  <si>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</si>
  <si>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</si>
  <si>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</si>
  <si>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</si>
  <si>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</si>
  <si>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</si>
  <si>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</si>
  <si>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</si>
  <si>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</si>
  <si>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</si>
  <si>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</si>
  <si>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</si>
  <si>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</si>
  <si>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</si>
  <si>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</si>
  <si>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</si>
  <si>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</si>
  <si>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</si>
  <si>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</si>
  <si>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</si>
  <si>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</si>
  <si>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</si>
  <si>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</si>
  <si>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</si>
  <si>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</si>
  <si>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</si>
  <si>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</si>
  <si>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</si>
  <si>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</si>
  <si>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</si>
  <si>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</si>
  <si>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</si>
  <si>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</si>
  <si>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</si>
  <si>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</si>
  <si>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</si>
  <si>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</si>
  <si>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</si>
  <si>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</si>
  <si>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</si>
  <si>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</si>
  <si>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</si>
  <si>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</si>
  <si>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</si>
  <si>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</si>
  <si>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</si>
  <si>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</si>
  <si>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</si>
  <si>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</si>
  <si>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</si>
  <si>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</si>
  <si>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</si>
  <si>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</si>
  <si>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</si>
  <si>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</si>
  <si>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</si>
  <si>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</si>
  <si>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</si>
  <si>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 УУР</t>
  </si>
  <si>
    <t>УУР</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</si>
  <si>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</si>
  <si>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</si>
  <si>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</si>
  <si>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</si>
  <si>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</si>
  <si>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</si>
  <si>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</si>
  <si>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</si>
  <si>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</si>
  <si>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</si>
  <si>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Начальник Финансового управления</t>
  </si>
  <si>
    <t xml:space="preserve">администрации муниципального образования </t>
  </si>
  <si>
    <t>Апшеронский район</t>
  </si>
  <si>
    <t>РУО</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</si>
  <si>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</si>
  <si>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</si>
  <si>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</si>
  <si>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</si>
  <si>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</si>
  <si>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</si>
  <si>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</si>
  <si>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</si>
  <si>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</si>
  <si>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О.В.Чуйко</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</si>
  <si>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</si>
  <si>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</si>
  <si>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</si>
  <si>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</si>
  <si>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</si>
  <si>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</si>
  <si>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</si>
  <si>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</si>
  <si>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</si>
  <si>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</si>
  <si>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</si>
  <si>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</si>
  <si>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</si>
  <si>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</si>
  <si>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</si>
  <si>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</si>
  <si>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</si>
  <si>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</si>
  <si>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</si>
  <si>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</si>
  <si>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</si>
  <si>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</si>
  <si>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</si>
  <si>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Создание условий для организации досуга и обеспечения жителей услугами организаций культуры</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</si>
  <si>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</si>
  <si>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</si>
  <si>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</si>
  <si>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</si>
  <si>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С0820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</si>
  <si>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</si>
  <si>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</si>
  <si>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</si>
  <si>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</si>
  <si>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</si>
  <si>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</si>
  <si>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925</t>
  </si>
  <si>
    <t>1 06 02000 02 0000 110</t>
  </si>
  <si>
    <t>Налог на имущество организаций*</t>
  </si>
  <si>
    <t>Дотации бюджетам муниципальных районов на выравнивание бюджетной обеспеченности из бюджета субъекта Российской Федерации</t>
  </si>
  <si>
    <t>Профилактика терроризма</t>
  </si>
  <si>
    <t>S0460</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</si>
  <si>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</si>
  <si>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</si>
  <si>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</si>
  <si>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</si>
  <si>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</si>
  <si>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</si>
  <si>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</si>
  <si>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</si>
  <si>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</si>
  <si>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</si>
  <si>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</si>
  <si>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</si>
  <si>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</si>
  <si>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чрезвычайной ситуации</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</si>
  <si>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</si>
  <si>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</si>
  <si>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</si>
  <si>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</si>
  <si>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</si>
  <si>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 xml:space="preserve">Непрограммные расходы органов 
местного самоуправления
</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</si>
  <si>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</si>
  <si>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</si>
  <si>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</si>
  <si>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</si>
  <si>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</si>
  <si>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</si>
  <si>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</si>
  <si>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2023 год</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</si>
  <si>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</si>
  <si>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</si>
  <si>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</si>
  <si>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</si>
  <si>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</si>
  <si>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</si>
  <si>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</si>
  <si>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</si>
  <si>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</si>
  <si>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</si>
  <si>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</si>
  <si>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</si>
  <si>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</si>
  <si>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</si>
  <si>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</si>
  <si>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F3</t>
  </si>
  <si>
    <t>Федеральный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</si>
  <si>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</si>
  <si>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Жилищное хозяйство</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</si>
  <si>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</si>
  <si>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Переселение граждан из аварийного жилищного фонда</t>
  </si>
  <si>
    <t>8</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</si>
  <si>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</si>
  <si>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</si>
  <si>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2 02 25228 00 0000 150</t>
  </si>
  <si>
    <t>Субсидии бюджетам на оснащение объектов спортивной инфраструктуры спортивно-технологическим оборудованием</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</si>
  <si>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</si>
  <si>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</si>
  <si>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P5</t>
  </si>
  <si>
    <t>Федеральный проект "Спорт – норма жизни"</t>
  </si>
  <si>
    <t>Оснащение объектов спортивной инфраструктуры спортивно-технологическим оборудованием</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</si>
  <si>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</si>
  <si>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</si>
  <si>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</si>
  <si>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</si>
  <si>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</si>
  <si>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</si>
  <si>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</si>
  <si>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</si>
  <si>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</si>
  <si>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52280</t>
  </si>
  <si>
    <t>Организация газоснабжения населения (поселений) (строительство подводящих газопроводов, распределительных газопроводов)</t>
  </si>
  <si>
    <t>субсидии на защиту населения и территории муниципального образования от чрезвычайных ситуаций природного характера на объектах туристского показа, находящихся в муниципальной собственности</t>
  </si>
  <si>
    <t>S0470</t>
  </si>
  <si>
    <t>Строительство, реконструкция (в том числе реконструкция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</si>
  <si>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2024 год</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</si>
  <si>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</si>
  <si>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</si>
  <si>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</si>
  <si>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субсидии на участие в профилактике терроризма в части обеспечения инженерно-технической защищенности муниципальных образовательных организаций</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</si>
  <si>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</si>
  <si>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</si>
  <si>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</si>
  <si>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</si>
  <si>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</si>
  <si>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</si>
  <si>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8 к решению Совета муниципального образования</t>
  </si>
  <si>
    <t xml:space="preserve">                                Приложение 9 к решению Совета муниципального образования</t>
  </si>
  <si>
    <t xml:space="preserve">                                Приложение 11 к решению Совета муниципального образования</t>
  </si>
  <si>
    <t>6748S</t>
  </si>
  <si>
    <t>0501</t>
  </si>
  <si>
    <t>Мероприятия по профилактике детского дорожно-транспортного травматизма в муниципальных образовательных учреждениях</t>
  </si>
  <si>
    <t>10220</t>
  </si>
  <si>
    <t>53032</t>
  </si>
  <si>
    <t>________________________</t>
  </si>
  <si>
    <t>S3350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</si>
  <si>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</si>
  <si>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Защита населения и территории муниципальных образований от чрезвычайных ситуаций природного характера на объектах туристского показа, находящихся в муниципальной собственности</t>
  </si>
  <si>
    <t>10230</t>
  </si>
  <si>
    <t>Обеспечение функционирования системы персонифицированного финансирования дополнительного образования детей</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</si>
  <si>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</si>
  <si>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</si>
  <si>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</si>
  <si>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</si>
  <si>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</si>
  <si>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</si>
  <si>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подготовку изменений в генеральные планы муниципальных образований Краснодарского края</t>
  </si>
  <si>
    <t>S2560</t>
  </si>
  <si>
    <t>Подготовка изменений в генеральные планы муниципальных образований Краснодарского края</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</si>
  <si>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</si>
  <si>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</si>
  <si>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</si>
  <si>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</si>
  <si>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</si>
  <si>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</si>
  <si>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</si>
  <si>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</si>
  <si>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</si>
  <si>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</si>
  <si>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</si>
  <si>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</si>
  <si>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</si>
  <si>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</si>
  <si>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S3410</t>
  </si>
  <si>
    <t>R0820</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</si>
  <si>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</si>
  <si>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</si>
  <si>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</si>
  <si>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</si>
  <si>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 xml:space="preserve">                                Приложение 5 к решению Совета муниципального образования</t>
  </si>
  <si>
    <t>Содействие развитию физической культуры и спорта</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</si>
  <si>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</si>
  <si>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</si>
  <si>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</si>
  <si>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</si>
  <si>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</si>
  <si>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</si>
  <si>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</si>
  <si>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Построение и развитие АПК "Безопасный город" и системы "112"</t>
  </si>
  <si>
    <t>субсидии на реализацию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</si>
  <si>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S3570</t>
  </si>
  <si>
    <t>Реализация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</si>
  <si>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27000</t>
  </si>
  <si>
    <t>Организация подвоза обучающихся, проживающих на территории Туапсинского района</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</si>
  <si>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</si>
  <si>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</si>
  <si>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2 02 29900 05 0000 150</t>
  </si>
  <si>
    <t>Субсидии бюджетам муниципальных районов из местных бюджетов</t>
  </si>
  <si>
    <t>субсидии бюджету муниципального образования Апшеронский район в целях финансирования расходных обязательств, возникающих при выполнении полномочий органов местного самоуправления Апшеронского района по подвозу обучающихся из Туапсинского района к месту учебы в Апшеронский район и обратно, в соответствии с заключенными соглашениями</t>
  </si>
  <si>
    <t>субсидии на создание условий для массового отдыха и организации обустройства мест массового отдыха в границах туристского кластера "Курджипский"</t>
  </si>
  <si>
    <t>S3590</t>
  </si>
  <si>
    <t>Создание условий для массового отдыха и организации обустройства мест массового отдыха в границах туристского кластера "Курджипский"</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</si>
  <si>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</si>
  <si>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 xml:space="preserve">Создание условий для массового отдыха и организации обустройства мест массового отдыха в границах туристского кластера "Курджипский" </t>
  </si>
  <si>
    <t>19</t>
  </si>
  <si>
    <t>Объем поступлений доходов в районный бюджет по кодам видов (подвидов) доходов на 2023 год и плановый период 2024 и 2025 годов</t>
  </si>
  <si>
    <t>2025 год</t>
  </si>
  <si>
    <t>классификации расходов бюджетов на 2023 год и плановый период 2024 и 2025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</si>
  <si>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2023 год</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</si>
  <si>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2024 и 2025 годы</t>
  </si>
  <si>
    <t>Ведомственная структура расходов районного бюджета на 2023 год</t>
  </si>
  <si>
    <t>Ведомственная структура расходов районного бюджета на 2024 и 2025 годы</t>
  </si>
  <si>
    <t>Источники финансирования дефицита районного бюджета,                                                                                                                                                                                                                                                                перечень статей источников финансирования дефицитов бюджетов на 2023 год и плановый период 2024 и 2025 годов</t>
  </si>
  <si>
    <t>69160</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</si>
  <si>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</si>
  <si>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10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</si>
  <si>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</si>
  <si>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Безвозмездные поступления от других бюджетов бюджетной системы Российской Федерации
 в 2023 году</t>
  </si>
  <si>
    <t>Непрограммные расходы органов 
местного самоуправления</t>
  </si>
  <si>
    <t>2 02 20299 00 0000 150</t>
  </si>
  <si>
    <t>2 02 20299 05 0000 150</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</si>
  <si>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участию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</si>
  <si>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</si>
  <si>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</si>
  <si>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</si>
  <si>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оснащение зданий муниципальных общеобразовательных организаций средствами обучения и воспитания, не требующими предварительной сборки, установки и закрепления на фундаментах или опорах)</t>
  </si>
  <si>
    <t>субсидии на 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</si>
  <si>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Субсидии бюджетам муниципальных районов на реализацию мероприятий по модернизации школьных систем образования</t>
  </si>
  <si>
    <t>2 02 25750 05 0000 150</t>
  </si>
  <si>
    <t>Субсидии бюджетам на реализацию мероприятий по модернизации школьных систем образования</t>
  </si>
  <si>
    <t>2 02 25750 00 0000 150</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</si>
  <si>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</si>
  <si>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</si>
  <si>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</si>
  <si>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</si>
  <si>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67484</t>
  </si>
  <si>
    <t>67483</t>
  </si>
  <si>
    <t>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</si>
  <si>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S0640</t>
  </si>
  <si>
    <t>Реализация мероприятий по переселению граждан из аварийного жилищного фонда</t>
  </si>
  <si>
    <t xml:space="preserve">Реализация мероприятий муниципальной программы "Развитие топливно-энергетического комплекса и жилищно-коммунального хозяйства" </t>
  </si>
  <si>
    <t>12200</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</si>
  <si>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</si>
  <si>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</si>
  <si>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</si>
  <si>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</si>
  <si>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</si>
  <si>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</si>
  <si>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</si>
  <si>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</si>
  <si>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2 02 25786 05 0000 150</t>
  </si>
  <si>
    <t>2 02 25786 00 0000 150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</si>
  <si>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</si>
  <si>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1 11 03050 05 0000 120</t>
  </si>
  <si>
    <t>проценты, полученные от предоставления бюджетных кредитов внутри страны за счет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</si>
  <si>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</si>
  <si>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</si>
  <si>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</si>
  <si>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</si>
  <si>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</si>
  <si>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</si>
  <si>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</si>
  <si>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</si>
  <si>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</si>
  <si>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</si>
  <si>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Реализация мероприятий по модернизации школьных систем образования</t>
  </si>
  <si>
    <t>EB</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</si>
  <si>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</si>
  <si>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</si>
  <si>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</si>
  <si>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</si>
  <si>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</si>
  <si>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Федеральный проект "Патриотическое воспитание граждан Российской Федерации"</t>
  </si>
  <si>
    <t>L7500</t>
  </si>
  <si>
    <r>
      <rPr>
        <i/>
        <sz val="14"/>
        <rFont val="Times New Roman"/>
        <family val="1"/>
        <charset val="204"/>
      </rPr>
      <t xml:space="preserve">субсидии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"Патриотическое воспитание граждан Российской Федерации"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t>
    </r>
    <r>
      <rPr>
        <sz val="14"/>
        <rFont val="Times New Roman"/>
        <family val="1"/>
        <charset val="204"/>
      </rPr>
      <t xml:space="preserve">
</t>
    </r>
  </si>
  <si>
    <t>до изменений (скрыть)</t>
  </si>
  <si>
    <t>изменения</t>
  </si>
  <si>
    <t>с учетом изменений</t>
  </si>
  <si>
    <t>Апшеронский район от 22.12.2022 № 163</t>
  </si>
  <si>
    <t>2 02 35179 00 0000 150</t>
  </si>
  <si>
    <t>2 02 35179 05 0000 150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</si>
  <si>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</si>
  <si>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</si>
  <si>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18</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</si>
  <si>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</si>
  <si>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</si>
  <si>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</si>
  <si>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</si>
  <si>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63690</t>
  </si>
  <si>
    <t>Прочие межбюджетные трансферты общего характера</t>
  </si>
  <si>
    <t>Финансовое обеспечение непредвиденных расходов, в том числе связанных с предупреждением и ликвидацией чрезвычайных ситуаций и их последствий, а также иных мероприятий (неотложных расходов)</t>
  </si>
  <si>
    <t>98</t>
  </si>
  <si>
    <t>Мероприятия, направленные на предупреждение и ликвидацию чрезвычайных ситуаций и их последствий, а также на иные мероприятия (неотложные расходы), не относящиеся к публичным нормативным обязательствам</t>
  </si>
  <si>
    <t>90020</t>
  </si>
  <si>
    <t>Иные межбюджетные трансферты бюджетам поселений за счет средств резервного фонда администрации муниципального образования Апшеронский район</t>
  </si>
  <si>
    <t>Софинансирование расходных обязательств по объекту «Реконструкция дороги общего пользования местного значения по улице Мостовая включая «Автомобильный мост 1», «Автомобильный мост 2» в станице Куринской Куринского сельского поселения Апшеронского района</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</si>
  <si>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</si>
  <si>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</si>
  <si>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</si>
  <si>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</si>
  <si>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</si>
  <si>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</si>
  <si>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</si>
  <si>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</si>
  <si>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62980</t>
  </si>
  <si>
    <t>Дополнительная помощь местным бюджетам для решения социально значимых вопросов местного значения</t>
  </si>
  <si>
    <t>2 18 05010 05 0000 150</t>
  </si>
  <si>
    <t>Доходы бюджетов муниципальных районов от возврата бюджетными учреждениями остатков субсидий прошлых лет</t>
  </si>
  <si>
    <t>2 19 25304 05 0000 150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</si>
  <si>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</si>
  <si>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2 19 35303 05 0000 150</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</si>
  <si>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</si>
  <si>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</si>
  <si>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</si>
  <si>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</si>
  <si>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</si>
  <si>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Спорт высших достижений</t>
  </si>
  <si>
    <t>1103</t>
  </si>
  <si>
    <t>Текущий ремонт моста в ст-це Нефтяной по ул. Заречной (через р. Туха) Нефтегорского городского поселения Апшеронского района</t>
  </si>
  <si>
    <t>Поддержка местных инициатив по итогам краевого конкурса</t>
  </si>
  <si>
    <t>62950</t>
  </si>
  <si>
    <t>2 02 19999 00 0000 150</t>
  </si>
  <si>
    <t>Прочие дотации</t>
  </si>
  <si>
    <t>2 02 19999 05 0000 150</t>
  </si>
  <si>
    <t>Прочие дотации бюджетам муниципальных районов</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</si>
  <si>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</si>
  <si>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</si>
  <si>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</si>
  <si>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</si>
  <si>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Оплата исполнительных листов Арбитражного суда Краснодарского края, в части расходов по оплате стоимости фактических потерь электроэнергии и расходов по оплате государственной пошлины в пользу акционерного общества «Независимая энергосбытовая компания Краснодарского края»</t>
  </si>
  <si>
    <t>62590</t>
  </si>
  <si>
    <t>Средства резервного фонда администрации Краснодарского края</t>
  </si>
  <si>
    <t>Капитальный ремонт автомобильной дороги по ул. Социалистической в г. Апшеронске (устройство недостающего тротуара от ул. Пролетарской до парковки возле ГБУЗ «ЦРБ Апшеронского района» МЗ КК)</t>
  </si>
  <si>
    <t>субсидии на подготовку изменений в правила землепользования и застройки муниципальных образований Краснодарского края</t>
  </si>
  <si>
    <t>S2570</t>
  </si>
  <si>
    <t>Подготовка изменений в правила землепользования и застройки муниципальных образований Краснодарского края</t>
  </si>
  <si>
    <t>10140</t>
  </si>
  <si>
    <t>Меры социальной поддержки отдельным категориям работников здравоохранения</t>
  </si>
  <si>
    <t>Единовременная выплата отдельным категориям работников, являющихся работниками учреждений здравоохранения</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</si>
  <si>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бюджета Краснодарского края</t>
  </si>
  <si>
    <t>10150</t>
  </si>
  <si>
    <t>Меры социальной поддержки отдельным категориям работников общеобразовательных организаций</t>
  </si>
  <si>
    <t>Единовременная выплата отдельным категориям работников, являющихся работниками общеобразовательных организаций</t>
  </si>
  <si>
    <t>Социальное обеспечение населения</t>
  </si>
  <si>
    <t>Приобретение товаров, работ (услуг) в целях реализации мер, направленных на обеспечение инженерно-технической защищенности административных зданий органов внутренних дел</t>
  </si>
  <si>
    <t>Текущий ремонт подвесного моста через реку Пшиш по улице Пионерской в станице Кабардинской Кабардинского сельского поселения Апшеронского района</t>
  </si>
  <si>
    <t>S0340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</si>
  <si>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</si>
  <si>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 xml:space="preserve">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 </t>
  </si>
  <si>
    <t xml:space="preserve">субсидии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</si>
  <si>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Проведение мероприятий по формированию в муниципальном образовании Апшеронский район сети образовательных организаций, в которых созданы условия для инклюзивного образования детей-инвалидов. Создание в муниципальных образовательных организациях условий для получения детьми-инвалидами качественного образования</t>
  </si>
  <si>
    <t>Установка уличного освещения в поселке Новый Режет Отдаленного сельского поселения Апшеронского района по улицам: Железнодорожная, Заречная, Клубная, Коммунаров</t>
  </si>
  <si>
    <t>иные межбюджетные трансферты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</si>
  <si>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иные межбюджетные трансферты бюджетам муниципальных образований Краснодарского края за счет средств резервного фонда администрации Краснодарского края</t>
  </si>
  <si>
    <t xml:space="preserve">иные межбюджетные трансферты на дополнительную помощь местным бюджетам для решения социально значимых вопросов местного значения </t>
  </si>
  <si>
    <t>Разработка схемы газоснабжения поселка Асфальтовая Гора Апшеронского района Краснодарского края</t>
  </si>
  <si>
    <t>Ремонт строений из 3-х нежилых помещений, в том числе 2 раздевалки на футбольном поле по адресу г. Апшеронск, пересечение улиц Лесозаводская – Стадионная – Заводская (район ФЗО)</t>
  </si>
  <si>
    <t>Иные межбюджетные трансферты на поддержку мер по обеспечению сбалансированности бюджетов поселений</t>
  </si>
  <si>
    <t>10720</t>
  </si>
  <si>
    <t>Устройство контейнерных площадок на территории Нефтегорского городского поселения Апшеронского района</t>
  </si>
  <si>
    <t>Устройство тротуара, парковки и остановочной площадки общественного транспорта по ул. Красной (от ул. Кузнечной до ул. Комсомольской) в станице Кубанской Апшеронского района</t>
  </si>
  <si>
    <t>S3490</t>
  </si>
  <si>
    <t>Создание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в муниципальных образовательных организациях, в том числе для размещения детей в возрасте до 3 лет)</t>
  </si>
  <si>
    <t>субсидии на создание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в муниципальных образовательных организациях, в том числе для размещения детей в возрасте до 3 лет)</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</si>
  <si>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</si>
  <si>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69120</t>
  </si>
  <si>
    <t>Капитальный ремонт котла ДКВр-2,5-13 котельной, расположенной по адресу: Краснодарский край, г. Апшеронск, ул. Пролетарская, 204</t>
  </si>
  <si>
    <t>Устройство кабельной линии освещения на общественной территории «Бульвар по ул. Коммунистической от ул. Комарова до ул. Партизанской; по пер. Транспортному от ул. Коммунистической до парка культуры и отдыха «Юность» в г. Апшеронске Краснодарского края»</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</si>
  <si>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</si>
  <si>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</si>
  <si>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Размещение и питание граждан Российской Федерации, иностранных граждан и лиц без гражданства, постоянно проживающих на территории Украины, а также на территориях субъектов Российской Федерации, на которых введены максимальный и средний уровни реагирования, вынужденно покинувших жилые помещения и находившихся в пунктах временного размещения и питания на территории Краснодарского края</t>
  </si>
  <si>
    <t>16</t>
  </si>
  <si>
    <t>Ремонт тротуара по ул. К. Маркса от ул. Ленина до ул. Профсоюзной в г. Хадыженске Хадыженского городского поселения Апшеронского района</t>
  </si>
  <si>
    <t>Устройство тротуара по ул. Шаумяна (от ул. Мира до ул. Гагарина) и по ул. Гагарина (от ул. Шаумяна до МБОУСОШ № 11) в с. Черниговское Черниговского сельского поселения Апшеронского района</t>
  </si>
  <si>
    <t>Подготовка проекта материалов, обосновывающих создание особо охраняемой территории местного значения «Припшехский лес» в границах земельного участка с кадастровым номером 23:02:0000000:3128 (с корректировкой) площадью 76,35 га в г. Апшеронске</t>
  </si>
  <si>
    <t>Выполнение работ по проведению экстренных мероприятий по ликвидации последствий чрезвычайной ситуации в с. Черниговское Черниговского сельского поселения Апшеронского района</t>
  </si>
  <si>
    <t>Изготовление и поставка каркасного здания из легких стальных конструкций с внутренней отделкой</t>
  </si>
  <si>
    <t>Разработка продольных водоотводных и нагорных канав и восстановление профиля (грейдирование) и ровности проезжей части автомобильных дорог по ул. Заводской, пер. Садовому в ст. Нефтяной Нефтегорского городского поселения Апшеронского района</t>
  </si>
  <si>
    <t>2 07 05000 05 0000 150</t>
  </si>
  <si>
    <t>Прочие безвозмездные поступления в бюджеты муниципальных районов</t>
  </si>
  <si>
    <t>000 01 03 00 00 00 0000 000</t>
  </si>
  <si>
    <t>Бюджетные кредиты от других бюджетов бюджетной системы Российской Федерации</t>
  </si>
  <si>
    <t>000 01 03 01 00 00 0000 000</t>
  </si>
  <si>
    <t>000 01 03 01 00 00 0000 700</t>
  </si>
  <si>
    <t>000 01 03 01 00 05 0000 710</t>
  </si>
  <si>
    <t>000 01 03 01 00 00 0000 800</t>
  </si>
  <si>
    <t>000 01 03 01 00 05 0000 810</t>
  </si>
  <si>
    <t>000 01 06 05 00 00 0000 500</t>
  </si>
  <si>
    <t>000 01 06 05 02 00 0000 500</t>
  </si>
  <si>
    <t>000 01 06 05 02 05 0000 540</t>
  </si>
  <si>
    <t>Предоставление бюджетных кредитов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</si>
  <si>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</si>
  <si>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</si>
  <si>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</si>
  <si>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</si>
  <si>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</si>
  <si>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</si>
  <si>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</si>
  <si>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Обслуживание государственного (муниципального) долга</t>
  </si>
  <si>
    <t>Обслуживание государственного (муниципального) внутреннего долга</t>
  </si>
  <si>
    <t>Обеспечение своевременности и полноты исполнения долговых обязательств муниципального образования</t>
  </si>
  <si>
    <t>Процентные платежи по муниципальному долгу</t>
  </si>
  <si>
    <t>11810</t>
  </si>
  <si>
    <t>700</t>
  </si>
  <si>
    <t>1300</t>
  </si>
  <si>
    <t>1301</t>
  </si>
  <si>
    <t>11110</t>
  </si>
  <si>
    <t>Реализация мероприятий по газификации населенных пунктов поселений муниципального образования Апшеронский район</t>
  </si>
  <si>
    <t>Финансовое обеспечение непредвиденных расходов, в том числе связанных с предупреждением и ликвидацией чрезвычайных ситуаций и их последствий, а также иных мероприятий 
(неотложных расходов)</t>
  </si>
  <si>
    <t>Мероприятия, направленные на предупреждение и ликвидацию чрезвычайных ситуаций и их последствий, а также на иные мероприятия (неотложные расходы), в части исполнения публичных нормативных обязательств</t>
  </si>
  <si>
    <t>Единовременная материальная помощь гражданам, пострадавшим в результате чрезвычайной ситуации</t>
  </si>
  <si>
    <t>S2400</t>
  </si>
  <si>
    <t>Апшеронский район от 30.11.2023 № 215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</si>
</sst>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_ ;[Red]\-#,##0.0\ "/>
    <numFmt numFmtId="176" formatCode="0.000"/>
  </numFmts>
  <fonts count="31"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sz val="14"/>
      <name val="Arial Cyr"/>
      <charset val="204"/>
    </font>
    <font>
      <sz val="11"/>
      <name val="Calibri"/>
      <family val="2"/>
      <scheme val="minor"/>
    </font>
    <font>
      <sz val="11"/>
      <color theme="1"/>
      <name val="Calibri"/>
      <family val="2"/>
      <scheme val="minor"/>
    </font>
    <font>
      <sz val="12"/>
      <name val="Calibri"/>
      <family val="2"/>
      <scheme val="minor"/>
    </font>
    <font>
      <sz val="11"/>
      <name val="Times New Roman"/>
      <family val="1"/>
      <charset val="204"/>
    </font>
    <font>
      <b/>
      <sz val="11"/>
      <name val="Times New Roman"/>
      <family val="1"/>
      <charset val="204"/>
    </font>
    <font>
      <sz val="11"/>
      <name val="Calibri"/>
      <family val="2"/>
    </font>
    <font>
      <i/>
      <sz val="12"/>
      <name val="Times New Roman"/>
      <family val="1"/>
      <charset val="204"/>
    </font>
    <font>
      <sz val="14"/>
      <color rgb="FFFF0000"/>
      <name val="Times New Roman"/>
      <family val="1"/>
      <charset val="204"/>
    </font>
    <font>
      <sz val="14"/>
      <color rgb="FFFF0000"/>
      <name val="Times New Roman"/>
      <family val="1"/>
    </font>
    <font>
      <b/>
      <i/>
      <sz val="12"/>
      <name val="Times New Roman"/>
      <family val="1"/>
      <charset val="204"/>
    </font>
    <font>
      <sz val="14"/>
      <color rgb="FF8A0000"/>
      <name val="Times New Roman"/>
      <family val="1"/>
    </font>
    <font>
      <sz val="14"/>
      <color rgb="FF8A0000"/>
      <name val="Calibri"/>
      <family val="2"/>
      <scheme val="minor"/>
    </font>
    <font>
      <b/>
      <sz val="11"/>
      <name val="Calibri"/>
      <family val="2"/>
      <charset val="204"/>
      <scheme val="minor"/>
    </font>
    <font>
      <sz val="14"/>
      <color rgb="FFC00000"/>
      <name val="Times New Roman"/>
      <family val="1"/>
    </font>
    <font>
      <sz val="14"/>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0">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7" fillId="0" borderId="0" applyFont="0" applyFill="0" applyBorder="0" applyAlignment="0" applyProtection="0"/>
    <xf numFmtId="0" fontId="9" fillId="0" borderId="0"/>
    <xf numFmtId="0" fontId="5" fillId="0" borderId="0"/>
    <xf numFmtId="0" fontId="9" fillId="0" borderId="0"/>
    <xf numFmtId="0" fontId="17" fillId="0" borderId="0"/>
    <xf numFmtId="0" fontId="7" fillId="0" borderId="0"/>
    <xf numFmtId="43" fontId="17" fillId="0" borderId="0" applyFont="0" applyFill="0" applyBorder="0" applyAlignment="0" applyProtection="0"/>
  </cellStyleXfs>
  <cellXfs count="756">
    <xf numFmtId="0" fontId="0" fillId="0" borderId="0" xfId="0"/>
    <xf numFmtId="0" fontId="16"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6"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6"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19"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166" fontId="3" fillId="2" borderId="0" xfId="5" applyNumberFormat="1" applyFont="1" applyFill="1" applyBorder="1" applyAlignment="1">
      <alignment horizontal="right" wrapText="1"/>
    </xf>
    <xf numFmtId="49" fontId="22" fillId="2" borderId="0" xfId="7" applyNumberFormat="1" applyFont="1" applyFill="1" applyBorder="1" applyAlignment="1">
      <alignment horizontal="center"/>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166" fontId="3"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6" fillId="2" borderId="0" xfId="0" applyFont="1" applyFill="1" applyBorder="1"/>
    <xf numFmtId="0" fontId="8" fillId="2" borderId="0" xfId="7" applyFont="1" applyFill="1"/>
    <xf numFmtId="49" fontId="14" fillId="2" borderId="0" xfId="7" applyNumberFormat="1" applyFont="1" applyFill="1" applyBorder="1" applyAlignment="1">
      <alignment vertical="top" wrapText="1"/>
    </xf>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168" fontId="1" fillId="2" borderId="0" xfId="7" applyNumberFormat="1" applyFont="1" applyFill="1" applyAlignment="1">
      <alignment horizontal="right"/>
    </xf>
    <xf numFmtId="166" fontId="2" fillId="2" borderId="1" xfId="0" applyNumberFormat="1" applyFont="1" applyFill="1" applyBorder="1" applyAlignment="1">
      <alignment horizontal="right" vertical="top"/>
    </xf>
    <xf numFmtId="0" fontId="3" fillId="2" borderId="0" xfId="5" applyFont="1" applyFill="1" applyBorder="1" applyAlignment="1">
      <alignment horizontal="left" vertical="top" wrapText="1"/>
    </xf>
    <xf numFmtId="0" fontId="2" fillId="2" borderId="1" xfId="0" applyFont="1" applyFill="1" applyBorder="1" applyAlignment="1">
      <alignment horizontal="center" vertical="top"/>
    </xf>
    <xf numFmtId="0" fontId="14" fillId="2" borderId="0" xfId="0" applyFont="1" applyFill="1"/>
    <xf numFmtId="168" fontId="16" fillId="2" borderId="0" xfId="0" applyNumberFormat="1" applyFont="1" applyFill="1"/>
    <xf numFmtId="168" fontId="3" fillId="2" borderId="0" xfId="0" applyNumberFormat="1" applyFont="1" applyFill="1" applyBorder="1" applyAlignment="1">
      <alignment horizontal="right"/>
    </xf>
    <xf numFmtId="49" fontId="2" fillId="2" borderId="1" xfId="0" applyNumberFormat="1" applyFont="1" applyFill="1" applyBorder="1" applyAlignment="1">
      <alignment vertical="top" wrapText="1"/>
    </xf>
    <xf numFmtId="0" fontId="10" fillId="2" borderId="0" xfId="0" applyFont="1" applyFill="1"/>
    <xf numFmtId="0" fontId="11" fillId="2" borderId="0" xfId="0" applyFont="1" applyFill="1"/>
    <xf numFmtId="0" fontId="21" fillId="2" borderId="0" xfId="0" applyFont="1" applyFill="1"/>
    <xf numFmtId="0" fontId="2" fillId="2" borderId="16" xfId="16" applyFont="1" applyFill="1" applyBorder="1" applyAlignment="1">
      <alignment horizontal="center" vertical="top"/>
    </xf>
    <xf numFmtId="49" fontId="2" fillId="2" borderId="16" xfId="16" applyNumberFormat="1" applyFont="1" applyFill="1" applyBorder="1" applyAlignment="1">
      <alignment horizontal="center" wrapText="1"/>
    </xf>
    <xf numFmtId="49" fontId="2" fillId="2" borderId="16" xfId="16" applyNumberFormat="1" applyFont="1" applyFill="1" applyBorder="1" applyAlignment="1">
      <alignment horizontal="center"/>
    </xf>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166" fontId="2" fillId="2" borderId="16" xfId="16" applyNumberFormat="1" applyFont="1" applyFill="1" applyBorder="1" applyAlignment="1">
      <alignment horizontal="right"/>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0" fontId="18" fillId="2" borderId="0" xfId="0" applyFont="1" applyFill="1"/>
    <xf numFmtId="168" fontId="18" fillId="2" borderId="0" xfId="0"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49" fontId="3" fillId="2" borderId="1" xfId="0" applyNumberFormat="1" applyFont="1" applyFill="1" applyBorder="1" applyAlignment="1">
      <alignment horizontal="left"/>
    </xf>
    <xf numFmtId="168" fontId="3"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49" fontId="1" fillId="2" borderId="0" xfId="16" applyNumberFormat="1" applyFont="1" applyFill="1" applyBorder="1" applyAlignment="1">
      <alignment horizontal="center"/>
    </xf>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21"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0" fontId="6" fillId="2" borderId="0" xfId="0" applyFont="1" applyFill="1" applyAlignment="1">
      <alignment vertical="top"/>
    </xf>
    <xf numFmtId="0" fontId="6" fillId="2" borderId="0" xfId="0" applyFont="1" applyFill="1" applyAlignment="1">
      <alignment horizontal="center" vertical="top"/>
    </xf>
    <xf numFmtId="0" fontId="3" fillId="2" borderId="0" xfId="0" applyFont="1" applyFill="1" applyAlignment="1">
      <alignment horizontal="center"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6"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4" fontId="1" fillId="2" borderId="0" xfId="3" applyNumberFormat="1" applyFont="1" applyFill="1" applyBorder="1" applyAlignment="1"/>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1"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3" xfId="12" applyNumberFormat="1" applyFont="1" applyFill="1" applyBorder="1" applyAlignment="1">
      <alignment horizontal="center"/>
    </xf>
    <xf numFmtId="166" fontId="1" fillId="2" borderId="32"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1" xfId="1" applyFont="1" applyFill="1" applyBorder="1" applyAlignment="1">
      <alignment horizontal="center"/>
    </xf>
    <xf numFmtId="0" fontId="3" fillId="2" borderId="0" xfId="3"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3" fillId="2" borderId="1" xfId="3" applyFont="1" applyFill="1" applyBorder="1"/>
    <xf numFmtId="49" fontId="4" fillId="2" borderId="0" xfId="7" applyNumberFormat="1" applyFont="1" applyFill="1" applyBorder="1" applyAlignment="1">
      <alignment vertical="top" wrapText="1"/>
    </xf>
    <xf numFmtId="49" fontId="3" fillId="2" borderId="0" xfId="7" applyNumberFormat="1" applyFont="1" applyFill="1" applyBorder="1" applyAlignment="1">
      <alignment horizontal="center"/>
    </xf>
    <xf numFmtId="168" fontId="3" fillId="2" borderId="0" xfId="7" applyNumberFormat="1" applyFont="1" applyFill="1"/>
    <xf numFmtId="0" fontId="3" fillId="2" borderId="0" xfId="7" applyFont="1" applyFill="1"/>
    <xf numFmtId="0" fontId="3" fillId="2" borderId="1" xfId="3" applyFont="1" applyFill="1" applyBorder="1" applyAlignment="1">
      <alignment horizontal="center"/>
    </xf>
    <xf numFmtId="49" fontId="2" fillId="2" borderId="0" xfId="7" applyNumberFormat="1" applyFont="1" applyFill="1" applyBorder="1" applyAlignment="1">
      <alignment vertical="top" wrapText="1"/>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166" fontId="6" fillId="2" borderId="1" xfId="1"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0" xfId="7" applyNumberFormat="1" applyFont="1" applyFill="1" applyBorder="1" applyAlignment="1">
      <alignment horizontal="right"/>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172" fontId="25" fillId="2" borderId="0" xfId="7" applyNumberFormat="1" applyFont="1" applyFill="1"/>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8" xfId="6"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6" xfId="14" applyNumberFormat="1" applyFont="1" applyFill="1" applyBorder="1" applyAlignment="1">
      <alignment horizontal="center"/>
    </xf>
    <xf numFmtId="49" fontId="3" fillId="2" borderId="23"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3" xfId="5" applyNumberFormat="1" applyFont="1" applyFill="1" applyBorder="1" applyAlignment="1">
      <alignment horizontal="center" wrapText="1"/>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3" fillId="2" borderId="1" xfId="7" applyNumberFormat="1" applyFont="1" applyFill="1" applyBorder="1"/>
    <xf numFmtId="49" fontId="3" fillId="2" borderId="0" xfId="0" applyNumberFormat="1" applyFont="1" applyFill="1" applyBorder="1" applyAlignment="1">
      <alignment horizontal="left" vertical="top" wrapText="1"/>
    </xf>
    <xf numFmtId="166" fontId="3" fillId="2" borderId="0" xfId="7" applyNumberFormat="1" applyFont="1" applyFill="1" applyBorder="1"/>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175" fontId="25" fillId="2" borderId="0" xfId="7" applyNumberFormat="1" applyFont="1" applyFill="1"/>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30" xfId="6" applyNumberFormat="1" applyFont="1" applyFill="1" applyBorder="1" applyAlignment="1">
      <alignment horizontal="center"/>
    </xf>
    <xf numFmtId="49" fontId="3" fillId="2" borderId="33"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4" xfId="11" applyNumberFormat="1" applyFont="1" applyFill="1" applyBorder="1" applyAlignment="1">
      <alignment horizontal="center"/>
    </xf>
    <xf numFmtId="49" fontId="3" fillId="2" borderId="35" xfId="16" applyNumberFormat="1" applyFont="1" applyFill="1" applyBorder="1" applyAlignment="1">
      <alignment horizontal="center"/>
    </xf>
    <xf numFmtId="49" fontId="3" fillId="2" borderId="36"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8" xfId="0" applyNumberFormat="1" applyFont="1" applyFill="1" applyBorder="1" applyAlignment="1">
      <alignment horizontal="center"/>
    </xf>
    <xf numFmtId="171" fontId="25" fillId="2" borderId="0" xfId="7" applyNumberFormat="1" applyFont="1" applyFill="1"/>
    <xf numFmtId="166" fontId="1" fillId="2" borderId="37" xfId="16" applyNumberFormat="1" applyFont="1" applyFill="1" applyBorder="1" applyAlignment="1">
      <alignment horizontal="right"/>
    </xf>
    <xf numFmtId="49" fontId="1" fillId="2" borderId="17" xfId="14" applyNumberFormat="1" applyFont="1" applyFill="1" applyBorder="1" applyAlignment="1">
      <alignment horizontal="center"/>
    </xf>
    <xf numFmtId="166" fontId="1" fillId="2" borderId="26" xfId="16" applyNumberFormat="1" applyFont="1" applyFill="1" applyBorder="1" applyAlignment="1">
      <alignment horizontal="right"/>
    </xf>
    <xf numFmtId="166" fontId="1" fillId="2" borderId="22" xfId="16" applyNumberFormat="1" applyFont="1" applyFill="1" applyBorder="1" applyAlignment="1">
      <alignment horizontal="right"/>
    </xf>
    <xf numFmtId="0" fontId="23" fillId="2" borderId="0" xfId="3" applyFont="1" applyFill="1"/>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171" fontId="10" fillId="2" borderId="0" xfId="7" applyNumberFormat="1" applyFont="1" applyFill="1"/>
    <xf numFmtId="49" fontId="1" fillId="2" borderId="32"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30" xfId="6" applyNumberFormat="1" applyFont="1" applyFill="1" applyBorder="1" applyAlignment="1">
      <alignment horizontal="center"/>
    </xf>
    <xf numFmtId="49" fontId="1" fillId="2" borderId="33"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30"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2" xfId="14" applyFont="1" applyFill="1" applyBorder="1" applyAlignment="1">
      <alignment horizontal="center" vertical="top"/>
    </xf>
    <xf numFmtId="49" fontId="1" fillId="2" borderId="32" xfId="11" applyNumberFormat="1" applyFont="1" applyFill="1" applyBorder="1" applyAlignment="1">
      <alignment horizontal="center"/>
    </xf>
    <xf numFmtId="49" fontId="1" fillId="2" borderId="39" xfId="6" applyNumberFormat="1" applyFont="1" applyFill="1" applyBorder="1" applyAlignment="1">
      <alignment horizontal="center"/>
    </xf>
    <xf numFmtId="49" fontId="1" fillId="2" borderId="38" xfId="14" applyNumberFormat="1" applyFont="1" applyFill="1" applyBorder="1" applyAlignment="1">
      <alignment horizontal="center"/>
    </xf>
    <xf numFmtId="49" fontId="1" fillId="2" borderId="31" xfId="14" applyNumberFormat="1" applyFont="1" applyFill="1" applyBorder="1" applyAlignment="1">
      <alignment horizontal="center"/>
    </xf>
    <xf numFmtId="49" fontId="1" fillId="2" borderId="39" xfId="14" applyNumberFormat="1" applyFont="1" applyFill="1" applyBorder="1" applyAlignment="1">
      <alignment horizontal="center"/>
    </xf>
    <xf numFmtId="166" fontId="3" fillId="2" borderId="0" xfId="0" applyNumberFormat="1" applyFont="1" applyFill="1" applyBorder="1" applyAlignment="1">
      <alignment horizontal="right"/>
    </xf>
    <xf numFmtId="166" fontId="8" fillId="2" borderId="0" xfId="7" applyNumberFormat="1" applyFont="1" applyFill="1"/>
    <xf numFmtId="166" fontId="20" fillId="2" borderId="1" xfId="0" applyNumberFormat="1" applyFont="1" applyFill="1" applyBorder="1"/>
    <xf numFmtId="166" fontId="19" fillId="2" borderId="0" xfId="0" applyNumberFormat="1" applyFont="1" applyFill="1" applyBorder="1"/>
    <xf numFmtId="166" fontId="3" fillId="2" borderId="0" xfId="0" applyNumberFormat="1" applyFont="1" applyFill="1" applyBorder="1"/>
    <xf numFmtId="166" fontId="16" fillId="2" borderId="0" xfId="0" applyNumberFormat="1" applyFont="1" applyFill="1" applyBorder="1"/>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3" fillId="2" borderId="30" xfId="5" applyNumberFormat="1" applyFont="1" applyFill="1" applyBorder="1" applyAlignment="1">
      <alignment horizontal="center"/>
    </xf>
    <xf numFmtId="49" fontId="3" fillId="2" borderId="33" xfId="5" applyNumberFormat="1" applyFont="1" applyFill="1" applyBorder="1" applyAlignment="1">
      <alignment horizontal="center"/>
    </xf>
    <xf numFmtId="49" fontId="3" fillId="2" borderId="22" xfId="5" applyNumberFormat="1" applyFont="1" applyFill="1" applyBorder="1" applyAlignment="1">
      <alignment horizontal="center"/>
    </xf>
    <xf numFmtId="49" fontId="3" fillId="2" borderId="21" xfId="5" applyNumberFormat="1" applyFont="1" applyFill="1" applyBorder="1" applyAlignment="1">
      <alignment horizontal="center"/>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wrapText="1"/>
    </xf>
    <xf numFmtId="49" fontId="3" fillId="2" borderId="16" xfId="11"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6" xfId="5" applyNumberFormat="1" applyFont="1" applyFill="1" applyBorder="1" applyAlignment="1">
      <alignment horizontal="center" wrapText="1"/>
    </xf>
    <xf numFmtId="49" fontId="3" fillId="2" borderId="17" xfId="14" applyNumberFormat="1" applyFont="1" applyFill="1" applyBorder="1" applyAlignment="1">
      <alignment horizontal="center"/>
    </xf>
    <xf numFmtId="166" fontId="3" fillId="2" borderId="1" xfId="0" applyNumberFormat="1" applyFont="1" applyFill="1" applyBorder="1" applyAlignment="1"/>
    <xf numFmtId="0" fontId="6" fillId="2" borderId="0" xfId="1" applyFont="1" applyFill="1" applyAlignment="1">
      <alignment wrapText="1"/>
    </xf>
    <xf numFmtId="0" fontId="16"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9"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49" fontId="1" fillId="2" borderId="3" xfId="8"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3" fillId="2" borderId="3" xfId="0" applyNumberFormat="1" applyFont="1" applyFill="1" applyBorder="1" applyAlignment="1">
      <alignment horizontal="left" vertical="center" wrapText="1"/>
    </xf>
    <xf numFmtId="49" fontId="3" fillId="2" borderId="29" xfId="14" applyNumberFormat="1" applyFont="1" applyFill="1" applyBorder="1" applyAlignment="1">
      <alignment vertical="center" wrapText="1"/>
    </xf>
    <xf numFmtId="49" fontId="3" fillId="2" borderId="13" xfId="14" applyNumberFormat="1" applyFont="1" applyFill="1" applyBorder="1" applyAlignment="1">
      <alignment vertical="center" wrapText="1"/>
    </xf>
    <xf numFmtId="49" fontId="3" fillId="2" borderId="1" xfId="14" applyNumberFormat="1" applyFont="1" applyFill="1" applyBorder="1" applyAlignment="1">
      <alignment vertical="center" wrapText="1"/>
    </xf>
    <xf numFmtId="49" fontId="3" fillId="2" borderId="19" xfId="14" applyNumberFormat="1" applyFont="1" applyFill="1" applyBorder="1" applyAlignment="1">
      <alignment vertical="center" wrapText="1"/>
    </xf>
    <xf numFmtId="49" fontId="3" fillId="2" borderId="22" xfId="14" applyNumberFormat="1" applyFont="1" applyFill="1" applyBorder="1" applyAlignment="1">
      <alignment vertical="center" wrapText="1"/>
    </xf>
    <xf numFmtId="49" fontId="3" fillId="2" borderId="28" xfId="14" applyNumberFormat="1" applyFont="1" applyFill="1" applyBorder="1" applyAlignment="1">
      <alignment vertical="center" wrapText="1"/>
    </xf>
    <xf numFmtId="49" fontId="3" fillId="2" borderId="28" xfId="16" applyNumberFormat="1" applyFont="1" applyFill="1" applyBorder="1" applyAlignment="1">
      <alignment vertical="center" wrapText="1"/>
    </xf>
    <xf numFmtId="49" fontId="1" fillId="2" borderId="19" xfId="16"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1" xfId="0" applyNumberFormat="1" applyFont="1" applyFill="1" applyBorder="1" applyAlignment="1">
      <alignment horizontal="lef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19" xfId="4" applyNumberFormat="1" applyFont="1" applyFill="1" applyBorder="1" applyAlignment="1">
      <alignmen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8"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0" fontId="1" fillId="2" borderId="1" xfId="3" applyFont="1" applyFill="1" applyBorder="1" applyAlignment="1">
      <alignment vertical="center" wrapText="1"/>
    </xf>
    <xf numFmtId="49" fontId="1" fillId="2" borderId="1" xfId="0" applyNumberFormat="1" applyFont="1" applyFill="1" applyBorder="1" applyAlignment="1">
      <alignment vertical="center" wrapText="1"/>
    </xf>
    <xf numFmtId="49" fontId="2" fillId="2" borderId="19" xfId="16" applyNumberFormat="1" applyFont="1" applyFill="1" applyBorder="1" applyAlignment="1">
      <alignment vertical="center" wrapText="1"/>
    </xf>
    <xf numFmtId="49" fontId="2"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49" fontId="1" fillId="2" borderId="26" xfId="16" applyNumberFormat="1" applyFont="1" applyFill="1" applyBorder="1" applyAlignment="1">
      <alignment wrapText="1"/>
    </xf>
    <xf numFmtId="0" fontId="3" fillId="2" borderId="0" xfId="3" applyFont="1" applyFill="1" applyBorder="1" applyAlignment="1">
      <alignment vertical="top" wrapText="1"/>
    </xf>
    <xf numFmtId="174" fontId="3" fillId="2" borderId="0" xfId="0" applyNumberFormat="1" applyFont="1" applyFill="1" applyBorder="1" applyAlignment="1">
      <alignment vertical="top"/>
    </xf>
    <xf numFmtId="49" fontId="1" fillId="2" borderId="1" xfId="16" applyNumberFormat="1" applyFont="1" applyFill="1" applyBorder="1" applyAlignment="1">
      <alignment wrapText="1"/>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30" xfId="16" applyFont="1" applyFill="1" applyBorder="1" applyAlignment="1">
      <alignment horizontal="center" vertical="top"/>
    </xf>
    <xf numFmtId="49" fontId="1" fillId="2" borderId="33"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3" xfId="16" applyNumberFormat="1" applyFont="1" applyFill="1" applyBorder="1" applyAlignment="1">
      <alignment horizontal="center"/>
    </xf>
    <xf numFmtId="49" fontId="3" fillId="2" borderId="42"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49" fontId="3" fillId="2" borderId="19" xfId="5" applyNumberFormat="1" applyFont="1" applyFill="1" applyBorder="1" applyAlignment="1">
      <alignment wrapText="1"/>
    </xf>
    <xf numFmtId="49" fontId="3" fillId="2" borderId="40" xfId="11" applyNumberFormat="1" applyFont="1" applyFill="1" applyBorder="1" applyAlignment="1">
      <alignment horizontal="center" wrapText="1"/>
    </xf>
    <xf numFmtId="49" fontId="3" fillId="2" borderId="41" xfId="11" applyNumberFormat="1" applyFont="1" applyFill="1" applyBorder="1" applyAlignment="1">
      <alignment horizontal="center"/>
    </xf>
    <xf numFmtId="0" fontId="3" fillId="2" borderId="13" xfId="0" applyFont="1" applyFill="1" applyBorder="1" applyAlignment="1">
      <alignment horizontal="center" vertical="top"/>
    </xf>
    <xf numFmtId="0" fontId="3" fillId="2" borderId="0" xfId="0" applyFont="1" applyFill="1" applyAlignment="1">
      <alignment horizontal="left" vertical="top" wrapText="1"/>
    </xf>
    <xf numFmtId="167" fontId="3" fillId="2" borderId="13" xfId="0" applyNumberFormat="1" applyFont="1" applyFill="1" applyBorder="1" applyAlignment="1">
      <alignment horizontal="right" vertical="top"/>
    </xf>
    <xf numFmtId="167" fontId="1" fillId="2" borderId="13" xfId="0" applyNumberFormat="1" applyFont="1" applyFill="1" applyBorder="1" applyAlignment="1">
      <alignment horizontal="right" vertical="top"/>
    </xf>
    <xf numFmtId="167" fontId="1" fillId="2" borderId="13" xfId="1" applyNumberFormat="1" applyFont="1" applyFill="1" applyBorder="1" applyAlignment="1">
      <alignment horizontal="right" vertical="top"/>
    </xf>
    <xf numFmtId="176" fontId="19" fillId="2" borderId="0" xfId="0" applyNumberFormat="1" applyFont="1" applyFill="1"/>
    <xf numFmtId="166" fontId="19" fillId="2" borderId="0" xfId="0" applyNumberFormat="1" applyFont="1" applyFill="1"/>
    <xf numFmtId="166" fontId="3" fillId="2" borderId="0" xfId="19" applyNumberFormat="1" applyFont="1" applyFill="1" applyAlignment="1">
      <alignment horizontal="right"/>
    </xf>
    <xf numFmtId="168" fontId="1" fillId="2" borderId="1" xfId="0" applyNumberFormat="1" applyFont="1" applyFill="1" applyBorder="1" applyAlignment="1">
      <alignment vertical="center" wrapText="1"/>
    </xf>
    <xf numFmtId="169" fontId="3" fillId="2" borderId="1" xfId="0" applyNumberFormat="1" applyFont="1" applyFill="1" applyBorder="1" applyAlignment="1">
      <alignment horizontal="center" wrapText="1"/>
    </xf>
    <xf numFmtId="0" fontId="3" fillId="2" borderId="1" xfId="0" applyFont="1" applyFill="1" applyBorder="1" applyAlignment="1">
      <alignment horizontal="justify" vertical="top" wrapText="1"/>
    </xf>
    <xf numFmtId="49" fontId="3" fillId="2" borderId="0" xfId="14" applyNumberFormat="1" applyFont="1" applyFill="1" applyBorder="1" applyAlignment="1">
      <alignment horizontal="center"/>
    </xf>
    <xf numFmtId="0" fontId="1" fillId="2" borderId="21" xfId="16" applyFont="1" applyFill="1" applyBorder="1" applyAlignment="1">
      <alignment horizontal="center" vertical="top"/>
    </xf>
    <xf numFmtId="49" fontId="1" fillId="2" borderId="33" xfId="5" applyNumberFormat="1" applyFont="1" applyFill="1" applyBorder="1" applyAlignment="1">
      <alignment vertical="center" wrapText="1"/>
    </xf>
    <xf numFmtId="49" fontId="1" fillId="2" borderId="1" xfId="5" applyNumberFormat="1" applyFont="1" applyFill="1" applyBorder="1" applyAlignment="1">
      <alignment vertical="center" wrapText="1"/>
    </xf>
    <xf numFmtId="49" fontId="1" fillId="2" borderId="22" xfId="11" applyNumberFormat="1" applyFont="1" applyFill="1" applyBorder="1" applyAlignment="1">
      <alignment horizontal="center"/>
    </xf>
    <xf numFmtId="49" fontId="3" fillId="2" borderId="19" xfId="11" applyNumberFormat="1" applyFont="1" applyFill="1" applyBorder="1" applyAlignment="1">
      <alignment horizontal="center"/>
    </xf>
    <xf numFmtId="0" fontId="1" fillId="2" borderId="5" xfId="14" applyFont="1" applyFill="1" applyBorder="1" applyAlignment="1">
      <alignment horizontal="center" vertical="top"/>
    </xf>
    <xf numFmtId="49" fontId="1" fillId="2" borderId="37" xfId="16" applyNumberFormat="1" applyFont="1" applyFill="1" applyBorder="1" applyAlignment="1">
      <alignment vertical="center" wrapText="1"/>
    </xf>
    <xf numFmtId="49" fontId="3" fillId="2" borderId="1" xfId="5" applyNumberFormat="1" applyFont="1" applyFill="1" applyBorder="1" applyAlignment="1">
      <alignment wrapText="1"/>
    </xf>
    <xf numFmtId="49" fontId="3" fillId="2" borderId="1" xfId="11" applyNumberFormat="1" applyFont="1" applyFill="1" applyBorder="1" applyAlignment="1">
      <alignment horizontal="center" wrapText="1"/>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49" fontId="1" fillId="2" borderId="26" xfId="11" applyNumberFormat="1" applyFont="1" applyFill="1" applyBorder="1" applyAlignment="1">
      <alignment vertical="center" wrapText="1"/>
    </xf>
    <xf numFmtId="166" fontId="1" fillId="2" borderId="5" xfId="0" applyNumberFormat="1" applyFont="1" applyFill="1" applyBorder="1" applyAlignment="1">
      <alignment horizontal="right"/>
    </xf>
    <xf numFmtId="49" fontId="1" fillId="2" borderId="22" xfId="11" applyNumberFormat="1" applyFont="1" applyFill="1" applyBorder="1" applyAlignment="1">
      <alignment vertical="center" wrapText="1"/>
    </xf>
    <xf numFmtId="49" fontId="1" fillId="2" borderId="21" xfId="11" applyNumberFormat="1" applyFont="1" applyFill="1" applyBorder="1" applyAlignment="1">
      <alignment horizontal="center" wrapText="1"/>
    </xf>
    <xf numFmtId="49" fontId="1" fillId="2" borderId="30" xfId="11" applyNumberFormat="1" applyFont="1" applyFill="1" applyBorder="1" applyAlignment="1">
      <alignment horizontal="center"/>
    </xf>
    <xf numFmtId="49" fontId="1" fillId="2" borderId="33" xfId="16" applyNumberFormat="1" applyFont="1" applyFill="1" applyBorder="1" applyAlignment="1">
      <alignment horizontal="center"/>
    </xf>
    <xf numFmtId="49" fontId="1" fillId="2" borderId="22" xfId="16" applyNumberFormat="1" applyFont="1" applyFill="1" applyBorder="1" applyAlignment="1">
      <alignment horizontal="center" wrapText="1"/>
    </xf>
    <xf numFmtId="49" fontId="1" fillId="2" borderId="1" xfId="11" applyNumberFormat="1" applyFont="1" applyFill="1" applyBorder="1" applyAlignment="1">
      <alignment vertical="center" wrapText="1"/>
    </xf>
    <xf numFmtId="49" fontId="1" fillId="2" borderId="2" xfId="11" applyNumberFormat="1" applyFont="1" applyFill="1" applyBorder="1" applyAlignment="1">
      <alignment horizontal="center"/>
    </xf>
    <xf numFmtId="49" fontId="1" fillId="2" borderId="3" xfId="16" applyNumberFormat="1" applyFont="1" applyFill="1" applyBorder="1" applyAlignment="1">
      <alignment horizontal="center"/>
    </xf>
    <xf numFmtId="49" fontId="1" fillId="2" borderId="9" xfId="16" applyNumberFormat="1" applyFont="1" applyFill="1" applyBorder="1" applyAlignment="1">
      <alignment horizontal="center"/>
    </xf>
    <xf numFmtId="49" fontId="1" fillId="2" borderId="3" xfId="16" applyNumberFormat="1" applyFont="1" applyFill="1" applyBorder="1" applyAlignment="1">
      <alignment horizontal="center" wrapText="1"/>
    </xf>
    <xf numFmtId="49" fontId="4" fillId="2" borderId="3" xfId="0" applyNumberFormat="1" applyFont="1" applyFill="1" applyBorder="1" applyAlignment="1">
      <alignment wrapText="1"/>
    </xf>
    <xf numFmtId="49" fontId="3" fillId="2" borderId="3" xfId="5" applyNumberFormat="1" applyFont="1" applyFill="1" applyBorder="1" applyAlignment="1">
      <alignment horizontal="left" wrapText="1"/>
    </xf>
    <xf numFmtId="49" fontId="1" fillId="2" borderId="3" xfId="5" applyNumberFormat="1" applyFont="1" applyFill="1" applyBorder="1" applyAlignment="1">
      <alignment horizontal="left" wrapText="1"/>
    </xf>
    <xf numFmtId="168" fontId="3" fillId="2" borderId="1" xfId="0" applyNumberFormat="1" applyFont="1" applyFill="1" applyBorder="1" applyAlignment="1">
      <alignment horizontal="center" vertical="center" wrapText="1"/>
    </xf>
    <xf numFmtId="168" fontId="3" fillId="2" borderId="1" xfId="0" applyNumberFormat="1" applyFont="1" applyFill="1" applyBorder="1" applyAlignment="1">
      <alignment horizontal="center" wrapText="1"/>
    </xf>
    <xf numFmtId="0" fontId="1" fillId="2" borderId="17" xfId="16" applyFont="1" applyFill="1" applyBorder="1" applyAlignment="1">
      <alignment horizontal="center" vertical="top"/>
    </xf>
    <xf numFmtId="49" fontId="1" fillId="2" borderId="26" xfId="5" applyNumberFormat="1" applyFont="1" applyFill="1" applyBorder="1" applyAlignment="1">
      <alignment vertical="center" wrapText="1"/>
    </xf>
    <xf numFmtId="166" fontId="3" fillId="2" borderId="0" xfId="1" applyNumberFormat="1" applyFont="1" applyFill="1" applyBorder="1" applyAlignment="1">
      <alignment vertical="top"/>
    </xf>
    <xf numFmtId="0" fontId="6" fillId="2" borderId="1" xfId="5" applyFont="1" applyFill="1" applyBorder="1" applyAlignment="1">
      <alignment horizontal="left" vertical="top" wrapText="1"/>
    </xf>
    <xf numFmtId="43" fontId="28" fillId="2" borderId="0" xfId="19" applyFont="1" applyFill="1"/>
    <xf numFmtId="49" fontId="1" fillId="2" borderId="26" xfId="11" applyNumberFormat="1" applyFont="1" applyFill="1" applyBorder="1" applyAlignment="1">
      <alignment horizontal="center" wrapText="1"/>
    </xf>
    <xf numFmtId="49" fontId="1" fillId="2" borderId="30" xfId="16" applyNumberFormat="1" applyFont="1" applyFill="1" applyBorder="1" applyAlignment="1">
      <alignment horizontal="center"/>
    </xf>
    <xf numFmtId="49" fontId="1" fillId="2" borderId="31" xfId="11" applyNumberFormat="1" applyFont="1" applyFill="1" applyBorder="1" applyAlignment="1">
      <alignment horizontal="center" wrapText="1"/>
    </xf>
    <xf numFmtId="49" fontId="1" fillId="2" borderId="25" xfId="16" applyNumberFormat="1" applyFont="1" applyFill="1" applyBorder="1" applyAlignment="1">
      <alignment horizontal="center"/>
    </xf>
    <xf numFmtId="0" fontId="1" fillId="2" borderId="0" xfId="7" applyFont="1" applyFill="1" applyAlignment="1">
      <alignment horizontal="left"/>
    </xf>
    <xf numFmtId="49" fontId="1" fillId="2" borderId="1" xfId="16" applyNumberFormat="1" applyFont="1" applyFill="1" applyBorder="1" applyAlignment="1">
      <alignment horizontal="center"/>
    </xf>
    <xf numFmtId="49" fontId="1" fillId="2" borderId="0" xfId="11" applyNumberFormat="1" applyFont="1" applyFill="1" applyBorder="1" applyAlignment="1">
      <alignment horizontal="center"/>
    </xf>
    <xf numFmtId="49" fontId="1" fillId="2" borderId="0" xfId="16" applyNumberFormat="1" applyFont="1" applyFill="1" applyBorder="1" applyAlignment="1">
      <alignment horizontal="center" wrapText="1"/>
    </xf>
    <xf numFmtId="0" fontId="1" fillId="2" borderId="0" xfId="7" applyFont="1" applyFill="1" applyBorder="1" applyAlignment="1">
      <alignment horizontal="left"/>
    </xf>
    <xf numFmtId="0" fontId="1" fillId="2" borderId="0" xfId="7" applyFont="1" applyFill="1" applyAlignment="1">
      <alignment horizontal="left"/>
    </xf>
    <xf numFmtId="174" fontId="3" fillId="2" borderId="12" xfId="13" applyNumberFormat="1" applyFont="1" applyFill="1" applyBorder="1" applyAlignment="1">
      <alignment horizontal="right" vertical="center"/>
    </xf>
    <xf numFmtId="174" fontId="3" fillId="2" borderId="11" xfId="0" applyNumberFormat="1" applyFont="1" applyFill="1" applyBorder="1" applyAlignment="1">
      <alignment vertical="top"/>
    </xf>
    <xf numFmtId="0" fontId="1" fillId="2" borderId="15" xfId="3" applyFont="1" applyFill="1" applyBorder="1"/>
    <xf numFmtId="0" fontId="3" fillId="2" borderId="12" xfId="3" applyFont="1" applyFill="1" applyBorder="1" applyAlignment="1">
      <alignment wrapText="1"/>
    </xf>
    <xf numFmtId="0" fontId="3" fillId="2" borderId="13" xfId="3" applyFont="1" applyFill="1" applyBorder="1" applyAlignment="1">
      <alignment wrapText="1"/>
    </xf>
    <xf numFmtId="174" fontId="1" fillId="2" borderId="13" xfId="3" applyNumberFormat="1" applyFont="1" applyFill="1" applyBorder="1" applyAlignment="1"/>
    <xf numFmtId="166" fontId="1" fillId="2" borderId="0" xfId="7" applyNumberFormat="1" applyFont="1" applyFill="1" applyAlignment="1">
      <alignment horizontal="right"/>
    </xf>
    <xf numFmtId="0" fontId="3" fillId="2" borderId="0" xfId="7" applyFont="1" applyFill="1" applyBorder="1" applyAlignment="1">
      <alignment horizontal="left"/>
    </xf>
    <xf numFmtId="0" fontId="3" fillId="2" borderId="0" xfId="7" applyFont="1" applyFill="1" applyAlignment="1">
      <alignment horizontal="left"/>
    </xf>
    <xf numFmtId="168" fontId="3" fillId="2" borderId="0" xfId="7" applyNumberFormat="1" applyFont="1" applyFill="1" applyAlignment="1">
      <alignment horizontal="right"/>
    </xf>
    <xf numFmtId="0" fontId="3" fillId="2" borderId="0" xfId="7" applyFont="1" applyFill="1" applyBorder="1" applyAlignment="1">
      <alignment horizontal="left" vertical="top"/>
    </xf>
    <xf numFmtId="0" fontId="3" fillId="2" borderId="0" xfId="7" applyFont="1" applyFill="1" applyAlignment="1">
      <alignment horizontal="left" vertical="top"/>
    </xf>
    <xf numFmtId="49" fontId="4" fillId="2" borderId="1" xfId="7" applyNumberFormat="1" applyFont="1" applyFill="1" applyBorder="1" applyAlignment="1">
      <alignment horizontal="left" wrapText="1"/>
    </xf>
    <xf numFmtId="166" fontId="1" fillId="2" borderId="41" xfId="0" applyNumberFormat="1" applyFont="1" applyFill="1" applyBorder="1" applyAlignment="1">
      <alignment horizontal="right"/>
    </xf>
    <xf numFmtId="49" fontId="1" fillId="2" borderId="1" xfId="7" applyNumberFormat="1" applyFont="1" applyFill="1" applyBorder="1" applyAlignment="1">
      <alignment horizontal="left" wrapText="1"/>
    </xf>
    <xf numFmtId="2" fontId="3" fillId="2" borderId="0" xfId="3" applyNumberFormat="1" applyFont="1" applyFill="1"/>
    <xf numFmtId="166" fontId="3" fillId="2" borderId="0" xfId="3" applyNumberFormat="1" applyFont="1" applyFill="1"/>
    <xf numFmtId="166" fontId="1" fillId="2" borderId="1" xfId="1" applyNumberFormat="1" applyFont="1" applyFill="1" applyBorder="1" applyAlignment="1">
      <alignment horizontal="center" vertical="center" wrapText="1"/>
    </xf>
    <xf numFmtId="166" fontId="3" fillId="2" borderId="1" xfId="7" applyNumberFormat="1" applyFont="1" applyFill="1" applyBorder="1" applyAlignment="1">
      <alignment horizontal="center"/>
    </xf>
    <xf numFmtId="166" fontId="3" fillId="2" borderId="0" xfId="7" applyNumberFormat="1" applyFont="1" applyFill="1" applyBorder="1" applyAlignment="1">
      <alignment horizontal="center"/>
    </xf>
    <xf numFmtId="166" fontId="3" fillId="2" borderId="0" xfId="7" applyNumberFormat="1" applyFont="1" applyFill="1"/>
    <xf numFmtId="0" fontId="1" fillId="2" borderId="0" xfId="7" applyFont="1" applyFill="1" applyBorder="1" applyAlignment="1">
      <alignment horizontal="left"/>
    </xf>
    <xf numFmtId="0" fontId="1" fillId="2" borderId="0" xfId="7" applyFont="1" applyFill="1" applyAlignment="1">
      <alignment horizontal="lef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4" fillId="2" borderId="0" xfId="0" applyFont="1" applyFill="1" applyAlignment="1">
      <alignment horizontal="center" wrapText="1"/>
    </xf>
    <xf numFmtId="0" fontId="0" fillId="2" borderId="0" xfId="0" applyFill="1" applyAlignment="1"/>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24" fillId="2" borderId="5" xfId="0" applyNumberFormat="1"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3" fillId="2" borderId="8"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3"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 fillId="2" borderId="0" xfId="3" applyFont="1" applyFill="1" applyAlignment="1">
      <alignment horizontal="center" wrapText="1"/>
    </xf>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167" fontId="29" fillId="2" borderId="1" xfId="0" applyNumberFormat="1" applyFont="1" applyFill="1" applyBorder="1" applyAlignment="1">
      <alignment horizontal="right"/>
    </xf>
    <xf numFmtId="166" fontId="30" fillId="2" borderId="1" xfId="0" applyNumberFormat="1" applyFont="1" applyFill="1" applyBorder="1" applyAlignment="1">
      <alignment horizontal="right"/>
    </xf>
    <xf numFmtId="166" fontId="1" fillId="2" borderId="1" xfId="7" applyNumberFormat="1" applyFont="1" applyFill="1" applyBorder="1" applyAlignment="1">
      <alignment horizontal="right"/>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FFFF99"/>
      <color rgb="FFF6FED8"/>
      <color rgb="FFFFCCCC"/>
      <color rgb="FFFFFFCC"/>
      <color rgb="FFDB8DBF"/>
      <color rgb="FF95C4D3"/>
      <color rgb="FFCCECFF"/>
      <color rgb="FF540000"/>
      <color rgb="FF74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144"/>
  <sheetViews>
    <sheetView tabSelected="1" topLeftCell="A43" zoomScale="80" zoomScaleNormal="80" zoomScaleSheetLayoutView="50" workbookViewId="0">
      <selection activeCell="L8" sqref="L8"/>
    </sheetView>
  </sheetViews>
  <sheetFormatPr defaultColWidth="9.109375" defaultRowHeight="18" x14ac:dyDescent="0.35"/>
  <cols>
    <col min="1" max="1" width="29.5546875" style="190" customWidth="1"/>
    <col min="2" max="2" width="60.109375" style="258" customWidth="1"/>
    <col min="3" max="3" width="15.6640625" style="188" customWidth="1"/>
    <col min="4" max="4" width="16.6640625" style="190" customWidth="1"/>
    <col min="5" max="5" width="15.6640625" style="190" customWidth="1"/>
    <col min="6" max="16384" width="9.109375" style="190"/>
  </cols>
  <sheetData>
    <row r="1" spans="1:5" s="202" customFormat="1" x14ac:dyDescent="0.35">
      <c r="A1" s="35"/>
      <c r="B1" s="35"/>
      <c r="E1" s="153" t="s">
        <v>506</v>
      </c>
    </row>
    <row r="2" spans="1:5" s="202" customFormat="1" x14ac:dyDescent="0.35">
      <c r="A2" s="35"/>
      <c r="B2" s="35"/>
      <c r="E2" s="153" t="s">
        <v>788</v>
      </c>
    </row>
    <row r="3" spans="1:5" s="202" customFormat="1" x14ac:dyDescent="0.35">
      <c r="A3" s="35"/>
      <c r="B3" s="35"/>
      <c r="E3" s="153"/>
    </row>
    <row r="4" spans="1:5" x14ac:dyDescent="0.35">
      <c r="E4" s="39" t="s">
        <v>506</v>
      </c>
    </row>
    <row r="5" spans="1:5" x14ac:dyDescent="0.35">
      <c r="E5" s="153" t="s">
        <v>654</v>
      </c>
    </row>
    <row r="8" spans="1:5" ht="11.25" customHeight="1" x14ac:dyDescent="0.35"/>
    <row r="9" spans="1:5" ht="36.75" customHeight="1" x14ac:dyDescent="0.35">
      <c r="A9" s="695" t="s">
        <v>581</v>
      </c>
      <c r="B9" s="695"/>
      <c r="C9" s="695"/>
      <c r="D9" s="695"/>
      <c r="E9" s="695"/>
    </row>
    <row r="11" spans="1:5" x14ac:dyDescent="0.35">
      <c r="E11" s="182" t="s">
        <v>22</v>
      </c>
    </row>
    <row r="12" spans="1:5" ht="20.399999999999999" customHeight="1" x14ac:dyDescent="0.35">
      <c r="A12" s="697" t="s">
        <v>13</v>
      </c>
      <c r="B12" s="699" t="s">
        <v>14</v>
      </c>
      <c r="C12" s="692" t="s">
        <v>15</v>
      </c>
      <c r="D12" s="693"/>
      <c r="E12" s="694"/>
    </row>
    <row r="13" spans="1:5" ht="20.399999999999999" customHeight="1" x14ac:dyDescent="0.35">
      <c r="A13" s="698"/>
      <c r="B13" s="700"/>
      <c r="C13" s="183" t="s">
        <v>455</v>
      </c>
      <c r="D13" s="183" t="s">
        <v>501</v>
      </c>
      <c r="E13" s="183" t="s">
        <v>582</v>
      </c>
    </row>
    <row r="14" spans="1:5" x14ac:dyDescent="0.35">
      <c r="A14" s="271">
        <v>1</v>
      </c>
      <c r="B14" s="272">
        <v>2</v>
      </c>
      <c r="C14" s="184">
        <v>3</v>
      </c>
      <c r="D14" s="273">
        <v>4</v>
      </c>
      <c r="E14" s="273">
        <v>5</v>
      </c>
    </row>
    <row r="15" spans="1:5" x14ac:dyDescent="0.35">
      <c r="A15" s="69" t="s">
        <v>134</v>
      </c>
      <c r="B15" s="70" t="s">
        <v>135</v>
      </c>
      <c r="C15" s="296">
        <v>705509.4</v>
      </c>
      <c r="D15" s="296">
        <v>677949.3</v>
      </c>
      <c r="E15" s="296">
        <v>714879.7</v>
      </c>
    </row>
    <row r="16" spans="1:5" x14ac:dyDescent="0.35">
      <c r="A16" s="38" t="s">
        <v>136</v>
      </c>
      <c r="B16" s="61" t="s">
        <v>137</v>
      </c>
      <c r="C16" s="297">
        <v>6060.5</v>
      </c>
      <c r="D16" s="298">
        <v>6400</v>
      </c>
      <c r="E16" s="299">
        <v>6760</v>
      </c>
    </row>
    <row r="17" spans="1:5" x14ac:dyDescent="0.35">
      <c r="A17" s="50" t="s">
        <v>138</v>
      </c>
      <c r="B17" s="71" t="s">
        <v>139</v>
      </c>
      <c r="C17" s="297">
        <v>390679.10000000003</v>
      </c>
      <c r="D17" s="298">
        <v>413409.5</v>
      </c>
      <c r="E17" s="299">
        <v>434080</v>
      </c>
    </row>
    <row r="18" spans="1:5" ht="167.25" customHeight="1" x14ac:dyDescent="0.35">
      <c r="A18" s="36" t="s">
        <v>140</v>
      </c>
      <c r="B18" s="72" t="s">
        <v>475</v>
      </c>
      <c r="C18" s="300">
        <v>6295.9</v>
      </c>
      <c r="D18" s="301">
        <v>6181.8</v>
      </c>
      <c r="E18" s="191">
        <v>6648.8</v>
      </c>
    </row>
    <row r="19" spans="1:5" ht="36" x14ac:dyDescent="0.35">
      <c r="A19" s="38" t="s">
        <v>308</v>
      </c>
      <c r="B19" s="62" t="s">
        <v>309</v>
      </c>
      <c r="C19" s="300">
        <v>167500</v>
      </c>
      <c r="D19" s="301">
        <v>164160</v>
      </c>
      <c r="E19" s="191">
        <v>177292.79999999999</v>
      </c>
    </row>
    <row r="20" spans="1:5" ht="36" x14ac:dyDescent="0.35">
      <c r="A20" s="38" t="s">
        <v>141</v>
      </c>
      <c r="B20" s="62" t="s">
        <v>326</v>
      </c>
      <c r="C20" s="300">
        <v>98</v>
      </c>
      <c r="D20" s="301">
        <v>80</v>
      </c>
      <c r="E20" s="191">
        <v>50</v>
      </c>
    </row>
    <row r="21" spans="1:5" x14ac:dyDescent="0.35">
      <c r="A21" s="38" t="s">
        <v>142</v>
      </c>
      <c r="B21" s="71" t="s">
        <v>143</v>
      </c>
      <c r="C21" s="300">
        <v>196</v>
      </c>
      <c r="D21" s="301">
        <v>205.5</v>
      </c>
      <c r="E21" s="191">
        <v>216</v>
      </c>
    </row>
    <row r="22" spans="1:5" ht="36" x14ac:dyDescent="0.35">
      <c r="A22" s="38" t="s">
        <v>144</v>
      </c>
      <c r="B22" s="62" t="s">
        <v>145</v>
      </c>
      <c r="C22" s="300">
        <v>19720</v>
      </c>
      <c r="D22" s="301">
        <v>20705</v>
      </c>
      <c r="E22" s="191">
        <v>21740</v>
      </c>
    </row>
    <row r="23" spans="1:5" x14ac:dyDescent="0.35">
      <c r="A23" s="38" t="s">
        <v>423</v>
      </c>
      <c r="B23" s="62" t="s">
        <v>424</v>
      </c>
      <c r="C23" s="300">
        <v>3645</v>
      </c>
      <c r="D23" s="301">
        <v>3681</v>
      </c>
      <c r="E23" s="191">
        <v>3720</v>
      </c>
    </row>
    <row r="24" spans="1:5" x14ac:dyDescent="0.35">
      <c r="A24" s="38" t="s">
        <v>146</v>
      </c>
      <c r="B24" s="71" t="s">
        <v>147</v>
      </c>
      <c r="C24" s="300">
        <v>10765</v>
      </c>
      <c r="D24" s="301">
        <v>9742</v>
      </c>
      <c r="E24" s="191">
        <v>9839.4</v>
      </c>
    </row>
    <row r="25" spans="1:5" ht="54.75" customHeight="1" x14ac:dyDescent="0.35">
      <c r="A25" s="38" t="s">
        <v>489</v>
      </c>
      <c r="B25" s="62" t="s">
        <v>490</v>
      </c>
      <c r="C25" s="300">
        <v>38147.100000000006</v>
      </c>
      <c r="D25" s="300">
        <v>36702</v>
      </c>
      <c r="E25" s="300">
        <v>37810</v>
      </c>
    </row>
    <row r="26" spans="1:5" ht="78" customHeight="1" x14ac:dyDescent="0.35">
      <c r="A26" s="38" t="s">
        <v>148</v>
      </c>
      <c r="B26" s="61" t="s">
        <v>491</v>
      </c>
      <c r="C26" s="300">
        <v>750</v>
      </c>
      <c r="D26" s="301">
        <v>465</v>
      </c>
      <c r="E26" s="191">
        <v>465</v>
      </c>
    </row>
    <row r="27" spans="1:5" ht="54" x14ac:dyDescent="0.35">
      <c r="A27" s="602" t="s">
        <v>629</v>
      </c>
      <c r="B27" s="603" t="s">
        <v>630</v>
      </c>
      <c r="C27" s="604">
        <v>17.3</v>
      </c>
      <c r="D27" s="605">
        <v>0</v>
      </c>
      <c r="E27" s="606">
        <v>0</v>
      </c>
    </row>
    <row r="28" spans="1:5" ht="93.6" customHeight="1" x14ac:dyDescent="0.35">
      <c r="A28" s="38" t="s">
        <v>149</v>
      </c>
      <c r="B28" s="62" t="s">
        <v>492</v>
      </c>
      <c r="C28" s="300">
        <v>35649.800000000003</v>
      </c>
      <c r="D28" s="301">
        <v>35092</v>
      </c>
      <c r="E28" s="191">
        <v>36200</v>
      </c>
    </row>
    <row r="29" spans="1:5" ht="108" x14ac:dyDescent="0.35">
      <c r="A29" s="38" t="s">
        <v>744</v>
      </c>
      <c r="B29" s="62" t="s">
        <v>745</v>
      </c>
      <c r="C29" s="300">
        <v>10.1</v>
      </c>
      <c r="D29" s="301">
        <v>0</v>
      </c>
      <c r="E29" s="191">
        <v>0</v>
      </c>
    </row>
    <row r="30" spans="1:5" ht="54" x14ac:dyDescent="0.35">
      <c r="A30" s="38" t="s">
        <v>307</v>
      </c>
      <c r="B30" s="62" t="s">
        <v>493</v>
      </c>
      <c r="C30" s="300">
        <v>1501.9</v>
      </c>
      <c r="D30" s="301">
        <v>927</v>
      </c>
      <c r="E30" s="191">
        <v>927</v>
      </c>
    </row>
    <row r="31" spans="1:5" ht="90" x14ac:dyDescent="0.35">
      <c r="A31" s="38" t="s">
        <v>150</v>
      </c>
      <c r="B31" s="62" t="s">
        <v>494</v>
      </c>
      <c r="C31" s="300">
        <v>10</v>
      </c>
      <c r="D31" s="301">
        <v>10</v>
      </c>
      <c r="E31" s="191">
        <v>10</v>
      </c>
    </row>
    <row r="32" spans="1:5" ht="108" x14ac:dyDescent="0.35">
      <c r="A32" s="38" t="s">
        <v>345</v>
      </c>
      <c r="B32" s="62" t="s">
        <v>495</v>
      </c>
      <c r="C32" s="300">
        <v>208</v>
      </c>
      <c r="D32" s="301">
        <v>208</v>
      </c>
      <c r="E32" s="191">
        <v>208</v>
      </c>
    </row>
    <row r="33" spans="1:5" ht="36" x14ac:dyDescent="0.35">
      <c r="A33" s="38" t="s">
        <v>151</v>
      </c>
      <c r="B33" s="62" t="s">
        <v>152</v>
      </c>
      <c r="C33" s="300">
        <v>73</v>
      </c>
      <c r="D33" s="301">
        <v>75</v>
      </c>
      <c r="E33" s="191">
        <v>78</v>
      </c>
    </row>
    <row r="34" spans="1:5" ht="36" x14ac:dyDescent="0.35">
      <c r="A34" s="38" t="s">
        <v>385</v>
      </c>
      <c r="B34" s="204" t="s">
        <v>403</v>
      </c>
      <c r="C34" s="300">
        <v>18109.7</v>
      </c>
      <c r="D34" s="301">
        <v>1367.1</v>
      </c>
      <c r="E34" s="191">
        <v>1367.1</v>
      </c>
    </row>
    <row r="35" spans="1:5" ht="36.6" customHeight="1" x14ac:dyDescent="0.35">
      <c r="A35" s="38" t="s">
        <v>153</v>
      </c>
      <c r="B35" s="62" t="s">
        <v>154</v>
      </c>
      <c r="C35" s="300">
        <v>37774.299999999996</v>
      </c>
      <c r="D35" s="301">
        <v>10804.4</v>
      </c>
      <c r="E35" s="191">
        <v>10841.6</v>
      </c>
    </row>
    <row r="36" spans="1:5" ht="18.75" customHeight="1" x14ac:dyDescent="0.35">
      <c r="A36" s="36" t="s">
        <v>155</v>
      </c>
      <c r="B36" s="62" t="s">
        <v>156</v>
      </c>
      <c r="C36" s="300">
        <v>6445.8</v>
      </c>
      <c r="D36" s="301">
        <v>4436</v>
      </c>
      <c r="E36" s="191">
        <v>4436</v>
      </c>
    </row>
    <row r="37" spans="1:5" x14ac:dyDescent="0.35">
      <c r="A37" s="86" t="s">
        <v>16</v>
      </c>
      <c r="B37" s="217" t="s">
        <v>310</v>
      </c>
      <c r="C37" s="185">
        <v>1832872.4785599997</v>
      </c>
      <c r="D37" s="185">
        <v>1280866</v>
      </c>
      <c r="E37" s="185">
        <v>1172345.8999999999</v>
      </c>
    </row>
    <row r="38" spans="1:5" ht="36.75" customHeight="1" x14ac:dyDescent="0.35">
      <c r="A38" s="80" t="s">
        <v>17</v>
      </c>
      <c r="B38" s="218" t="s">
        <v>18</v>
      </c>
      <c r="C38" s="299">
        <v>1848294.7999999998</v>
      </c>
      <c r="D38" s="299">
        <v>1280866</v>
      </c>
      <c r="E38" s="299">
        <v>1172345.8999999999</v>
      </c>
    </row>
    <row r="39" spans="1:5" s="220" customFormat="1" ht="36" x14ac:dyDescent="0.35">
      <c r="A39" s="80" t="s">
        <v>395</v>
      </c>
      <c r="B39" s="219" t="s">
        <v>341</v>
      </c>
      <c r="C39" s="299">
        <v>256487.90000000002</v>
      </c>
      <c r="D39" s="299">
        <v>169927</v>
      </c>
      <c r="E39" s="299">
        <v>182469.7</v>
      </c>
    </row>
    <row r="40" spans="1:5" s="220" customFormat="1" ht="39" customHeight="1" x14ac:dyDescent="0.35">
      <c r="A40" s="11" t="s">
        <v>397</v>
      </c>
      <c r="B40" s="205" t="s">
        <v>305</v>
      </c>
      <c r="C40" s="299">
        <v>519936.4</v>
      </c>
      <c r="D40" s="299">
        <v>195281.50000000003</v>
      </c>
      <c r="E40" s="299">
        <v>72511.3</v>
      </c>
    </row>
    <row r="41" spans="1:5" ht="36" x14ac:dyDescent="0.35">
      <c r="A41" s="259" t="s">
        <v>399</v>
      </c>
      <c r="B41" s="219" t="s">
        <v>340</v>
      </c>
      <c r="C41" s="299">
        <v>1003613.4999999999</v>
      </c>
      <c r="D41" s="299">
        <v>915657.5</v>
      </c>
      <c r="E41" s="299">
        <v>917364.89999999991</v>
      </c>
    </row>
    <row r="42" spans="1:5" x14ac:dyDescent="0.35">
      <c r="A42" s="80" t="s">
        <v>405</v>
      </c>
      <c r="B42" s="218" t="s">
        <v>157</v>
      </c>
      <c r="C42" s="186">
        <v>68257</v>
      </c>
      <c r="D42" s="186">
        <v>0</v>
      </c>
      <c r="E42" s="186">
        <v>0</v>
      </c>
    </row>
    <row r="43" spans="1:5" ht="36" x14ac:dyDescent="0.35">
      <c r="A43" s="80" t="s">
        <v>754</v>
      </c>
      <c r="B43" s="218" t="s">
        <v>755</v>
      </c>
      <c r="C43" s="299">
        <v>9124.1730000000007</v>
      </c>
      <c r="D43" s="299">
        <v>0</v>
      </c>
      <c r="E43" s="299">
        <v>0</v>
      </c>
    </row>
    <row r="44" spans="1:5" ht="54" x14ac:dyDescent="0.35">
      <c r="A44" s="80" t="s">
        <v>682</v>
      </c>
      <c r="B44" s="218" t="s">
        <v>683</v>
      </c>
      <c r="C44" s="186">
        <v>227.512</v>
      </c>
      <c r="D44" s="186">
        <v>0</v>
      </c>
      <c r="E44" s="186">
        <v>0</v>
      </c>
    </row>
    <row r="45" spans="1:5" ht="90" x14ac:dyDescent="0.35">
      <c r="A45" s="325" t="s">
        <v>690</v>
      </c>
      <c r="B45" s="612" t="s">
        <v>691</v>
      </c>
      <c r="C45" s="186">
        <v>287.29809999999998</v>
      </c>
      <c r="D45" s="186">
        <v>0</v>
      </c>
      <c r="E45" s="186">
        <v>0</v>
      </c>
    </row>
    <row r="46" spans="1:5" ht="108" x14ac:dyDescent="0.35">
      <c r="A46" s="325" t="s">
        <v>684</v>
      </c>
      <c r="B46" s="612" t="s">
        <v>685</v>
      </c>
      <c r="C46" s="186">
        <v>8586.6808799999999</v>
      </c>
      <c r="D46" s="186">
        <v>0</v>
      </c>
      <c r="E46" s="186">
        <v>0</v>
      </c>
    </row>
    <row r="47" spans="1:5" ht="90" x14ac:dyDescent="0.35">
      <c r="A47" s="325" t="s">
        <v>686</v>
      </c>
      <c r="B47" s="218" t="s">
        <v>689</v>
      </c>
      <c r="C47" s="186">
        <v>892.49612000000002</v>
      </c>
      <c r="D47" s="186">
        <v>0</v>
      </c>
      <c r="E47" s="186">
        <v>0</v>
      </c>
    </row>
    <row r="48" spans="1:5" ht="72" x14ac:dyDescent="0.35">
      <c r="A48" s="325" t="s">
        <v>687</v>
      </c>
      <c r="B48" s="218" t="s">
        <v>688</v>
      </c>
      <c r="C48" s="186">
        <v>15582.127540000001</v>
      </c>
      <c r="D48" s="186">
        <v>0</v>
      </c>
      <c r="E48" s="186">
        <v>0</v>
      </c>
    </row>
    <row r="49" spans="1:8" x14ac:dyDescent="0.35">
      <c r="A49" s="260"/>
      <c r="B49" s="217" t="s">
        <v>158</v>
      </c>
      <c r="C49" s="187">
        <v>2538381.8785599996</v>
      </c>
      <c r="D49" s="187">
        <v>1958815.3</v>
      </c>
      <c r="E49" s="187">
        <v>1887225.5999999999</v>
      </c>
    </row>
    <row r="50" spans="1:8" x14ac:dyDescent="0.35">
      <c r="A50" s="311" t="s">
        <v>520</v>
      </c>
      <c r="B50" s="312"/>
      <c r="C50" s="313"/>
      <c r="D50" s="313"/>
      <c r="E50" s="313"/>
    </row>
    <row r="51" spans="1:8" ht="37.5" customHeight="1" x14ac:dyDescent="0.35">
      <c r="A51" s="696" t="s">
        <v>311</v>
      </c>
      <c r="B51" s="696"/>
      <c r="C51" s="696"/>
      <c r="D51" s="696"/>
      <c r="E51" s="696"/>
    </row>
    <row r="52" spans="1:8" x14ac:dyDescent="0.35">
      <c r="A52" s="261"/>
    </row>
    <row r="53" spans="1:8" x14ac:dyDescent="0.35">
      <c r="A53" s="261"/>
    </row>
    <row r="54" spans="1:8" s="76" customFormat="1" x14ac:dyDescent="0.35">
      <c r="A54" s="657" t="s">
        <v>373</v>
      </c>
      <c r="B54" s="77"/>
      <c r="C54" s="78"/>
      <c r="D54" s="78"/>
      <c r="E54" s="78"/>
      <c r="F54" s="42"/>
      <c r="G54" s="106"/>
      <c r="H54" s="144"/>
    </row>
    <row r="55" spans="1:8" s="76" customFormat="1" x14ac:dyDescent="0.35">
      <c r="A55" s="657" t="s">
        <v>374</v>
      </c>
      <c r="B55" s="77"/>
      <c r="C55" s="78"/>
      <c r="D55" s="78"/>
      <c r="E55" s="78"/>
      <c r="F55" s="42"/>
      <c r="G55" s="106"/>
      <c r="H55" s="144"/>
    </row>
    <row r="56" spans="1:8" s="76" customFormat="1" x14ac:dyDescent="0.35">
      <c r="A56" s="658" t="s">
        <v>375</v>
      </c>
      <c r="B56" s="77"/>
      <c r="D56" s="78"/>
      <c r="E56" s="107" t="s">
        <v>386</v>
      </c>
      <c r="F56" s="42"/>
    </row>
    <row r="57" spans="1:8" s="76" customFormat="1" x14ac:dyDescent="0.35">
      <c r="A57" s="653"/>
      <c r="B57" s="77"/>
      <c r="D57" s="78"/>
      <c r="E57" s="107"/>
      <c r="F57" s="42"/>
    </row>
    <row r="59" spans="1:8" x14ac:dyDescent="0.35">
      <c r="B59" s="262"/>
      <c r="C59" s="189"/>
    </row>
    <row r="60" spans="1:8" x14ac:dyDescent="0.35">
      <c r="B60" s="262"/>
      <c r="C60" s="189"/>
    </row>
    <row r="67" spans="2:3" x14ac:dyDescent="0.35">
      <c r="B67" s="190"/>
      <c r="C67" s="190"/>
    </row>
    <row r="68" spans="2:3" x14ac:dyDescent="0.35">
      <c r="B68" s="190"/>
      <c r="C68" s="190"/>
    </row>
    <row r="69" spans="2:3" x14ac:dyDescent="0.35">
      <c r="B69" s="190"/>
      <c r="C69" s="190"/>
    </row>
    <row r="70" spans="2:3" x14ac:dyDescent="0.35">
      <c r="B70" s="190"/>
      <c r="C70" s="190"/>
    </row>
    <row r="71" spans="2:3" x14ac:dyDescent="0.35">
      <c r="B71" s="190"/>
      <c r="C71" s="190"/>
    </row>
    <row r="72" spans="2:3" x14ac:dyDescent="0.35">
      <c r="B72" s="190"/>
      <c r="C72" s="190"/>
    </row>
    <row r="73" spans="2:3" x14ac:dyDescent="0.35">
      <c r="B73" s="190"/>
      <c r="C73" s="190"/>
    </row>
    <row r="74" spans="2:3" x14ac:dyDescent="0.35">
      <c r="B74" s="190"/>
      <c r="C74" s="190"/>
    </row>
    <row r="75" spans="2:3" x14ac:dyDescent="0.35">
      <c r="B75" s="190"/>
      <c r="C75" s="190"/>
    </row>
    <row r="76" spans="2:3" x14ac:dyDescent="0.35">
      <c r="B76" s="190"/>
      <c r="C76" s="190"/>
    </row>
    <row r="77" spans="2:3" x14ac:dyDescent="0.35">
      <c r="B77" s="190"/>
      <c r="C77" s="190"/>
    </row>
    <row r="78" spans="2:3" x14ac:dyDescent="0.35">
      <c r="B78" s="190"/>
      <c r="C78" s="190"/>
    </row>
    <row r="79" spans="2:3" x14ac:dyDescent="0.35">
      <c r="B79" s="190"/>
      <c r="C79" s="190"/>
    </row>
    <row r="80" spans="2:3" x14ac:dyDescent="0.35">
      <c r="B80" s="190"/>
      <c r="C80" s="190"/>
    </row>
    <row r="81" spans="2:3" x14ac:dyDescent="0.35">
      <c r="B81" s="190"/>
      <c r="C81" s="190"/>
    </row>
    <row r="82" spans="2:3" x14ac:dyDescent="0.35">
      <c r="B82" s="190"/>
      <c r="C82" s="190"/>
    </row>
    <row r="83" spans="2:3" x14ac:dyDescent="0.35">
      <c r="B83" s="190"/>
      <c r="C83" s="190"/>
    </row>
    <row r="84" spans="2:3" x14ac:dyDescent="0.35">
      <c r="B84" s="190"/>
      <c r="C84" s="190"/>
    </row>
    <row r="85" spans="2:3" x14ac:dyDescent="0.35">
      <c r="B85" s="190"/>
      <c r="C85" s="190"/>
    </row>
    <row r="86" spans="2:3" x14ac:dyDescent="0.35">
      <c r="B86" s="190"/>
      <c r="C86" s="190"/>
    </row>
    <row r="87" spans="2:3" x14ac:dyDescent="0.35">
      <c r="B87" s="190"/>
      <c r="C87" s="190"/>
    </row>
    <row r="88" spans="2:3" x14ac:dyDescent="0.35">
      <c r="B88" s="190"/>
      <c r="C88" s="190"/>
    </row>
    <row r="89" spans="2:3" x14ac:dyDescent="0.35">
      <c r="B89" s="190"/>
      <c r="C89" s="190"/>
    </row>
    <row r="90" spans="2:3" x14ac:dyDescent="0.35">
      <c r="B90" s="190"/>
      <c r="C90" s="190"/>
    </row>
    <row r="91" spans="2:3" x14ac:dyDescent="0.35">
      <c r="B91" s="190"/>
      <c r="C91" s="190"/>
    </row>
    <row r="92" spans="2:3" x14ac:dyDescent="0.35">
      <c r="B92" s="190"/>
      <c r="C92" s="190"/>
    </row>
    <row r="93" spans="2:3" x14ac:dyDescent="0.35">
      <c r="B93" s="190"/>
      <c r="C93" s="190"/>
    </row>
    <row r="94" spans="2:3" x14ac:dyDescent="0.35">
      <c r="B94" s="190"/>
      <c r="C94" s="190"/>
    </row>
    <row r="95" spans="2:3" x14ac:dyDescent="0.35">
      <c r="B95" s="190"/>
      <c r="C95" s="190"/>
    </row>
    <row r="96" spans="2:3" x14ac:dyDescent="0.35">
      <c r="B96" s="190"/>
      <c r="C96" s="190"/>
    </row>
    <row r="97" spans="2:3" x14ac:dyDescent="0.35">
      <c r="B97" s="190"/>
      <c r="C97" s="190"/>
    </row>
    <row r="98" spans="2:3" x14ac:dyDescent="0.35">
      <c r="B98" s="190"/>
      <c r="C98" s="190"/>
    </row>
    <row r="99" spans="2:3" x14ac:dyDescent="0.35">
      <c r="B99" s="190"/>
      <c r="C99" s="190"/>
    </row>
    <row r="100" spans="2:3" x14ac:dyDescent="0.35">
      <c r="B100" s="190"/>
      <c r="C100" s="190"/>
    </row>
    <row r="101" spans="2:3" x14ac:dyDescent="0.35">
      <c r="B101" s="190"/>
      <c r="C101" s="190"/>
    </row>
    <row r="102" spans="2:3" x14ac:dyDescent="0.35">
      <c r="B102" s="190"/>
      <c r="C102" s="190"/>
    </row>
    <row r="103" spans="2:3" x14ac:dyDescent="0.35">
      <c r="B103" s="190"/>
      <c r="C103" s="190"/>
    </row>
    <row r="104" spans="2:3" x14ac:dyDescent="0.35">
      <c r="B104" s="190"/>
      <c r="C104" s="190"/>
    </row>
    <row r="105" spans="2:3" x14ac:dyDescent="0.35">
      <c r="B105" s="190"/>
      <c r="C105" s="190"/>
    </row>
    <row r="106" spans="2:3" x14ac:dyDescent="0.35">
      <c r="B106" s="190"/>
      <c r="C106" s="190"/>
    </row>
    <row r="107" spans="2:3" x14ac:dyDescent="0.35">
      <c r="B107" s="190"/>
      <c r="C107" s="190"/>
    </row>
    <row r="108" spans="2:3" x14ac:dyDescent="0.35">
      <c r="B108" s="190"/>
      <c r="C108" s="190"/>
    </row>
    <row r="109" spans="2:3" x14ac:dyDescent="0.35">
      <c r="B109" s="190"/>
      <c r="C109" s="190"/>
    </row>
    <row r="110" spans="2:3" x14ac:dyDescent="0.35">
      <c r="B110" s="190"/>
      <c r="C110" s="190"/>
    </row>
    <row r="111" spans="2:3" x14ac:dyDescent="0.35">
      <c r="B111" s="190"/>
      <c r="C111" s="190"/>
    </row>
    <row r="112" spans="2:3" x14ac:dyDescent="0.35">
      <c r="B112" s="190"/>
      <c r="C112" s="190"/>
    </row>
    <row r="113" spans="2:3" x14ac:dyDescent="0.35">
      <c r="B113" s="190"/>
      <c r="C113" s="190"/>
    </row>
    <row r="114" spans="2:3" x14ac:dyDescent="0.35">
      <c r="B114" s="190"/>
      <c r="C114" s="190"/>
    </row>
    <row r="115" spans="2:3" x14ac:dyDescent="0.35">
      <c r="B115" s="190"/>
      <c r="C115" s="190"/>
    </row>
    <row r="116" spans="2:3" x14ac:dyDescent="0.35">
      <c r="B116" s="190"/>
      <c r="C116" s="190"/>
    </row>
    <row r="117" spans="2:3" x14ac:dyDescent="0.35">
      <c r="B117" s="190"/>
      <c r="C117" s="190"/>
    </row>
    <row r="118" spans="2:3" x14ac:dyDescent="0.35">
      <c r="B118" s="190"/>
      <c r="C118" s="190"/>
    </row>
    <row r="119" spans="2:3" x14ac:dyDescent="0.35">
      <c r="B119" s="190"/>
      <c r="C119" s="190"/>
    </row>
    <row r="120" spans="2:3" x14ac:dyDescent="0.35">
      <c r="B120" s="190"/>
      <c r="C120" s="190"/>
    </row>
    <row r="121" spans="2:3" x14ac:dyDescent="0.35">
      <c r="B121" s="190"/>
      <c r="C121" s="190"/>
    </row>
    <row r="122" spans="2:3" x14ac:dyDescent="0.35">
      <c r="B122" s="190"/>
      <c r="C122" s="190"/>
    </row>
    <row r="123" spans="2:3" x14ac:dyDescent="0.35">
      <c r="B123" s="190"/>
      <c r="C123" s="190"/>
    </row>
    <row r="124" spans="2:3" x14ac:dyDescent="0.35">
      <c r="B124" s="190"/>
      <c r="C124" s="190"/>
    </row>
    <row r="125" spans="2:3" x14ac:dyDescent="0.35">
      <c r="B125" s="190"/>
      <c r="C125" s="190"/>
    </row>
    <row r="126" spans="2:3" x14ac:dyDescent="0.35">
      <c r="B126" s="190"/>
      <c r="C126" s="190"/>
    </row>
    <row r="127" spans="2:3" x14ac:dyDescent="0.35">
      <c r="B127" s="190"/>
      <c r="C127" s="190"/>
    </row>
    <row r="128" spans="2:3" x14ac:dyDescent="0.35">
      <c r="B128" s="190"/>
      <c r="C128" s="190"/>
    </row>
    <row r="129" spans="2:3" x14ac:dyDescent="0.35">
      <c r="B129" s="190"/>
      <c r="C129" s="190"/>
    </row>
    <row r="130" spans="2:3" x14ac:dyDescent="0.35">
      <c r="B130" s="190"/>
      <c r="C130" s="190"/>
    </row>
    <row r="131" spans="2:3" x14ac:dyDescent="0.35">
      <c r="B131" s="190"/>
      <c r="C131" s="190"/>
    </row>
    <row r="132" spans="2:3" x14ac:dyDescent="0.35">
      <c r="B132" s="190"/>
      <c r="C132" s="190"/>
    </row>
    <row r="133" spans="2:3" x14ac:dyDescent="0.35">
      <c r="B133" s="190"/>
      <c r="C133" s="190"/>
    </row>
    <row r="134" spans="2:3" x14ac:dyDescent="0.35">
      <c r="B134" s="190"/>
      <c r="C134" s="190"/>
    </row>
    <row r="135" spans="2:3" x14ac:dyDescent="0.35">
      <c r="B135" s="190"/>
      <c r="C135" s="190"/>
    </row>
    <row r="136" spans="2:3" x14ac:dyDescent="0.35">
      <c r="B136" s="190"/>
      <c r="C136" s="190"/>
    </row>
    <row r="137" spans="2:3" x14ac:dyDescent="0.35">
      <c r="B137" s="190"/>
      <c r="C137" s="190"/>
    </row>
    <row r="138" spans="2:3" x14ac:dyDescent="0.35">
      <c r="B138" s="190"/>
      <c r="C138" s="190"/>
    </row>
    <row r="139" spans="2:3" x14ac:dyDescent="0.35">
      <c r="B139" s="190"/>
      <c r="C139" s="190"/>
    </row>
    <row r="140" spans="2:3" x14ac:dyDescent="0.35">
      <c r="B140" s="190"/>
      <c r="C140" s="190"/>
    </row>
    <row r="141" spans="2:3" x14ac:dyDescent="0.35">
      <c r="B141" s="190"/>
      <c r="C141" s="190"/>
    </row>
    <row r="142" spans="2:3" x14ac:dyDescent="0.35">
      <c r="B142" s="190"/>
      <c r="C142" s="190"/>
    </row>
    <row r="143" spans="2:3" x14ac:dyDescent="0.35">
      <c r="B143" s="190"/>
      <c r="C143" s="190"/>
    </row>
    <row r="144" spans="2:3" x14ac:dyDescent="0.35">
      <c r="B144" s="190"/>
      <c r="C144" s="190"/>
    </row>
  </sheetData>
  <mergeCells count="5">
    <mergeCell ref="C12:E12"/>
    <mergeCell ref="A9:E9"/>
    <mergeCell ref="A51:E51"/>
    <mergeCell ref="A12:A13"/>
    <mergeCell ref="B12:B13"/>
  </mergeCells>
  <printOptions horizontalCentered="1"/>
  <pageMargins left="1.1811023622047245" right="0.39370078740157483" top="0.78740157480314965" bottom="0.78740157480314965" header="0.39370078740157483" footer="0.39370078740157483"/>
  <pageSetup paperSize="9" scale="61" fitToHeight="0" orientation="portrait" blackAndWhite="1" errors="blank" r:id="rId1"/>
  <headerFooter differentFirst="1">
    <oddHeader>&amp;C&amp;"Times New Roman,обычный"&amp;12&amp;P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437"/>
  <sheetViews>
    <sheetView zoomScale="80" zoomScaleNormal="80" zoomScaleSheetLayoutView="80" workbookViewId="0">
      <selection activeCell="H7" sqref="H7"/>
    </sheetView>
  </sheetViews>
  <sheetFormatPr defaultColWidth="8.88671875" defaultRowHeight="18" x14ac:dyDescent="0.35"/>
  <cols>
    <col min="1" max="1" width="28.109375" style="59" customWidth="1"/>
    <col min="2" max="2" width="72.6640625" style="59" customWidth="1"/>
    <col min="3" max="3" width="15" style="58" customWidth="1"/>
    <col min="4" max="4" width="11" style="46" hidden="1" customWidth="1"/>
    <col min="5" max="5" width="7.6640625" style="34" hidden="1" customWidth="1"/>
    <col min="6" max="6" width="0" style="34" hidden="1" customWidth="1"/>
    <col min="7" max="16384" width="8.88671875" style="34"/>
  </cols>
  <sheetData>
    <row r="1" spans="1:4" s="190" customFormat="1" x14ac:dyDescent="0.35">
      <c r="B1" s="258"/>
      <c r="C1" s="39" t="s">
        <v>507</v>
      </c>
    </row>
    <row r="2" spans="1:4" s="190" customFormat="1" x14ac:dyDescent="0.35">
      <c r="B2" s="258"/>
      <c r="C2" s="153" t="s">
        <v>788</v>
      </c>
    </row>
    <row r="3" spans="1:4" s="190" customFormat="1" x14ac:dyDescent="0.35">
      <c r="B3" s="258"/>
      <c r="C3" s="153"/>
    </row>
    <row r="4" spans="1:4" x14ac:dyDescent="0.35">
      <c r="C4" s="39" t="s">
        <v>507</v>
      </c>
    </row>
    <row r="5" spans="1:4" x14ac:dyDescent="0.35">
      <c r="C5" s="153" t="s">
        <v>654</v>
      </c>
    </row>
    <row r="8" spans="1:4" ht="15.75" customHeight="1" x14ac:dyDescent="0.35"/>
    <row r="9" spans="1:4" ht="40.200000000000003" customHeight="1" x14ac:dyDescent="0.35">
      <c r="A9" s="701" t="s">
        <v>593</v>
      </c>
      <c r="B9" s="701"/>
      <c r="C9" s="701"/>
    </row>
    <row r="10" spans="1:4" x14ac:dyDescent="0.35">
      <c r="A10" s="60"/>
      <c r="B10" s="60"/>
      <c r="C10" s="47"/>
    </row>
    <row r="11" spans="1:4" x14ac:dyDescent="0.35">
      <c r="C11" s="48" t="s">
        <v>22</v>
      </c>
    </row>
    <row r="12" spans="1:4" x14ac:dyDescent="0.35">
      <c r="A12" s="38" t="s">
        <v>13</v>
      </c>
      <c r="B12" s="38" t="s">
        <v>14</v>
      </c>
      <c r="C12" s="49" t="s">
        <v>15</v>
      </c>
    </row>
    <row r="13" spans="1:4" x14ac:dyDescent="0.35">
      <c r="A13" s="38">
        <v>1</v>
      </c>
      <c r="B13" s="38">
        <v>2</v>
      </c>
      <c r="C13" s="51">
        <v>3</v>
      </c>
    </row>
    <row r="14" spans="1:4" ht="23.4" customHeight="1" x14ac:dyDescent="0.35">
      <c r="A14" s="40" t="s">
        <v>16</v>
      </c>
      <c r="B14" s="52" t="s">
        <v>310</v>
      </c>
      <c r="C14" s="53">
        <v>1848294.7999999998</v>
      </c>
      <c r="D14" s="192"/>
    </row>
    <row r="15" spans="1:4" ht="38.4" customHeight="1" x14ac:dyDescent="0.35">
      <c r="A15" s="38" t="s">
        <v>17</v>
      </c>
      <c r="B15" s="61" t="s">
        <v>18</v>
      </c>
      <c r="C15" s="64">
        <v>1848294.7999999998</v>
      </c>
      <c r="D15" s="192"/>
    </row>
    <row r="16" spans="1:4" ht="22.2" customHeight="1" x14ac:dyDescent="0.35">
      <c r="A16" s="38" t="s">
        <v>395</v>
      </c>
      <c r="B16" s="61" t="s">
        <v>338</v>
      </c>
      <c r="C16" s="64">
        <v>256487.90000000002</v>
      </c>
      <c r="D16" s="192"/>
    </row>
    <row r="17" spans="1:4" ht="21.6" customHeight="1" x14ac:dyDescent="0.35">
      <c r="A17" s="38" t="s">
        <v>396</v>
      </c>
      <c r="B17" s="61" t="s">
        <v>19</v>
      </c>
      <c r="C17" s="64">
        <v>228558.1</v>
      </c>
      <c r="D17" s="192"/>
    </row>
    <row r="18" spans="1:4" ht="54.75" customHeight="1" x14ac:dyDescent="0.35">
      <c r="A18" s="38" t="s">
        <v>392</v>
      </c>
      <c r="B18" s="61" t="s">
        <v>425</v>
      </c>
      <c r="C18" s="64">
        <v>228558.1</v>
      </c>
      <c r="D18" s="192"/>
    </row>
    <row r="19" spans="1:4" ht="36" x14ac:dyDescent="0.35">
      <c r="A19" s="38" t="s">
        <v>701</v>
      </c>
      <c r="B19" s="61" t="s">
        <v>702</v>
      </c>
      <c r="C19" s="64">
        <v>6168.2</v>
      </c>
      <c r="D19" s="192"/>
    </row>
    <row r="20" spans="1:4" ht="36" x14ac:dyDescent="0.35">
      <c r="A20" s="38" t="s">
        <v>703</v>
      </c>
      <c r="B20" s="61" t="s">
        <v>704</v>
      </c>
      <c r="C20" s="64">
        <v>6168.2</v>
      </c>
      <c r="D20" s="192">
        <v>905</v>
      </c>
    </row>
    <row r="21" spans="1:4" x14ac:dyDescent="0.35">
      <c r="A21" s="38" t="s">
        <v>697</v>
      </c>
      <c r="B21" s="61" t="s">
        <v>698</v>
      </c>
      <c r="C21" s="64">
        <v>21761.599999999999</v>
      </c>
      <c r="D21" s="192"/>
    </row>
    <row r="22" spans="1:4" x14ac:dyDescent="0.35">
      <c r="A22" s="38" t="s">
        <v>699</v>
      </c>
      <c r="B22" s="61" t="s">
        <v>700</v>
      </c>
      <c r="C22" s="64">
        <v>21761.599999999999</v>
      </c>
      <c r="D22" s="192"/>
    </row>
    <row r="23" spans="1:4" ht="39.6" customHeight="1" x14ac:dyDescent="0.35">
      <c r="A23" s="38" t="s">
        <v>397</v>
      </c>
      <c r="B23" s="62" t="s">
        <v>367</v>
      </c>
      <c r="C23" s="64">
        <v>519936.4</v>
      </c>
      <c r="D23" s="192"/>
    </row>
    <row r="24" spans="1:4" ht="34.5" customHeight="1" x14ac:dyDescent="0.35">
      <c r="A24" s="38" t="s">
        <v>418</v>
      </c>
      <c r="B24" s="62" t="s">
        <v>419</v>
      </c>
      <c r="C24" s="64">
        <v>243985.8</v>
      </c>
      <c r="D24" s="192"/>
    </row>
    <row r="25" spans="1:4" ht="56.4" customHeight="1" x14ac:dyDescent="0.35">
      <c r="A25" s="38" t="s">
        <v>416</v>
      </c>
      <c r="B25" s="62" t="s">
        <v>417</v>
      </c>
      <c r="C25" s="64">
        <v>243985.8</v>
      </c>
      <c r="D25" s="192"/>
    </row>
    <row r="26" spans="1:4" ht="90" x14ac:dyDescent="0.35">
      <c r="A26" s="38"/>
      <c r="B26" s="222" t="s">
        <v>530</v>
      </c>
      <c r="C26" s="66">
        <v>200176.5</v>
      </c>
      <c r="D26" s="192">
        <v>921</v>
      </c>
    </row>
    <row r="27" spans="1:4" ht="54" x14ac:dyDescent="0.35">
      <c r="A27" s="37"/>
      <c r="B27" s="221" t="s">
        <v>460</v>
      </c>
      <c r="C27" s="65">
        <v>43809.3</v>
      </c>
      <c r="D27" s="192">
        <v>921</v>
      </c>
    </row>
    <row r="28" spans="1:4" ht="126" x14ac:dyDescent="0.35">
      <c r="A28" s="38" t="s">
        <v>595</v>
      </c>
      <c r="B28" s="61" t="s">
        <v>674</v>
      </c>
      <c r="C28" s="65">
        <v>20989.9</v>
      </c>
      <c r="D28" s="192">
        <v>902</v>
      </c>
    </row>
    <row r="29" spans="1:4" ht="126" x14ac:dyDescent="0.35">
      <c r="A29" s="38" t="s">
        <v>596</v>
      </c>
      <c r="B29" s="61" t="s">
        <v>675</v>
      </c>
      <c r="C29" s="65">
        <v>20989.9</v>
      </c>
      <c r="D29" s="192"/>
    </row>
    <row r="30" spans="1:4" ht="108" x14ac:dyDescent="0.35">
      <c r="A30" s="38" t="s">
        <v>607</v>
      </c>
      <c r="B30" s="61" t="s">
        <v>608</v>
      </c>
      <c r="C30" s="65">
        <v>36665.9</v>
      </c>
      <c r="D30" s="192">
        <v>902</v>
      </c>
    </row>
    <row r="31" spans="1:4" ht="108" x14ac:dyDescent="0.35">
      <c r="A31" s="38" t="s">
        <v>609</v>
      </c>
      <c r="B31" s="61" t="s">
        <v>610</v>
      </c>
      <c r="C31" s="65">
        <v>36665.9</v>
      </c>
      <c r="D31" s="192"/>
    </row>
    <row r="32" spans="1:4" s="46" customFormat="1" ht="36" x14ac:dyDescent="0.35">
      <c r="A32" s="37" t="s">
        <v>480</v>
      </c>
      <c r="B32" s="62" t="s">
        <v>481</v>
      </c>
      <c r="C32" s="64">
        <v>1446.3999999999996</v>
      </c>
      <c r="D32" s="192">
        <v>929</v>
      </c>
    </row>
    <row r="33" spans="1:4" s="46" customFormat="1" ht="57" customHeight="1" x14ac:dyDescent="0.35">
      <c r="A33" s="37" t="s">
        <v>482</v>
      </c>
      <c r="B33" s="62" t="s">
        <v>483</v>
      </c>
      <c r="C33" s="64">
        <v>1446.3999999999996</v>
      </c>
      <c r="D33" s="192"/>
    </row>
    <row r="34" spans="1:4" s="46" customFormat="1" ht="75" customHeight="1" x14ac:dyDescent="0.35">
      <c r="A34" s="37" t="s">
        <v>454</v>
      </c>
      <c r="B34" s="62" t="s">
        <v>457</v>
      </c>
      <c r="C34" s="64">
        <v>48664.399999999994</v>
      </c>
      <c r="D34" s="192"/>
    </row>
    <row r="35" spans="1:4" s="46" customFormat="1" ht="72" x14ac:dyDescent="0.35">
      <c r="A35" s="37" t="s">
        <v>450</v>
      </c>
      <c r="B35" s="62" t="s">
        <v>451</v>
      </c>
      <c r="C35" s="64">
        <v>48664.399999999994</v>
      </c>
      <c r="D35" s="192">
        <v>925</v>
      </c>
    </row>
    <row r="36" spans="1:4" s="46" customFormat="1" x14ac:dyDescent="0.35">
      <c r="A36" s="37" t="s">
        <v>560</v>
      </c>
      <c r="B36" s="62" t="s">
        <v>561</v>
      </c>
      <c r="C36" s="64">
        <v>496.2</v>
      </c>
      <c r="D36" s="192">
        <v>926</v>
      </c>
    </row>
    <row r="37" spans="1:4" s="46" customFormat="1" ht="36" customHeight="1" x14ac:dyDescent="0.35">
      <c r="A37" s="37" t="s">
        <v>559</v>
      </c>
      <c r="B37" s="62" t="s">
        <v>562</v>
      </c>
      <c r="C37" s="64">
        <v>496.2</v>
      </c>
      <c r="D37" s="192"/>
    </row>
    <row r="38" spans="1:4" s="46" customFormat="1" ht="54" x14ac:dyDescent="0.35">
      <c r="A38" s="37"/>
      <c r="B38" s="222" t="s">
        <v>563</v>
      </c>
      <c r="C38" s="66">
        <v>496.2</v>
      </c>
      <c r="D38" s="192"/>
    </row>
    <row r="39" spans="1:4" s="46" customFormat="1" ht="36" x14ac:dyDescent="0.35">
      <c r="A39" s="37" t="s">
        <v>606</v>
      </c>
      <c r="B39" s="62" t="s">
        <v>605</v>
      </c>
      <c r="C39" s="66">
        <v>39175.1</v>
      </c>
      <c r="D39" s="192"/>
    </row>
    <row r="40" spans="1:4" s="46" customFormat="1" ht="36" x14ac:dyDescent="0.35">
      <c r="A40" s="37" t="s">
        <v>604</v>
      </c>
      <c r="B40" s="62" t="s">
        <v>603</v>
      </c>
      <c r="C40" s="66">
        <v>39175.1</v>
      </c>
      <c r="D40" s="192"/>
    </row>
    <row r="41" spans="1:4" s="46" customFormat="1" ht="162" x14ac:dyDescent="0.35">
      <c r="A41" s="37"/>
      <c r="B41" s="222" t="s">
        <v>601</v>
      </c>
      <c r="C41" s="66">
        <v>39175.1</v>
      </c>
      <c r="D41" s="192">
        <v>925</v>
      </c>
    </row>
    <row r="42" spans="1:4" s="46" customFormat="1" ht="90" x14ac:dyDescent="0.35">
      <c r="A42" s="37" t="s">
        <v>627</v>
      </c>
      <c r="B42" s="62" t="s">
        <v>628</v>
      </c>
      <c r="C42" s="66">
        <v>93.9</v>
      </c>
      <c r="D42" s="192"/>
    </row>
    <row r="43" spans="1:4" s="46" customFormat="1" ht="90" x14ac:dyDescent="0.35">
      <c r="A43" s="37" t="s">
        <v>626</v>
      </c>
      <c r="B43" s="62" t="s">
        <v>625</v>
      </c>
      <c r="C43" s="66">
        <v>93.9</v>
      </c>
      <c r="D43" s="192"/>
    </row>
    <row r="44" spans="1:4" s="46" customFormat="1" ht="201.6" customHeight="1" x14ac:dyDescent="0.35">
      <c r="A44" s="37"/>
      <c r="B44" s="62" t="s">
        <v>650</v>
      </c>
      <c r="C44" s="66">
        <v>93.9</v>
      </c>
      <c r="D44" s="192">
        <v>925</v>
      </c>
    </row>
    <row r="45" spans="1:4" s="46" customFormat="1" ht="57.75" customHeight="1" x14ac:dyDescent="0.35">
      <c r="A45" s="37" t="s">
        <v>570</v>
      </c>
      <c r="B45" s="62" t="s">
        <v>571</v>
      </c>
      <c r="C45" s="64">
        <v>518.6</v>
      </c>
      <c r="D45" s="192"/>
    </row>
    <row r="46" spans="1:4" s="46" customFormat="1" ht="38.25" customHeight="1" x14ac:dyDescent="0.35">
      <c r="A46" s="37" t="s">
        <v>572</v>
      </c>
      <c r="B46" s="62" t="s">
        <v>573</v>
      </c>
      <c r="C46" s="64">
        <v>518.6</v>
      </c>
      <c r="D46" s="192"/>
    </row>
    <row r="47" spans="1:4" s="46" customFormat="1" ht="114.6" customHeight="1" x14ac:dyDescent="0.35">
      <c r="A47" s="37"/>
      <c r="B47" s="222" t="s">
        <v>574</v>
      </c>
      <c r="C47" s="64">
        <v>518.6</v>
      </c>
      <c r="D47" s="192">
        <v>925</v>
      </c>
    </row>
    <row r="48" spans="1:4" ht="17.25" customHeight="1" x14ac:dyDescent="0.35">
      <c r="A48" s="37" t="s">
        <v>398</v>
      </c>
      <c r="B48" s="62" t="s">
        <v>304</v>
      </c>
      <c r="C48" s="64">
        <v>127900.2</v>
      </c>
      <c r="D48" s="192"/>
    </row>
    <row r="49" spans="1:4" x14ac:dyDescent="0.35">
      <c r="A49" s="37" t="s">
        <v>389</v>
      </c>
      <c r="B49" s="62" t="s">
        <v>598</v>
      </c>
      <c r="C49" s="64">
        <v>127900.2</v>
      </c>
      <c r="D49" s="192"/>
    </row>
    <row r="50" spans="1:4" ht="234" x14ac:dyDescent="0.35">
      <c r="A50" s="54"/>
      <c r="B50" s="221" t="s">
        <v>597</v>
      </c>
      <c r="C50" s="66">
        <v>40</v>
      </c>
      <c r="D50" s="193">
        <v>926</v>
      </c>
    </row>
    <row r="51" spans="1:4" ht="54" x14ac:dyDescent="0.35">
      <c r="A51" s="54"/>
      <c r="B51" s="221" t="s">
        <v>406</v>
      </c>
      <c r="C51" s="66">
        <v>1903.3000000000002</v>
      </c>
      <c r="D51" s="193">
        <v>929</v>
      </c>
    </row>
    <row r="52" spans="1:4" ht="72" x14ac:dyDescent="0.35">
      <c r="A52" s="54"/>
      <c r="B52" s="222" t="s">
        <v>498</v>
      </c>
      <c r="C52" s="66">
        <v>14222.4</v>
      </c>
      <c r="D52" s="193">
        <v>902</v>
      </c>
    </row>
    <row r="53" spans="1:4" ht="36" x14ac:dyDescent="0.35">
      <c r="A53" s="54"/>
      <c r="B53" s="222" t="s">
        <v>532</v>
      </c>
      <c r="C53" s="66">
        <v>1690.7</v>
      </c>
      <c r="D53" s="193">
        <v>902</v>
      </c>
    </row>
    <row r="54" spans="1:4" ht="79.95" customHeight="1" x14ac:dyDescent="0.35">
      <c r="A54" s="54"/>
      <c r="B54" s="222" t="s">
        <v>531</v>
      </c>
      <c r="C54" s="66">
        <v>13273.6</v>
      </c>
      <c r="D54" s="193">
        <v>925</v>
      </c>
    </row>
    <row r="55" spans="1:4" ht="54" x14ac:dyDescent="0.35">
      <c r="A55" s="54"/>
      <c r="B55" s="222" t="s">
        <v>505</v>
      </c>
      <c r="C55" s="66">
        <v>1139.8</v>
      </c>
      <c r="D55" s="193">
        <v>925</v>
      </c>
    </row>
    <row r="56" spans="1:4" ht="145.94999999999999" customHeight="1" x14ac:dyDescent="0.35">
      <c r="A56" s="54"/>
      <c r="B56" s="222" t="s">
        <v>565</v>
      </c>
      <c r="C56" s="66">
        <v>4276.7</v>
      </c>
      <c r="D56" s="193">
        <v>929</v>
      </c>
    </row>
    <row r="57" spans="1:4" ht="54" x14ac:dyDescent="0.35">
      <c r="A57" s="54"/>
      <c r="B57" s="222" t="s">
        <v>575</v>
      </c>
      <c r="C57" s="66">
        <v>33037.5</v>
      </c>
      <c r="D57" s="193">
        <v>902</v>
      </c>
    </row>
    <row r="58" spans="1:4" ht="90" x14ac:dyDescent="0.35">
      <c r="A58" s="54"/>
      <c r="B58" s="222" t="s">
        <v>602</v>
      </c>
      <c r="C58" s="66">
        <v>16290</v>
      </c>
      <c r="D58" s="193">
        <v>926</v>
      </c>
    </row>
    <row r="59" spans="1:4" ht="54" x14ac:dyDescent="0.35">
      <c r="A59" s="54"/>
      <c r="B59" s="222" t="s">
        <v>709</v>
      </c>
      <c r="C59" s="66">
        <v>9603</v>
      </c>
      <c r="D59" s="193">
        <v>902</v>
      </c>
    </row>
    <row r="60" spans="1:4" ht="144" x14ac:dyDescent="0.35">
      <c r="A60" s="54"/>
      <c r="B60" s="222" t="s">
        <v>724</v>
      </c>
      <c r="C60" s="66">
        <v>1395.8</v>
      </c>
      <c r="D60" s="193">
        <v>925</v>
      </c>
    </row>
    <row r="61" spans="1:4" ht="72" x14ac:dyDescent="0.35">
      <c r="A61" s="54"/>
      <c r="B61" s="222" t="s">
        <v>725</v>
      </c>
      <c r="C61" s="66">
        <v>22330.7</v>
      </c>
      <c r="D61" s="193"/>
    </row>
    <row r="62" spans="1:4" ht="126" x14ac:dyDescent="0.35">
      <c r="A62" s="54"/>
      <c r="B62" s="222" t="s">
        <v>739</v>
      </c>
      <c r="C62" s="66">
        <v>8696.7000000000007</v>
      </c>
      <c r="D62" s="193">
        <v>925</v>
      </c>
    </row>
    <row r="63" spans="1:4" ht="36" x14ac:dyDescent="0.35">
      <c r="A63" s="38" t="s">
        <v>399</v>
      </c>
      <c r="B63" s="61" t="s">
        <v>339</v>
      </c>
      <c r="C63" s="64">
        <v>1003613.4999999999</v>
      </c>
      <c r="D63" s="192"/>
    </row>
    <row r="64" spans="1:4" ht="39" customHeight="1" x14ac:dyDescent="0.35">
      <c r="A64" s="38" t="s">
        <v>400</v>
      </c>
      <c r="B64" s="61" t="s">
        <v>20</v>
      </c>
      <c r="C64" s="64">
        <v>881614.99999999988</v>
      </c>
      <c r="D64" s="192"/>
    </row>
    <row r="65" spans="1:4" ht="36" x14ac:dyDescent="0.35">
      <c r="A65" s="38" t="s">
        <v>390</v>
      </c>
      <c r="B65" s="61" t="s">
        <v>599</v>
      </c>
      <c r="C65" s="64">
        <v>881614.99999999988</v>
      </c>
      <c r="D65" s="192"/>
    </row>
    <row r="66" spans="1:4" ht="162" x14ac:dyDescent="0.35">
      <c r="A66" s="38"/>
      <c r="B66" s="221" t="s">
        <v>420</v>
      </c>
      <c r="C66" s="66">
        <v>15.599999999999994</v>
      </c>
      <c r="D66" s="192">
        <v>929</v>
      </c>
    </row>
    <row r="67" spans="1:4" ht="54" x14ac:dyDescent="0.35">
      <c r="A67" s="38"/>
      <c r="B67" s="222" t="s">
        <v>421</v>
      </c>
      <c r="C67" s="314">
        <v>11800.6</v>
      </c>
      <c r="D67" s="193">
        <v>902</v>
      </c>
    </row>
    <row r="68" spans="1:4" s="55" customFormat="1" ht="72" x14ac:dyDescent="0.35">
      <c r="A68" s="54"/>
      <c r="B68" s="222" t="s">
        <v>260</v>
      </c>
      <c r="C68" s="314">
        <v>2182.1</v>
      </c>
      <c r="D68" s="193">
        <v>925</v>
      </c>
    </row>
    <row r="69" spans="1:4" s="55" customFormat="1" ht="160.94999999999999" customHeight="1" x14ac:dyDescent="0.35">
      <c r="A69" s="38"/>
      <c r="B69" s="486" t="s">
        <v>600</v>
      </c>
      <c r="C69" s="314">
        <v>729.8</v>
      </c>
      <c r="D69" s="193">
        <v>902</v>
      </c>
    </row>
    <row r="70" spans="1:4" ht="80.25" customHeight="1" x14ac:dyDescent="0.35">
      <c r="A70" s="63"/>
      <c r="B70" s="222" t="s">
        <v>21</v>
      </c>
      <c r="C70" s="314">
        <v>63</v>
      </c>
      <c r="D70" s="193">
        <v>902</v>
      </c>
    </row>
    <row r="71" spans="1:4" s="55" customFormat="1" ht="147.75" customHeight="1" x14ac:dyDescent="0.35">
      <c r="A71" s="54"/>
      <c r="B71" s="222" t="s">
        <v>263</v>
      </c>
      <c r="C71" s="314">
        <v>2433.1999999999998</v>
      </c>
      <c r="D71" s="193"/>
    </row>
    <row r="72" spans="1:4" s="55" customFormat="1" ht="60.75" customHeight="1" x14ac:dyDescent="0.35">
      <c r="A72" s="54" t="s">
        <v>259</v>
      </c>
      <c r="B72" s="222" t="s">
        <v>578</v>
      </c>
      <c r="C72" s="314">
        <v>2433.1999999999998</v>
      </c>
      <c r="D72" s="193">
        <v>925</v>
      </c>
    </row>
    <row r="73" spans="1:4" ht="162" x14ac:dyDescent="0.35">
      <c r="A73" s="54"/>
      <c r="B73" s="222" t="s">
        <v>381</v>
      </c>
      <c r="C73" s="314">
        <v>81912.600000000006</v>
      </c>
      <c r="D73" s="193">
        <v>921</v>
      </c>
    </row>
    <row r="74" spans="1:4" ht="132" customHeight="1" x14ac:dyDescent="0.35">
      <c r="A74" s="38"/>
      <c r="B74" s="222" t="s">
        <v>502</v>
      </c>
      <c r="C74" s="314">
        <v>3298.8</v>
      </c>
      <c r="D74" s="193">
        <v>902</v>
      </c>
    </row>
    <row r="75" spans="1:4" ht="93.75" customHeight="1" x14ac:dyDescent="0.35">
      <c r="A75" s="54"/>
      <c r="B75" s="222" t="s">
        <v>342</v>
      </c>
      <c r="C75" s="314">
        <v>770110.2</v>
      </c>
      <c r="D75" s="193"/>
    </row>
    <row r="76" spans="1:4" s="55" customFormat="1" ht="20.25" customHeight="1" x14ac:dyDescent="0.35">
      <c r="A76" s="54" t="s">
        <v>259</v>
      </c>
      <c r="B76" s="222" t="s">
        <v>261</v>
      </c>
      <c r="C76" s="65">
        <v>254748.69999999998</v>
      </c>
      <c r="D76" s="193">
        <v>925</v>
      </c>
    </row>
    <row r="77" spans="1:4" s="55" customFormat="1" x14ac:dyDescent="0.35">
      <c r="A77" s="54"/>
      <c r="B77" s="315" t="s">
        <v>262</v>
      </c>
      <c r="C77" s="65">
        <v>515361.5</v>
      </c>
      <c r="D77" s="193">
        <v>925</v>
      </c>
    </row>
    <row r="78" spans="1:4" s="55" customFormat="1" ht="181.95" customHeight="1" x14ac:dyDescent="0.35">
      <c r="A78" s="54"/>
      <c r="B78" s="316" t="s">
        <v>479</v>
      </c>
      <c r="C78" s="314">
        <v>2222.1999999999998</v>
      </c>
      <c r="D78" s="193">
        <v>925</v>
      </c>
    </row>
    <row r="79" spans="1:4" s="55" customFormat="1" ht="96.75" customHeight="1" x14ac:dyDescent="0.35">
      <c r="A79" s="54"/>
      <c r="B79" s="222" t="s">
        <v>438</v>
      </c>
      <c r="C79" s="314">
        <v>5574.7</v>
      </c>
      <c r="D79" s="194">
        <v>925</v>
      </c>
    </row>
    <row r="80" spans="1:4" s="55" customFormat="1" ht="126" x14ac:dyDescent="0.35">
      <c r="A80" s="54"/>
      <c r="B80" s="222" t="s">
        <v>545</v>
      </c>
      <c r="C80" s="314">
        <v>1272.1999999999998</v>
      </c>
      <c r="D80" s="194">
        <v>925</v>
      </c>
    </row>
    <row r="81" spans="1:13" s="45" customFormat="1" ht="94.5" customHeight="1" x14ac:dyDescent="0.3">
      <c r="A81" s="37" t="s">
        <v>401</v>
      </c>
      <c r="B81" s="61" t="s">
        <v>258</v>
      </c>
      <c r="C81" s="67">
        <v>6685.2</v>
      </c>
      <c r="D81" s="193" t="s">
        <v>376</v>
      </c>
      <c r="E81" s="42"/>
      <c r="F81" s="43"/>
      <c r="G81" s="44"/>
    </row>
    <row r="82" spans="1:13" s="45" customFormat="1" ht="95.25" customHeight="1" x14ac:dyDescent="0.3">
      <c r="A82" s="37" t="s">
        <v>394</v>
      </c>
      <c r="B82" s="61" t="s">
        <v>8</v>
      </c>
      <c r="C82" s="67">
        <v>6685.2</v>
      </c>
      <c r="D82" s="194">
        <v>925</v>
      </c>
      <c r="E82" s="42"/>
      <c r="H82" s="302"/>
      <c r="I82" s="303"/>
      <c r="J82" s="303"/>
      <c r="K82" s="303"/>
      <c r="L82" s="303"/>
      <c r="M82" s="303"/>
    </row>
    <row r="83" spans="1:13" ht="73.5" customHeight="1" x14ac:dyDescent="0.35">
      <c r="A83" s="38" t="s">
        <v>402</v>
      </c>
      <c r="B83" s="216" t="s">
        <v>380</v>
      </c>
      <c r="C83" s="64">
        <v>19.8</v>
      </c>
      <c r="D83" s="193"/>
      <c r="H83" s="303"/>
      <c r="I83" s="303"/>
      <c r="J83" s="303"/>
      <c r="K83" s="303"/>
      <c r="L83" s="303"/>
      <c r="M83" s="303"/>
    </row>
    <row r="84" spans="1:13" ht="74.25" customHeight="1" x14ac:dyDescent="0.35">
      <c r="A84" s="38" t="s">
        <v>391</v>
      </c>
      <c r="B84" s="216" t="s">
        <v>368</v>
      </c>
      <c r="C84" s="64">
        <v>19.8</v>
      </c>
      <c r="D84" s="193">
        <v>902</v>
      </c>
      <c r="H84" s="303"/>
      <c r="I84" s="303"/>
      <c r="J84" s="303"/>
      <c r="K84" s="303"/>
      <c r="L84" s="303"/>
      <c r="M84" s="303"/>
    </row>
    <row r="85" spans="1:13" ht="74.25" customHeight="1" x14ac:dyDescent="0.35">
      <c r="A85" s="38" t="s">
        <v>655</v>
      </c>
      <c r="B85" s="216" t="s">
        <v>657</v>
      </c>
      <c r="C85" s="64">
        <v>5827.6</v>
      </c>
      <c r="D85" s="193"/>
      <c r="H85" s="303"/>
      <c r="I85" s="303"/>
      <c r="J85" s="303"/>
      <c r="K85" s="303"/>
      <c r="L85" s="303"/>
      <c r="M85" s="303"/>
    </row>
    <row r="86" spans="1:13" ht="99" customHeight="1" x14ac:dyDescent="0.35">
      <c r="A86" s="38" t="s">
        <v>656</v>
      </c>
      <c r="B86" s="216" t="s">
        <v>658</v>
      </c>
      <c r="C86" s="64">
        <v>5827.6</v>
      </c>
      <c r="D86" s="193">
        <v>925</v>
      </c>
      <c r="H86" s="303"/>
      <c r="I86" s="303"/>
      <c r="J86" s="303"/>
      <c r="K86" s="303"/>
      <c r="L86" s="303"/>
      <c r="M86" s="303"/>
    </row>
    <row r="87" spans="1:13" ht="126" x14ac:dyDescent="0.35">
      <c r="A87" s="38" t="s">
        <v>503</v>
      </c>
      <c r="B87" s="216" t="s">
        <v>673</v>
      </c>
      <c r="C87" s="64">
        <v>36976.799999999996</v>
      </c>
      <c r="D87" s="193"/>
      <c r="H87" s="303"/>
      <c r="I87" s="303"/>
      <c r="J87" s="303"/>
      <c r="K87" s="303"/>
      <c r="L87" s="303"/>
      <c r="M87" s="303"/>
    </row>
    <row r="88" spans="1:13" ht="138" customHeight="1" x14ac:dyDescent="0.35">
      <c r="A88" s="38" t="s">
        <v>504</v>
      </c>
      <c r="B88" s="216" t="s">
        <v>672</v>
      </c>
      <c r="C88" s="64">
        <v>36976.799999999996</v>
      </c>
      <c r="D88" s="193">
        <v>925</v>
      </c>
      <c r="H88" s="303"/>
      <c r="I88" s="303"/>
      <c r="J88" s="303"/>
      <c r="K88" s="303"/>
      <c r="L88" s="303"/>
      <c r="M88" s="303"/>
    </row>
    <row r="89" spans="1:13" ht="36" x14ac:dyDescent="0.35">
      <c r="A89" s="38" t="s">
        <v>552</v>
      </c>
      <c r="B89" s="216" t="s">
        <v>551</v>
      </c>
      <c r="C89" s="422">
        <v>72489.099999999991</v>
      </c>
    </row>
    <row r="90" spans="1:13" ht="36" x14ac:dyDescent="0.35">
      <c r="A90" s="38" t="s">
        <v>553</v>
      </c>
      <c r="B90" s="216" t="s">
        <v>554</v>
      </c>
      <c r="C90" s="422">
        <v>72489.099999999991</v>
      </c>
    </row>
    <row r="91" spans="1:13" ht="18" customHeight="1" x14ac:dyDescent="0.35">
      <c r="A91" s="38" t="s">
        <v>405</v>
      </c>
      <c r="B91" s="216" t="s">
        <v>428</v>
      </c>
      <c r="C91" s="64">
        <v>68257</v>
      </c>
      <c r="D91" s="193"/>
    </row>
    <row r="92" spans="1:13" ht="72" x14ac:dyDescent="0.35">
      <c r="A92" s="80" t="s">
        <v>429</v>
      </c>
      <c r="B92" s="218" t="s">
        <v>430</v>
      </c>
      <c r="C92" s="64">
        <v>2360.3999999999996</v>
      </c>
      <c r="D92" s="193"/>
    </row>
    <row r="93" spans="1:13" ht="90" x14ac:dyDescent="0.35">
      <c r="A93" s="80" t="s">
        <v>393</v>
      </c>
      <c r="B93" s="218" t="s">
        <v>5</v>
      </c>
      <c r="C93" s="64">
        <v>2360.3999999999996</v>
      </c>
      <c r="D93" s="193"/>
    </row>
    <row r="94" spans="1:13" x14ac:dyDescent="0.35">
      <c r="A94" s="38" t="s">
        <v>676</v>
      </c>
      <c r="B94" s="216" t="s">
        <v>677</v>
      </c>
      <c r="C94" s="67">
        <v>65896.600000000006</v>
      </c>
      <c r="D94" s="193"/>
    </row>
    <row r="95" spans="1:13" ht="36" x14ac:dyDescent="0.35">
      <c r="A95" s="38" t="s">
        <v>678</v>
      </c>
      <c r="B95" s="216" t="s">
        <v>679</v>
      </c>
      <c r="C95" s="67">
        <v>65896.600000000006</v>
      </c>
      <c r="D95" s="193"/>
      <c r="E95" s="59"/>
      <c r="F95" s="59"/>
    </row>
    <row r="96" spans="1:13" ht="144" x14ac:dyDescent="0.35">
      <c r="A96" s="38"/>
      <c r="B96" s="647" t="s">
        <v>728</v>
      </c>
      <c r="C96" s="314">
        <v>15478.199999999999</v>
      </c>
      <c r="D96" s="193">
        <v>902</v>
      </c>
      <c r="E96" s="59"/>
      <c r="F96" s="59"/>
    </row>
    <row r="97" spans="1:6" ht="72" x14ac:dyDescent="0.35">
      <c r="A97" s="38"/>
      <c r="B97" s="647" t="s">
        <v>729</v>
      </c>
      <c r="C97" s="314">
        <v>14918.399999999998</v>
      </c>
      <c r="D97" s="193">
        <v>902</v>
      </c>
      <c r="E97" s="59"/>
      <c r="F97" s="59"/>
    </row>
    <row r="98" spans="1:6" ht="54" x14ac:dyDescent="0.35">
      <c r="A98" s="38"/>
      <c r="B98" s="647" t="s">
        <v>730</v>
      </c>
      <c r="C98" s="314">
        <v>35500</v>
      </c>
      <c r="D98" s="193">
        <v>925</v>
      </c>
      <c r="E98" s="59">
        <v>926</v>
      </c>
      <c r="F98" s="59">
        <v>929</v>
      </c>
    </row>
    <row r="99" spans="1:6" x14ac:dyDescent="0.35">
      <c r="A99" s="68"/>
      <c r="B99" s="109"/>
      <c r="C99" s="646"/>
      <c r="D99" s="193"/>
      <c r="E99" s="59"/>
      <c r="F99" s="59"/>
    </row>
    <row r="100" spans="1:6" x14ac:dyDescent="0.35">
      <c r="A100" s="68"/>
      <c r="B100" s="109"/>
      <c r="C100" s="646"/>
      <c r="D100" s="193"/>
      <c r="E100" s="59"/>
      <c r="F100" s="59"/>
    </row>
    <row r="101" spans="1:6" x14ac:dyDescent="0.35">
      <c r="A101" s="68"/>
      <c r="B101" s="109"/>
      <c r="C101" s="56"/>
    </row>
    <row r="102" spans="1:6" x14ac:dyDescent="0.35">
      <c r="A102" s="669" t="s">
        <v>373</v>
      </c>
      <c r="B102" s="41"/>
      <c r="C102" s="42"/>
      <c r="D102" s="57"/>
    </row>
    <row r="103" spans="1:6" x14ac:dyDescent="0.35">
      <c r="A103" s="669" t="s">
        <v>374</v>
      </c>
      <c r="B103" s="41"/>
      <c r="C103" s="42"/>
      <c r="D103" s="57"/>
    </row>
    <row r="104" spans="1:6" x14ac:dyDescent="0.35">
      <c r="A104" s="670" t="s">
        <v>375</v>
      </c>
      <c r="B104" s="41"/>
      <c r="C104" s="668" t="s">
        <v>386</v>
      </c>
      <c r="D104" s="57"/>
    </row>
    <row r="436" spans="11:12" x14ac:dyDescent="0.35">
      <c r="K436" s="34">
        <v>135.4</v>
      </c>
      <c r="L436" s="34">
        <v>140.9</v>
      </c>
    </row>
    <row r="437" spans="11:12" x14ac:dyDescent="0.35">
      <c r="K437" s="34">
        <v>27088.9</v>
      </c>
      <c r="L437" s="34">
        <v>28171.4</v>
      </c>
    </row>
  </sheetData>
  <autoFilter ref="B1:D437"/>
  <mergeCells count="1">
    <mergeCell ref="A9:C9"/>
  </mergeCells>
  <printOptions horizontalCentered="1"/>
  <pageMargins left="1.1811023622047245" right="0.39370078740157483" top="0.6692913385826772" bottom="0.39370078740157483" header="0" footer="0"/>
  <pageSetup paperSize="9" scale="72"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67"/>
  <sheetViews>
    <sheetView topLeftCell="A40" zoomScale="90" zoomScaleNormal="90" zoomScaleSheetLayoutView="80" workbookViewId="0">
      <selection activeCell="N12" sqref="N12"/>
    </sheetView>
  </sheetViews>
  <sheetFormatPr defaultColWidth="9.109375" defaultRowHeight="18" x14ac:dyDescent="0.35"/>
  <cols>
    <col min="1" max="1" width="6.109375" style="274" customWidth="1"/>
    <col min="2" max="2" width="9.109375" style="274" customWidth="1"/>
    <col min="3" max="3" width="59.88671875" style="274" customWidth="1"/>
    <col min="4" max="4" width="18.6640625" style="675" customWidth="1"/>
    <col min="5" max="5" width="15.33203125" style="274" customWidth="1"/>
    <col min="6" max="6" width="14.33203125" style="274" customWidth="1"/>
    <col min="7" max="7" width="24.44140625" style="274" hidden="1" customWidth="1"/>
    <col min="8" max="9" width="11.33203125" style="274" hidden="1" customWidth="1"/>
    <col min="10" max="16384" width="9.109375" style="274"/>
  </cols>
  <sheetData>
    <row r="1" spans="1:9" x14ac:dyDescent="0.35">
      <c r="F1" s="153" t="s">
        <v>508</v>
      </c>
    </row>
    <row r="2" spans="1:9" x14ac:dyDescent="0.35">
      <c r="F2" s="153" t="s">
        <v>788</v>
      </c>
    </row>
    <row r="3" spans="1:9" x14ac:dyDescent="0.35">
      <c r="F3" s="153"/>
    </row>
    <row r="4" spans="1:9" x14ac:dyDescent="0.35">
      <c r="A4" s="34"/>
      <c r="B4" s="34"/>
      <c r="C4" s="34"/>
      <c r="F4" s="153" t="s">
        <v>510</v>
      </c>
    </row>
    <row r="5" spans="1:9" x14ac:dyDescent="0.35">
      <c r="A5" s="34"/>
      <c r="B5" s="34"/>
      <c r="C5" s="34"/>
      <c r="F5" s="153" t="s">
        <v>654</v>
      </c>
    </row>
    <row r="8" spans="1:9" x14ac:dyDescent="0.35">
      <c r="A8" s="706" t="s">
        <v>159</v>
      </c>
      <c r="B8" s="706"/>
      <c r="C8" s="706"/>
      <c r="D8" s="706"/>
      <c r="E8" s="706"/>
      <c r="F8" s="706"/>
    </row>
    <row r="9" spans="1:9" x14ac:dyDescent="0.35">
      <c r="A9" s="706" t="s">
        <v>583</v>
      </c>
      <c r="B9" s="706"/>
      <c r="C9" s="706"/>
      <c r="D9" s="706"/>
      <c r="E9" s="706"/>
      <c r="F9" s="706"/>
    </row>
    <row r="11" spans="1:9" x14ac:dyDescent="0.35">
      <c r="F11" s="275" t="s">
        <v>22</v>
      </c>
    </row>
    <row r="12" spans="1:9" ht="22.95" customHeight="1" x14ac:dyDescent="0.35">
      <c r="A12" s="707" t="s">
        <v>160</v>
      </c>
      <c r="B12" s="709" t="s">
        <v>322</v>
      </c>
      <c r="C12" s="709" t="s">
        <v>24</v>
      </c>
      <c r="D12" s="703" t="s">
        <v>15</v>
      </c>
      <c r="E12" s="704"/>
      <c r="F12" s="705"/>
    </row>
    <row r="13" spans="1:9" x14ac:dyDescent="0.35">
      <c r="A13" s="708"/>
      <c r="B13" s="710"/>
      <c r="C13" s="710"/>
      <c r="D13" s="676" t="s">
        <v>455</v>
      </c>
      <c r="E13" s="183" t="s">
        <v>501</v>
      </c>
      <c r="F13" s="183" t="s">
        <v>582</v>
      </c>
    </row>
    <row r="14" spans="1:9" x14ac:dyDescent="0.35">
      <c r="A14" s="224">
        <v>1</v>
      </c>
      <c r="B14" s="224">
        <v>2</v>
      </c>
      <c r="C14" s="224">
        <v>3</v>
      </c>
      <c r="D14" s="677">
        <v>4</v>
      </c>
      <c r="E14" s="294">
        <v>5</v>
      </c>
      <c r="F14" s="294">
        <v>6</v>
      </c>
    </row>
    <row r="15" spans="1:9" x14ac:dyDescent="0.35">
      <c r="A15" s="243"/>
      <c r="B15" s="243"/>
      <c r="C15" s="277" t="s">
        <v>161</v>
      </c>
      <c r="D15" s="278">
        <f>D17+D24+D27+D31+D35+D42+D45+D57+D50+D60+D55</f>
        <v>2688321.9749000003</v>
      </c>
      <c r="E15" s="278">
        <f t="shared" ref="E15:F15" si="0">E17+E24+E27+E31+E35+E42+E45+E57+E50+E60+E55</f>
        <v>1958815.3</v>
      </c>
      <c r="F15" s="278">
        <f t="shared" si="0"/>
        <v>1887225.6</v>
      </c>
      <c r="G15" s="674">
        <f>D15-'прил9 (ведом 23)'!M14</f>
        <v>2.0000000018626451E-2</v>
      </c>
      <c r="H15" s="674">
        <f>E15-'прил10 (ведом 24-25)'!M16</f>
        <v>0</v>
      </c>
      <c r="I15" s="674">
        <f>F15-'прил10 (ведом 24-25)'!N16</f>
        <v>0</v>
      </c>
    </row>
    <row r="16" spans="1:9" x14ac:dyDescent="0.35">
      <c r="A16" s="243"/>
      <c r="B16" s="243"/>
      <c r="C16" s="279" t="s">
        <v>162</v>
      </c>
      <c r="D16" s="201"/>
      <c r="E16" s="289"/>
      <c r="F16" s="276"/>
    </row>
    <row r="17" spans="1:8" x14ac:dyDescent="0.35">
      <c r="A17" s="227">
        <v>1</v>
      </c>
      <c r="B17" s="280" t="s">
        <v>163</v>
      </c>
      <c r="C17" s="281" t="s">
        <v>36</v>
      </c>
      <c r="D17" s="229">
        <f>SUM(D18:D23)</f>
        <v>280568.09594999999</v>
      </c>
      <c r="E17" s="229">
        <f>SUM(E18:E23)</f>
        <v>223757.13160000002</v>
      </c>
      <c r="F17" s="229">
        <f>SUM(F18:F23)</f>
        <v>233653.23160000003</v>
      </c>
    </row>
    <row r="18" spans="1:8" ht="54" x14ac:dyDescent="0.35">
      <c r="A18" s="230"/>
      <c r="B18" s="199" t="s">
        <v>164</v>
      </c>
      <c r="C18" s="200" t="s">
        <v>165</v>
      </c>
      <c r="D18" s="201">
        <f>'прил9 (ведом 23)'!M899</f>
        <v>2536.8000000000002</v>
      </c>
      <c r="E18" s="196">
        <f>'прил10 (ведом 24-25)'!M611</f>
        <v>2612.1999999999998</v>
      </c>
      <c r="F18" s="196">
        <f>'прил10 (ведом 24-25)'!N611</f>
        <v>2612.1999999999998</v>
      </c>
    </row>
    <row r="19" spans="1:8" ht="72" x14ac:dyDescent="0.35">
      <c r="A19" s="230"/>
      <c r="B19" s="199" t="s">
        <v>166</v>
      </c>
      <c r="C19" s="200" t="s">
        <v>51</v>
      </c>
      <c r="D19" s="201">
        <f>'прил9 (ведом 23)'!M900</f>
        <v>82867.315450000009</v>
      </c>
      <c r="E19" s="196">
        <f>'прил10 (ведом 24-25)'!M612</f>
        <v>83362.000000000015</v>
      </c>
      <c r="F19" s="196">
        <f>'прил10 (ведом 24-25)'!N612</f>
        <v>83398.000000000015</v>
      </c>
    </row>
    <row r="20" spans="1:8" x14ac:dyDescent="0.35">
      <c r="A20" s="230"/>
      <c r="B20" s="199" t="s">
        <v>387</v>
      </c>
      <c r="C20" s="213" t="s">
        <v>382</v>
      </c>
      <c r="D20" s="201">
        <f>'прил9 (ведом 23)'!M901</f>
        <v>19.8</v>
      </c>
      <c r="E20" s="196">
        <f>'прил10 (ведом 24-25)'!M613</f>
        <v>20.3</v>
      </c>
      <c r="F20" s="196">
        <f>'прил10 (ведом 24-25)'!N613</f>
        <v>17.7</v>
      </c>
    </row>
    <row r="21" spans="1:8" ht="54" x14ac:dyDescent="0.35">
      <c r="A21" s="230"/>
      <c r="B21" s="199" t="s">
        <v>167</v>
      </c>
      <c r="C21" s="200" t="s">
        <v>129</v>
      </c>
      <c r="D21" s="201">
        <f>'прил9 (ведом 23)'!M902</f>
        <v>37963.306999999993</v>
      </c>
      <c r="E21" s="196">
        <f>'прил10 (ведом 24-25)'!M614</f>
        <v>37649.699999999997</v>
      </c>
      <c r="F21" s="196">
        <f>'прил10 (ведом 24-25)'!N614</f>
        <v>37650.5</v>
      </c>
    </row>
    <row r="22" spans="1:8" x14ac:dyDescent="0.35">
      <c r="A22" s="230"/>
      <c r="B22" s="199" t="s">
        <v>168</v>
      </c>
      <c r="C22" s="200" t="s">
        <v>66</v>
      </c>
      <c r="D22" s="201">
        <f>'прил9 (ведом 23)'!M903</f>
        <v>6694.3178599999956</v>
      </c>
      <c r="E22" s="196">
        <f>'прил10 (ведом 24-25)'!M615</f>
        <v>28333.8</v>
      </c>
      <c r="F22" s="196">
        <f>'прил10 (ведом 24-25)'!N615</f>
        <v>35000</v>
      </c>
    </row>
    <row r="23" spans="1:8" x14ac:dyDescent="0.35">
      <c r="A23" s="230"/>
      <c r="B23" s="199" t="s">
        <v>169</v>
      </c>
      <c r="C23" s="200" t="s">
        <v>70</v>
      </c>
      <c r="D23" s="201">
        <f>'прил9 (ведом 23)'!M904</f>
        <v>150486.55564000001</v>
      </c>
      <c r="E23" s="196">
        <f>'прил10 (ведом 24-25)'!M616</f>
        <v>71779.131600000008</v>
      </c>
      <c r="F23" s="196">
        <f>'прил10 (ведом 24-25)'!N616</f>
        <v>74974.831600000005</v>
      </c>
    </row>
    <row r="24" spans="1:8" ht="35.4" x14ac:dyDescent="0.35">
      <c r="A24" s="227">
        <v>2</v>
      </c>
      <c r="B24" s="280" t="s">
        <v>170</v>
      </c>
      <c r="C24" s="281" t="s">
        <v>78</v>
      </c>
      <c r="D24" s="229">
        <f>SUM(D25:D26)</f>
        <v>22550.347999999998</v>
      </c>
      <c r="E24" s="229">
        <f>SUM(E25:E26)</f>
        <v>14347.499999999996</v>
      </c>
      <c r="F24" s="229">
        <f>SUM(F25:F26)</f>
        <v>12720.499999999996</v>
      </c>
    </row>
    <row r="25" spans="1:8" ht="54" x14ac:dyDescent="0.35">
      <c r="A25" s="230"/>
      <c r="B25" s="199" t="s">
        <v>458</v>
      </c>
      <c r="C25" s="200" t="s">
        <v>459</v>
      </c>
      <c r="D25" s="201">
        <f>'прил9 (ведом 23)'!M907</f>
        <v>9496.6999999999989</v>
      </c>
      <c r="E25" s="196">
        <f>'прил10 (ведом 24-25)'!M619</f>
        <v>1990.3000000000002</v>
      </c>
      <c r="F25" s="196">
        <f>'прил10 (ведом 24-25)'!N619</f>
        <v>362.29999999999995</v>
      </c>
    </row>
    <row r="26" spans="1:8" ht="36" x14ac:dyDescent="0.35">
      <c r="A26" s="230"/>
      <c r="B26" s="199" t="s">
        <v>171</v>
      </c>
      <c r="C26" s="200" t="s">
        <v>87</v>
      </c>
      <c r="D26" s="201">
        <f>'прил9 (ведом 23)'!M908</f>
        <v>13053.647999999999</v>
      </c>
      <c r="E26" s="196">
        <f>'прил10 (ведом 24-25)'!M620</f>
        <v>12357.199999999997</v>
      </c>
      <c r="F26" s="196">
        <f>'прил10 (ведом 24-25)'!N620</f>
        <v>12358.199999999997</v>
      </c>
    </row>
    <row r="27" spans="1:8" x14ac:dyDescent="0.35">
      <c r="A27" s="227">
        <v>3</v>
      </c>
      <c r="B27" s="280" t="s">
        <v>172</v>
      </c>
      <c r="C27" s="281" t="s">
        <v>92</v>
      </c>
      <c r="D27" s="229">
        <f>SUM(D28:D30)</f>
        <v>95131.915599999993</v>
      </c>
      <c r="E27" s="229">
        <f>SUM(E28:E30)</f>
        <v>27573.599999999999</v>
      </c>
      <c r="F27" s="229">
        <f>SUM(F28:F30)</f>
        <v>26840.6</v>
      </c>
      <c r="H27" s="434"/>
    </row>
    <row r="28" spans="1:8" x14ac:dyDescent="0.35">
      <c r="A28" s="227"/>
      <c r="B28" s="199" t="s">
        <v>173</v>
      </c>
      <c r="C28" s="200" t="s">
        <v>93</v>
      </c>
      <c r="D28" s="201">
        <f>'прил9 (ведом 23)'!M911</f>
        <v>14369.400000000001</v>
      </c>
      <c r="E28" s="196">
        <f>'прил10 (ведом 24-25)'!M623</f>
        <v>19075.7</v>
      </c>
      <c r="F28" s="196">
        <f>'прил10 (ведом 24-25)'!N623</f>
        <v>19075.7</v>
      </c>
    </row>
    <row r="29" spans="1:8" x14ac:dyDescent="0.35">
      <c r="A29" s="230"/>
      <c r="B29" s="199" t="s">
        <v>174</v>
      </c>
      <c r="C29" s="200" t="s">
        <v>98</v>
      </c>
      <c r="D29" s="201">
        <f>'прил9 (ведом 23)'!M912</f>
        <v>12364.4156</v>
      </c>
      <c r="E29" s="196">
        <f>'прил10 (ведом 24-25)'!M624</f>
        <v>6181.8</v>
      </c>
      <c r="F29" s="196">
        <f>'прил10 (ведом 24-25)'!N624</f>
        <v>6648.8</v>
      </c>
    </row>
    <row r="30" spans="1:8" x14ac:dyDescent="0.35">
      <c r="A30" s="230"/>
      <c r="B30" s="199" t="s">
        <v>175</v>
      </c>
      <c r="C30" s="200" t="s">
        <v>106</v>
      </c>
      <c r="D30" s="201">
        <f>'прил9 (ведом 23)'!M913</f>
        <v>68398.099999999991</v>
      </c>
      <c r="E30" s="196">
        <f>'прил10 (ведом 24-25)'!M625</f>
        <v>2316.1</v>
      </c>
      <c r="F30" s="196">
        <f>'прил10 (ведом 24-25)'!N625</f>
        <v>1116.0999999999999</v>
      </c>
      <c r="G30" s="434"/>
    </row>
    <row r="31" spans="1:8" x14ac:dyDescent="0.35">
      <c r="A31" s="227">
        <v>4</v>
      </c>
      <c r="B31" s="280" t="s">
        <v>176</v>
      </c>
      <c r="C31" s="281" t="s">
        <v>177</v>
      </c>
      <c r="D31" s="229">
        <f>SUM(D32:D34)</f>
        <v>113914.6</v>
      </c>
      <c r="E31" s="229">
        <f t="shared" ref="E31:F31" si="1">SUM(E32:E34)</f>
        <v>69245.3</v>
      </c>
      <c r="F31" s="229">
        <f t="shared" si="1"/>
        <v>5773.4</v>
      </c>
    </row>
    <row r="32" spans="1:8" x14ac:dyDescent="0.35">
      <c r="A32" s="230"/>
      <c r="B32" s="199" t="s">
        <v>516</v>
      </c>
      <c r="C32" s="200" t="s">
        <v>474</v>
      </c>
      <c r="D32" s="201">
        <f>'прил9 (ведом 23)'!M916</f>
        <v>60690.600000000006</v>
      </c>
      <c r="E32" s="201">
        <f>'прил10 (ведом 24-25)'!M628</f>
        <v>0</v>
      </c>
      <c r="F32" s="201">
        <f>'прил10 (ведом 24-25)'!N628</f>
        <v>0</v>
      </c>
    </row>
    <row r="33" spans="1:6" x14ac:dyDescent="0.35">
      <c r="A33" s="227"/>
      <c r="B33" s="199" t="s">
        <v>333</v>
      </c>
      <c r="C33" s="200" t="s">
        <v>331</v>
      </c>
      <c r="D33" s="201">
        <f>'прил9 (ведом 23)'!M917</f>
        <v>46145.1</v>
      </c>
      <c r="E33" s="201">
        <f>'прил10 (ведом 24-25)'!M629</f>
        <v>63486.700000000004</v>
      </c>
      <c r="F33" s="201">
        <f>'прил10 (ведом 24-25)'!N629</f>
        <v>0</v>
      </c>
    </row>
    <row r="34" spans="1:6" x14ac:dyDescent="0.35">
      <c r="A34" s="227"/>
      <c r="B34" s="199" t="s">
        <v>624</v>
      </c>
      <c r="C34" s="579" t="s">
        <v>622</v>
      </c>
      <c r="D34" s="201">
        <f>'прил9 (ведом 23)'!M919</f>
        <v>7078.9000000000005</v>
      </c>
      <c r="E34" s="201">
        <f>'прил10 (ведом 24-25)'!M630</f>
        <v>5758.6</v>
      </c>
      <c r="F34" s="201">
        <f>'прил10 (ведом 24-25)'!N148</f>
        <v>5773.4</v>
      </c>
    </row>
    <row r="35" spans="1:6" x14ac:dyDescent="0.35">
      <c r="A35" s="227">
        <v>5</v>
      </c>
      <c r="B35" s="280" t="s">
        <v>178</v>
      </c>
      <c r="C35" s="281" t="s">
        <v>179</v>
      </c>
      <c r="D35" s="229">
        <f>SUM(D36:D41)+0.02</f>
        <v>1711545.6513000003</v>
      </c>
      <c r="E35" s="229">
        <f>SUM(E36:E41)</f>
        <v>1336307.4999999998</v>
      </c>
      <c r="F35" s="229">
        <f>SUM(F36:F41)</f>
        <v>1349950.5</v>
      </c>
    </row>
    <row r="36" spans="1:6" x14ac:dyDescent="0.35">
      <c r="A36" s="230"/>
      <c r="B36" s="199" t="s">
        <v>180</v>
      </c>
      <c r="C36" s="200" t="s">
        <v>181</v>
      </c>
      <c r="D36" s="201">
        <f>'прил9 (ведом 23)'!M922</f>
        <v>516182.57999999996</v>
      </c>
      <c r="E36" s="201">
        <f>'прил10 (ведом 24-25)'!M633</f>
        <v>386488.20000000007</v>
      </c>
      <c r="F36" s="201">
        <f>'прил10 (ведом 24-25)'!N633</f>
        <v>399716.60000000003</v>
      </c>
    </row>
    <row r="37" spans="1:6" x14ac:dyDescent="0.35">
      <c r="A37" s="230"/>
      <c r="B37" s="199" t="s">
        <v>182</v>
      </c>
      <c r="C37" s="200" t="s">
        <v>183</v>
      </c>
      <c r="D37" s="201">
        <f>'прил9 (ведом 23)'!M923</f>
        <v>935165.88830000011</v>
      </c>
      <c r="E37" s="201">
        <f>'прил10 (ведом 24-25)'!M634</f>
        <v>722307.79999999981</v>
      </c>
      <c r="F37" s="201">
        <f>'прил10 (ведом 24-25)'!N634</f>
        <v>712311.5</v>
      </c>
    </row>
    <row r="38" spans="1:6" x14ac:dyDescent="0.35">
      <c r="A38" s="230"/>
      <c r="B38" s="199" t="s">
        <v>346</v>
      </c>
      <c r="C38" s="200" t="s">
        <v>347</v>
      </c>
      <c r="D38" s="201">
        <f>'прил9 (ведом 23)'!M924</f>
        <v>159787.057</v>
      </c>
      <c r="E38" s="201">
        <f>'прил10 (ведом 24-25)'!M635</f>
        <v>130206.39999999999</v>
      </c>
      <c r="F38" s="201">
        <f>'прил10 (ведом 24-25)'!N635</f>
        <v>140861.70000000001</v>
      </c>
    </row>
    <row r="39" spans="1:6" ht="36" x14ac:dyDescent="0.35">
      <c r="A39" s="230"/>
      <c r="B39" s="199" t="s">
        <v>526</v>
      </c>
      <c r="C39" s="200" t="s">
        <v>527</v>
      </c>
      <c r="D39" s="201">
        <f>'прил9 (ведом 23)'!M925</f>
        <v>284.59299999999996</v>
      </c>
      <c r="E39" s="201">
        <f>'прил10 (ведом 24-25)'!M636</f>
        <v>190.7</v>
      </c>
      <c r="F39" s="201">
        <f>'прил10 (ведом 24-25)'!N636</f>
        <v>190.7</v>
      </c>
    </row>
    <row r="40" spans="1:6" x14ac:dyDescent="0.35">
      <c r="A40" s="227"/>
      <c r="B40" s="199" t="s">
        <v>184</v>
      </c>
      <c r="C40" s="200" t="s">
        <v>348</v>
      </c>
      <c r="D40" s="201">
        <f>'прил9 (ведом 23)'!M926</f>
        <v>5951.9699999999993</v>
      </c>
      <c r="E40" s="201">
        <f>'прил10 (ведом 24-25)'!M637</f>
        <v>3836.5</v>
      </c>
      <c r="F40" s="201">
        <f>'прил10 (ведом 24-25)'!N637</f>
        <v>3836.5</v>
      </c>
    </row>
    <row r="41" spans="1:6" x14ac:dyDescent="0.35">
      <c r="A41" s="230"/>
      <c r="B41" s="199" t="s">
        <v>185</v>
      </c>
      <c r="C41" s="200" t="s">
        <v>186</v>
      </c>
      <c r="D41" s="201">
        <f>'прил9 (ведом 23)'!M927</f>
        <v>94173.543000000005</v>
      </c>
      <c r="E41" s="201">
        <f>'прил10 (ведом 24-25)'!M638</f>
        <v>93277.900000000009</v>
      </c>
      <c r="F41" s="201">
        <f>'прил10 (ведом 24-25)'!N638</f>
        <v>93033.500000000015</v>
      </c>
    </row>
    <row r="42" spans="1:6" x14ac:dyDescent="0.35">
      <c r="A42" s="227">
        <v>6</v>
      </c>
      <c r="B42" s="280" t="s">
        <v>187</v>
      </c>
      <c r="C42" s="281" t="s">
        <v>188</v>
      </c>
      <c r="D42" s="229">
        <f>SUM(D43:D44)</f>
        <v>68054</v>
      </c>
      <c r="E42" s="229">
        <f>SUM(E43:E44)</f>
        <v>35657.800000000003</v>
      </c>
      <c r="F42" s="229">
        <f>SUM(F43:F44)</f>
        <v>35603.899999999994</v>
      </c>
    </row>
    <row r="43" spans="1:6" x14ac:dyDescent="0.35">
      <c r="A43" s="230"/>
      <c r="B43" s="199" t="s">
        <v>189</v>
      </c>
      <c r="C43" s="200" t="s">
        <v>190</v>
      </c>
      <c r="D43" s="201">
        <f>'прил9 (ведом 23)'!M930</f>
        <v>55631.999999999993</v>
      </c>
      <c r="E43" s="201">
        <f>'прил10 (ведом 24-25)'!M641</f>
        <v>24215.8</v>
      </c>
      <c r="F43" s="201">
        <f>'прил10 (ведом 24-25)'!N641</f>
        <v>24157.399999999998</v>
      </c>
    </row>
    <row r="44" spans="1:6" ht="18.75" customHeight="1" x14ac:dyDescent="0.35">
      <c r="A44" s="230"/>
      <c r="B44" s="199" t="s">
        <v>191</v>
      </c>
      <c r="C44" s="200" t="s">
        <v>192</v>
      </c>
      <c r="D44" s="201">
        <f>'прил9 (ведом 23)'!M931</f>
        <v>12422</v>
      </c>
      <c r="E44" s="196">
        <f>'прил10 (ведом 24-25)'!M642</f>
        <v>11442</v>
      </c>
      <c r="F44" s="196">
        <f>'прил10 (ведом 24-25)'!N642</f>
        <v>11446.5</v>
      </c>
    </row>
    <row r="45" spans="1:6" s="282" customFormat="1" ht="17.399999999999999" x14ac:dyDescent="0.3">
      <c r="A45" s="227">
        <v>7</v>
      </c>
      <c r="B45" s="227">
        <v>1000</v>
      </c>
      <c r="C45" s="281" t="s">
        <v>119</v>
      </c>
      <c r="D45" s="229">
        <f>SUM(D46:D49)</f>
        <v>171645.76405</v>
      </c>
      <c r="E45" s="229">
        <f>SUM(E46:E49)</f>
        <v>129641.1684</v>
      </c>
      <c r="F45" s="229">
        <f>SUM(F46:F49)</f>
        <v>131142.96840000001</v>
      </c>
    </row>
    <row r="46" spans="1:6" x14ac:dyDescent="0.35">
      <c r="A46" s="230"/>
      <c r="B46" s="230">
        <v>1001</v>
      </c>
      <c r="C46" s="200" t="s">
        <v>353</v>
      </c>
      <c r="D46" s="201">
        <f>'прил9 (ведом 23)'!M934</f>
        <v>1504.6</v>
      </c>
      <c r="E46" s="201">
        <f>'прил10 (ведом 24-25)'!M645</f>
        <v>1320</v>
      </c>
      <c r="F46" s="201">
        <f>'прил10 (ведом 24-25)'!N645</f>
        <v>1320</v>
      </c>
    </row>
    <row r="47" spans="1:6" x14ac:dyDescent="0.35">
      <c r="A47" s="230"/>
      <c r="B47" s="230">
        <v>1003</v>
      </c>
      <c r="C47" s="200" t="s">
        <v>719</v>
      </c>
      <c r="D47" s="201">
        <f>'прил9 (ведом 23)'!M935</f>
        <v>10329.68808</v>
      </c>
      <c r="E47" s="201">
        <v>0</v>
      </c>
      <c r="F47" s="201">
        <v>0</v>
      </c>
    </row>
    <row r="48" spans="1:6" x14ac:dyDescent="0.35">
      <c r="A48" s="230"/>
      <c r="B48" s="230">
        <v>1004</v>
      </c>
      <c r="C48" s="200" t="s">
        <v>193</v>
      </c>
      <c r="D48" s="201">
        <f>'прил9 (ведом 23)'!M936</f>
        <v>148342.97597</v>
      </c>
      <c r="E48" s="201">
        <f>'прил10 (ведом 24-25)'!M646</f>
        <v>118276.7684</v>
      </c>
      <c r="F48" s="201">
        <f>'прил10 (ведом 24-25)'!N646</f>
        <v>119778.5684</v>
      </c>
    </row>
    <row r="49" spans="1:8" x14ac:dyDescent="0.35">
      <c r="A49" s="230"/>
      <c r="B49" s="230">
        <v>1006</v>
      </c>
      <c r="C49" s="200" t="s">
        <v>194</v>
      </c>
      <c r="D49" s="201">
        <f>'прил9 (ведом 23)'!M937</f>
        <v>11468.5</v>
      </c>
      <c r="E49" s="201">
        <f>'прил10 (ведом 24-25)'!M647</f>
        <v>10044.400000000001</v>
      </c>
      <c r="F49" s="201">
        <f>'прил10 (ведом 24-25)'!N647</f>
        <v>10044.400000000001</v>
      </c>
    </row>
    <row r="50" spans="1:8" x14ac:dyDescent="0.35">
      <c r="A50" s="227">
        <v>8</v>
      </c>
      <c r="B50" s="283">
        <v>1100</v>
      </c>
      <c r="C50" s="277" t="s">
        <v>195</v>
      </c>
      <c r="D50" s="229">
        <f>SUM(D51:D54)</f>
        <v>151329.60000000001</v>
      </c>
      <c r="E50" s="229">
        <f>SUM(E51:E54)</f>
        <v>79997.3</v>
      </c>
      <c r="F50" s="229">
        <f>SUM(F51:F54)</f>
        <v>38624.5</v>
      </c>
    </row>
    <row r="51" spans="1:8" x14ac:dyDescent="0.35">
      <c r="A51" s="230"/>
      <c r="B51" s="284">
        <v>1101</v>
      </c>
      <c r="C51" s="285" t="s">
        <v>358</v>
      </c>
      <c r="D51" s="201">
        <f>'прил9 (ведом 23)'!M940</f>
        <v>83059.106480000002</v>
      </c>
      <c r="E51" s="201">
        <f>'прил10 (ведом 24-25)'!M650</f>
        <v>15512.600000000002</v>
      </c>
      <c r="F51" s="201">
        <f>'прил10 (ведом 24-25)'!N650</f>
        <v>3622.8</v>
      </c>
    </row>
    <row r="52" spans="1:8" x14ac:dyDescent="0.35">
      <c r="A52" s="227"/>
      <c r="B52" s="199" t="s">
        <v>196</v>
      </c>
      <c r="C52" s="232" t="s">
        <v>197</v>
      </c>
      <c r="D52" s="201">
        <f>'прил9 (ведом 23)'!M941</f>
        <v>27213.8</v>
      </c>
      <c r="E52" s="201">
        <f>'прил10 (ведом 24-25)'!M651</f>
        <v>30481.200000000001</v>
      </c>
      <c r="F52" s="201">
        <f>'прил10 (ведом 24-25)'!N651</f>
        <v>629.70000000000005</v>
      </c>
    </row>
    <row r="53" spans="1:8" x14ac:dyDescent="0.35">
      <c r="A53" s="227"/>
      <c r="B53" s="199" t="s">
        <v>693</v>
      </c>
      <c r="C53" s="232" t="s">
        <v>692</v>
      </c>
      <c r="D53" s="201">
        <f>'прил9 (ведом 23)'!M942</f>
        <v>38085.593519999995</v>
      </c>
      <c r="E53" s="201">
        <f>'прил10 (ведом 24-25)'!M652</f>
        <v>30944.799999999999</v>
      </c>
      <c r="F53" s="201">
        <f>'прил10 (ведом 24-25)'!N652</f>
        <v>31312.2</v>
      </c>
    </row>
    <row r="54" spans="1:8" ht="36" x14ac:dyDescent="0.35">
      <c r="A54" s="230"/>
      <c r="B54" s="199" t="s">
        <v>198</v>
      </c>
      <c r="C54" s="237" t="s">
        <v>199</v>
      </c>
      <c r="D54" s="201">
        <f>'прил9 (ведом 23)'!M943</f>
        <v>2971.1000000000004</v>
      </c>
      <c r="E54" s="196">
        <f>'прил10 (ведом 24-25)'!M653</f>
        <v>3058.7000000000003</v>
      </c>
      <c r="F54" s="196">
        <f>'прил10 (ведом 24-25)'!N653</f>
        <v>3059.7999999999997</v>
      </c>
    </row>
    <row r="55" spans="1:8" ht="35.4" x14ac:dyDescent="0.35">
      <c r="A55" s="227">
        <v>9</v>
      </c>
      <c r="B55" s="280" t="s">
        <v>780</v>
      </c>
      <c r="C55" s="671" t="s">
        <v>774</v>
      </c>
      <c r="D55" s="229">
        <f>D56</f>
        <v>6</v>
      </c>
      <c r="E55" s="229">
        <f t="shared" ref="E55:F55" si="2">E56</f>
        <v>0</v>
      </c>
      <c r="F55" s="229">
        <f t="shared" si="2"/>
        <v>0</v>
      </c>
    </row>
    <row r="56" spans="1:8" ht="36" x14ac:dyDescent="0.35">
      <c r="A56" s="230"/>
      <c r="B56" s="199" t="s">
        <v>781</v>
      </c>
      <c r="C56" s="237" t="s">
        <v>775</v>
      </c>
      <c r="D56" s="201">
        <f>'прил9 (ведом 23)'!M946</f>
        <v>6</v>
      </c>
      <c r="E56" s="196">
        <v>0</v>
      </c>
      <c r="F56" s="196">
        <v>0</v>
      </c>
    </row>
    <row r="57" spans="1:8" ht="52.8" x14ac:dyDescent="0.35">
      <c r="A57" s="227">
        <v>10</v>
      </c>
      <c r="B57" s="283">
        <v>1400</v>
      </c>
      <c r="C57" s="281" t="s">
        <v>200</v>
      </c>
      <c r="D57" s="286">
        <f>SUM(D58:D59)</f>
        <v>73576</v>
      </c>
      <c r="E57" s="286">
        <f t="shared" ref="E57:F57" si="3">SUM(E58:E59)</f>
        <v>7500</v>
      </c>
      <c r="F57" s="286">
        <f t="shared" si="3"/>
        <v>7500</v>
      </c>
    </row>
    <row r="58" spans="1:8" ht="54" x14ac:dyDescent="0.35">
      <c r="A58" s="287"/>
      <c r="B58" s="284">
        <v>1401</v>
      </c>
      <c r="C58" s="200" t="s">
        <v>201</v>
      </c>
      <c r="D58" s="288">
        <f>'прил9 (ведом 23)'!M949</f>
        <v>7500</v>
      </c>
      <c r="E58" s="235">
        <f>'прил10 (ведом 24-25)'!M659</f>
        <v>7500</v>
      </c>
      <c r="F58" s="235">
        <f>'прил10 (ведом 24-25)'!N659</f>
        <v>7500</v>
      </c>
    </row>
    <row r="59" spans="1:8" ht="36" x14ac:dyDescent="0.35">
      <c r="A59" s="287"/>
      <c r="B59" s="284">
        <v>1403</v>
      </c>
      <c r="C59" s="200" t="s">
        <v>665</v>
      </c>
      <c r="D59" s="288">
        <f>'прил9 (ведом 23)'!M951</f>
        <v>66076</v>
      </c>
      <c r="E59" s="235">
        <v>0</v>
      </c>
      <c r="F59" s="235">
        <v>0</v>
      </c>
    </row>
    <row r="60" spans="1:8" s="202" customFormat="1" ht="17.399999999999999" x14ac:dyDescent="0.3">
      <c r="A60" s="226">
        <v>11</v>
      </c>
      <c r="B60" s="228"/>
      <c r="C60" s="197" t="s">
        <v>360</v>
      </c>
      <c r="D60" s="233">
        <f>SUM(D61:D61)</f>
        <v>0</v>
      </c>
      <c r="E60" s="233">
        <f>SUM(E61:E61)</f>
        <v>34788</v>
      </c>
      <c r="F60" s="233">
        <f>SUM(F61:F61)</f>
        <v>45416</v>
      </c>
    </row>
    <row r="61" spans="1:8" s="202" customFormat="1" x14ac:dyDescent="0.35">
      <c r="A61" s="234"/>
      <c r="B61" s="231"/>
      <c r="C61" s="198" t="s">
        <v>360</v>
      </c>
      <c r="D61" s="235">
        <v>0</v>
      </c>
      <c r="E61" s="235">
        <f>'прил10 (ведом 24-25)'!M662</f>
        <v>34788</v>
      </c>
      <c r="F61" s="235">
        <f>'прил10 (ведом 24-25)'!N662</f>
        <v>45416</v>
      </c>
    </row>
    <row r="64" spans="1:8" s="293" customFormat="1" x14ac:dyDescent="0.35">
      <c r="A64" s="666" t="s">
        <v>373</v>
      </c>
      <c r="B64" s="290"/>
      <c r="C64" s="291"/>
      <c r="D64" s="678"/>
      <c r="E64" s="291"/>
      <c r="F64" s="291"/>
      <c r="G64" s="43"/>
      <c r="H64" s="292"/>
    </row>
    <row r="65" spans="1:8" s="293" customFormat="1" x14ac:dyDescent="0.35">
      <c r="A65" s="666" t="s">
        <v>374</v>
      </c>
      <c r="B65" s="290"/>
      <c r="C65" s="291"/>
      <c r="D65" s="678"/>
      <c r="E65" s="291"/>
      <c r="F65" s="291"/>
      <c r="G65" s="43"/>
      <c r="H65" s="292"/>
    </row>
    <row r="66" spans="1:8" s="293" customFormat="1" x14ac:dyDescent="0.35">
      <c r="A66" s="667" t="s">
        <v>375</v>
      </c>
      <c r="B66" s="290"/>
      <c r="D66" s="679"/>
      <c r="E66" s="291"/>
      <c r="F66" s="668" t="s">
        <v>386</v>
      </c>
    </row>
    <row r="67" spans="1:8" x14ac:dyDescent="0.35">
      <c r="A67" s="681"/>
    </row>
  </sheetData>
  <autoFilter ref="A1:A66"/>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671"/>
  <sheetViews>
    <sheetView zoomScale="80" zoomScaleNormal="80" zoomScaleSheetLayoutView="80" workbookViewId="0">
      <pane xSplit="1" ySplit="6" topLeftCell="B7" activePane="bottomRight" state="frozen"/>
      <selection activeCell="D47" sqref="D47"/>
      <selection pane="topRight" activeCell="D47" sqref="D47"/>
      <selection pane="bottomLeft" activeCell="D47" sqref="D47"/>
      <selection pane="bottomRight" activeCell="L8" sqref="L8"/>
    </sheetView>
  </sheetViews>
  <sheetFormatPr defaultColWidth="9.109375" defaultRowHeight="15.6" x14ac:dyDescent="0.3"/>
  <cols>
    <col min="1" max="1" width="4.5546875" style="319" customWidth="1"/>
    <col min="2" max="2" width="62.44140625" style="391" customWidth="1"/>
    <col min="3" max="3" width="3.109375" style="392" customWidth="1"/>
    <col min="4" max="4" width="2" style="392" customWidth="1"/>
    <col min="5" max="5" width="3.109375" style="392" customWidth="1"/>
    <col min="6" max="6" width="8.6640625" style="392" customWidth="1"/>
    <col min="7" max="7" width="5.5546875" style="390" customWidth="1"/>
    <col min="8" max="8" width="15.6640625" style="320" customWidth="1"/>
    <col min="9" max="9" width="9.109375" style="45"/>
    <col min="10" max="10" width="17.6640625" style="45" hidden="1" customWidth="1"/>
    <col min="11" max="14" width="9.109375" style="45"/>
    <col min="15" max="15" width="58.6640625" style="45" customWidth="1"/>
    <col min="16" max="16384" width="9.109375" style="45"/>
  </cols>
  <sheetData>
    <row r="1" spans="1:12" ht="18" x14ac:dyDescent="0.35">
      <c r="H1" s="153" t="s">
        <v>509</v>
      </c>
    </row>
    <row r="2" spans="1:12" ht="18" x14ac:dyDescent="0.35">
      <c r="H2" s="153" t="s">
        <v>788</v>
      </c>
    </row>
    <row r="3" spans="1:12" ht="18" x14ac:dyDescent="0.35">
      <c r="H3" s="153"/>
    </row>
    <row r="4" spans="1:12" s="35" customFormat="1" ht="18" x14ac:dyDescent="0.35">
      <c r="H4" s="153" t="s">
        <v>511</v>
      </c>
      <c r="K4" s="39"/>
      <c r="L4" s="607"/>
    </row>
    <row r="5" spans="1:12" s="35" customFormat="1" ht="18" x14ac:dyDescent="0.35">
      <c r="H5" s="153" t="s">
        <v>654</v>
      </c>
      <c r="K5" s="39"/>
      <c r="L5" s="608"/>
    </row>
    <row r="8" spans="1:12" ht="72" customHeight="1" x14ac:dyDescent="0.3">
      <c r="A8" s="711" t="s">
        <v>584</v>
      </c>
      <c r="B8" s="711"/>
      <c r="C8" s="711"/>
      <c r="D8" s="711"/>
      <c r="E8" s="711"/>
      <c r="F8" s="711"/>
      <c r="G8" s="711"/>
      <c r="H8" s="711"/>
    </row>
    <row r="9" spans="1:12" x14ac:dyDescent="0.3">
      <c r="A9" s="45"/>
      <c r="B9" s="45"/>
      <c r="C9" s="319"/>
      <c r="D9" s="319"/>
      <c r="E9" s="319"/>
      <c r="F9" s="319"/>
      <c r="G9" s="320"/>
    </row>
    <row r="10" spans="1:12" ht="18" x14ac:dyDescent="0.35">
      <c r="A10" s="321"/>
      <c r="B10" s="41"/>
      <c r="C10" s="42"/>
      <c r="D10" s="42"/>
      <c r="E10" s="42"/>
      <c r="F10" s="42"/>
      <c r="G10" s="45"/>
      <c r="H10" s="394" t="s">
        <v>22</v>
      </c>
    </row>
    <row r="11" spans="1:12" ht="37.200000000000003" customHeight="1" x14ac:dyDescent="0.3">
      <c r="A11" s="686" t="s">
        <v>23</v>
      </c>
      <c r="B11" s="687" t="s">
        <v>24</v>
      </c>
      <c r="C11" s="712" t="s">
        <v>28</v>
      </c>
      <c r="D11" s="713"/>
      <c r="E11" s="713"/>
      <c r="F11" s="714"/>
      <c r="G11" s="687" t="s">
        <v>29</v>
      </c>
      <c r="H11" s="395" t="s">
        <v>15</v>
      </c>
    </row>
    <row r="12" spans="1:12" ht="18" x14ac:dyDescent="0.35">
      <c r="A12" s="224">
        <v>1</v>
      </c>
      <c r="B12" s="324">
        <v>2</v>
      </c>
      <c r="C12" s="715" t="s">
        <v>30</v>
      </c>
      <c r="D12" s="716"/>
      <c r="E12" s="716"/>
      <c r="F12" s="717"/>
      <c r="G12" s="236" t="s">
        <v>31</v>
      </c>
      <c r="H12" s="225">
        <v>5</v>
      </c>
    </row>
    <row r="13" spans="1:12" ht="19.5" customHeight="1" x14ac:dyDescent="0.35">
      <c r="A13" s="325"/>
      <c r="B13" s="326" t="s">
        <v>202</v>
      </c>
      <c r="C13" s="327"/>
      <c r="D13" s="327"/>
      <c r="E13" s="327"/>
      <c r="F13" s="327"/>
      <c r="G13" s="328"/>
      <c r="H13" s="329">
        <f>H14+H160+H223+H274+H299+H338+H364+H403+H467+H476+H482+H492+H502+H508+H569+H644+H444+H580+0.01</f>
        <v>2688321.9548999998</v>
      </c>
      <c r="J13" s="396">
        <f>H13-'прил9 (ведом 23)'!M14</f>
        <v>0</v>
      </c>
    </row>
    <row r="14" spans="1:12" s="335" customFormat="1" ht="52.2" x14ac:dyDescent="0.3">
      <c r="A14" s="331">
        <v>1</v>
      </c>
      <c r="B14" s="491" t="s">
        <v>205</v>
      </c>
      <c r="C14" s="332" t="s">
        <v>39</v>
      </c>
      <c r="D14" s="332" t="s">
        <v>42</v>
      </c>
      <c r="E14" s="332" t="s">
        <v>43</v>
      </c>
      <c r="F14" s="333" t="s">
        <v>44</v>
      </c>
      <c r="G14" s="334"/>
      <c r="H14" s="252">
        <f>H15+H96+H124</f>
        <v>1630166.5583000001</v>
      </c>
    </row>
    <row r="15" spans="1:12" ht="18" x14ac:dyDescent="0.35">
      <c r="A15" s="325"/>
      <c r="B15" s="492" t="s">
        <v>206</v>
      </c>
      <c r="C15" s="683" t="s">
        <v>39</v>
      </c>
      <c r="D15" s="683" t="s">
        <v>45</v>
      </c>
      <c r="E15" s="683" t="s">
        <v>43</v>
      </c>
      <c r="F15" s="684" t="s">
        <v>44</v>
      </c>
      <c r="G15" s="236"/>
      <c r="H15" s="215">
        <f>H16+H41+H90</f>
        <v>1454714.6683</v>
      </c>
    </row>
    <row r="16" spans="1:12" ht="18" x14ac:dyDescent="0.35">
      <c r="A16" s="325"/>
      <c r="B16" s="492" t="s">
        <v>266</v>
      </c>
      <c r="C16" s="206" t="s">
        <v>39</v>
      </c>
      <c r="D16" s="207" t="s">
        <v>45</v>
      </c>
      <c r="E16" s="207" t="s">
        <v>37</v>
      </c>
      <c r="F16" s="208" t="s">
        <v>44</v>
      </c>
      <c r="G16" s="236"/>
      <c r="H16" s="215">
        <f>H26+H29+H31+H17+H21+H23+H19+H35+H37+H33+H39</f>
        <v>521770.98</v>
      </c>
    </row>
    <row r="17" spans="1:8" ht="36" x14ac:dyDescent="0.35">
      <c r="A17" s="325"/>
      <c r="B17" s="492" t="s">
        <v>461</v>
      </c>
      <c r="C17" s="206" t="s">
        <v>39</v>
      </c>
      <c r="D17" s="207" t="s">
        <v>45</v>
      </c>
      <c r="E17" s="207" t="s">
        <v>37</v>
      </c>
      <c r="F17" s="208" t="s">
        <v>91</v>
      </c>
      <c r="G17" s="28"/>
      <c r="H17" s="215">
        <f>H18</f>
        <v>108810.39999999998</v>
      </c>
    </row>
    <row r="18" spans="1:8" ht="36" x14ac:dyDescent="0.35">
      <c r="A18" s="325"/>
      <c r="B18" s="492" t="s">
        <v>76</v>
      </c>
      <c r="C18" s="206" t="s">
        <v>39</v>
      </c>
      <c r="D18" s="207" t="s">
        <v>45</v>
      </c>
      <c r="E18" s="207" t="s">
        <v>37</v>
      </c>
      <c r="F18" s="208" t="s">
        <v>91</v>
      </c>
      <c r="G18" s="28" t="s">
        <v>77</v>
      </c>
      <c r="H18" s="215">
        <f>'прил9 (ведом 23)'!M491</f>
        <v>108810.39999999998</v>
      </c>
    </row>
    <row r="19" spans="1:8" ht="18" x14ac:dyDescent="0.35">
      <c r="A19" s="325"/>
      <c r="B19" s="493" t="s">
        <v>462</v>
      </c>
      <c r="C19" s="206" t="s">
        <v>39</v>
      </c>
      <c r="D19" s="207" t="s">
        <v>45</v>
      </c>
      <c r="E19" s="207" t="s">
        <v>37</v>
      </c>
      <c r="F19" s="208" t="s">
        <v>379</v>
      </c>
      <c r="G19" s="28"/>
      <c r="H19" s="215">
        <f>H20</f>
        <v>15471.299999999997</v>
      </c>
    </row>
    <row r="20" spans="1:8" ht="36" x14ac:dyDescent="0.35">
      <c r="A20" s="325"/>
      <c r="B20" s="493" t="s">
        <v>76</v>
      </c>
      <c r="C20" s="206" t="s">
        <v>39</v>
      </c>
      <c r="D20" s="207" t="s">
        <v>45</v>
      </c>
      <c r="E20" s="207" t="s">
        <v>37</v>
      </c>
      <c r="F20" s="208" t="s">
        <v>379</v>
      </c>
      <c r="G20" s="28" t="s">
        <v>77</v>
      </c>
      <c r="H20" s="215">
        <f>'прил9 (ведом 23)'!M493</f>
        <v>15471.299999999997</v>
      </c>
    </row>
    <row r="21" spans="1:8" ht="36" x14ac:dyDescent="0.35">
      <c r="A21" s="325"/>
      <c r="B21" s="493" t="s">
        <v>207</v>
      </c>
      <c r="C21" s="206" t="s">
        <v>39</v>
      </c>
      <c r="D21" s="207" t="s">
        <v>45</v>
      </c>
      <c r="E21" s="207" t="s">
        <v>37</v>
      </c>
      <c r="F21" s="208" t="s">
        <v>272</v>
      </c>
      <c r="G21" s="28"/>
      <c r="H21" s="215">
        <f>H22</f>
        <v>31159.599999999999</v>
      </c>
    </row>
    <row r="22" spans="1:8" ht="36" x14ac:dyDescent="0.35">
      <c r="A22" s="325"/>
      <c r="B22" s="493" t="s">
        <v>76</v>
      </c>
      <c r="C22" s="206" t="s">
        <v>39</v>
      </c>
      <c r="D22" s="207" t="s">
        <v>45</v>
      </c>
      <c r="E22" s="207" t="s">
        <v>37</v>
      </c>
      <c r="F22" s="208" t="s">
        <v>272</v>
      </c>
      <c r="G22" s="28" t="s">
        <v>77</v>
      </c>
      <c r="H22" s="215">
        <f>'прил9 (ведом 23)'!M495</f>
        <v>31159.599999999999</v>
      </c>
    </row>
    <row r="23" spans="1:8" ht="36" x14ac:dyDescent="0.35">
      <c r="A23" s="325"/>
      <c r="B23" s="493" t="s">
        <v>208</v>
      </c>
      <c r="C23" s="206" t="s">
        <v>39</v>
      </c>
      <c r="D23" s="207" t="s">
        <v>45</v>
      </c>
      <c r="E23" s="207" t="s">
        <v>37</v>
      </c>
      <c r="F23" s="208" t="s">
        <v>273</v>
      </c>
      <c r="G23" s="28"/>
      <c r="H23" s="215">
        <f>H24+H25</f>
        <v>3894.2799999999997</v>
      </c>
    </row>
    <row r="24" spans="1:8" ht="36" x14ac:dyDescent="0.35">
      <c r="A24" s="325"/>
      <c r="B24" s="494" t="s">
        <v>203</v>
      </c>
      <c r="C24" s="206" t="s">
        <v>39</v>
      </c>
      <c r="D24" s="207" t="s">
        <v>45</v>
      </c>
      <c r="E24" s="207" t="s">
        <v>37</v>
      </c>
      <c r="F24" s="208" t="s">
        <v>273</v>
      </c>
      <c r="G24" s="28" t="s">
        <v>204</v>
      </c>
      <c r="H24" s="215">
        <f>'прил9 (ведом 23)'!M437</f>
        <v>2595.88</v>
      </c>
    </row>
    <row r="25" spans="1:8" ht="50.25" customHeight="1" x14ac:dyDescent="0.35">
      <c r="A25" s="325"/>
      <c r="B25" s="493" t="s">
        <v>76</v>
      </c>
      <c r="C25" s="206" t="s">
        <v>39</v>
      </c>
      <c r="D25" s="207" t="s">
        <v>45</v>
      </c>
      <c r="E25" s="207" t="s">
        <v>37</v>
      </c>
      <c r="F25" s="208" t="s">
        <v>273</v>
      </c>
      <c r="G25" s="28" t="s">
        <v>77</v>
      </c>
      <c r="H25" s="209">
        <f>'прил9 (ведом 23)'!M497</f>
        <v>1298.3999999999999</v>
      </c>
    </row>
    <row r="26" spans="1:8" ht="120" customHeight="1" x14ac:dyDescent="0.35">
      <c r="A26" s="325"/>
      <c r="B26" s="492" t="s">
        <v>282</v>
      </c>
      <c r="C26" s="206" t="s">
        <v>39</v>
      </c>
      <c r="D26" s="207" t="s">
        <v>45</v>
      </c>
      <c r="E26" s="207" t="s">
        <v>37</v>
      </c>
      <c r="F26" s="208" t="s">
        <v>283</v>
      </c>
      <c r="G26" s="28"/>
      <c r="H26" s="215">
        <f>SUM(H27:H28)</f>
        <v>6685.2</v>
      </c>
    </row>
    <row r="27" spans="1:8" ht="36" x14ac:dyDescent="0.35">
      <c r="A27" s="325"/>
      <c r="B27" s="492" t="s">
        <v>55</v>
      </c>
      <c r="C27" s="206" t="s">
        <v>39</v>
      </c>
      <c r="D27" s="207" t="s">
        <v>45</v>
      </c>
      <c r="E27" s="207" t="s">
        <v>37</v>
      </c>
      <c r="F27" s="208" t="s">
        <v>283</v>
      </c>
      <c r="G27" s="28" t="s">
        <v>56</v>
      </c>
      <c r="H27" s="215">
        <f>'прил9 (ведом 23)'!M661</f>
        <v>98.7</v>
      </c>
    </row>
    <row r="28" spans="1:8" ht="18" x14ac:dyDescent="0.35">
      <c r="A28" s="325"/>
      <c r="B28" s="495" t="s">
        <v>120</v>
      </c>
      <c r="C28" s="206" t="s">
        <v>39</v>
      </c>
      <c r="D28" s="207" t="s">
        <v>45</v>
      </c>
      <c r="E28" s="207" t="s">
        <v>37</v>
      </c>
      <c r="F28" s="208" t="s">
        <v>283</v>
      </c>
      <c r="G28" s="28" t="s">
        <v>121</v>
      </c>
      <c r="H28" s="215">
        <f>'прил9 (ведом 23)'!M662</f>
        <v>6586.5</v>
      </c>
    </row>
    <row r="29" spans="1:8" ht="162" x14ac:dyDescent="0.35">
      <c r="A29" s="325"/>
      <c r="B29" s="492" t="s">
        <v>267</v>
      </c>
      <c r="C29" s="206" t="s">
        <v>39</v>
      </c>
      <c r="D29" s="207" t="s">
        <v>45</v>
      </c>
      <c r="E29" s="207" t="s">
        <v>37</v>
      </c>
      <c r="F29" s="208" t="s">
        <v>268</v>
      </c>
      <c r="G29" s="28"/>
      <c r="H29" s="215">
        <f>H30</f>
        <v>580.4</v>
      </c>
    </row>
    <row r="30" spans="1:8" ht="36" x14ac:dyDescent="0.35">
      <c r="A30" s="325"/>
      <c r="B30" s="492" t="s">
        <v>76</v>
      </c>
      <c r="C30" s="206" t="s">
        <v>39</v>
      </c>
      <c r="D30" s="207" t="s">
        <v>45</v>
      </c>
      <c r="E30" s="207" t="s">
        <v>37</v>
      </c>
      <c r="F30" s="208" t="s">
        <v>268</v>
      </c>
      <c r="G30" s="28" t="s">
        <v>77</v>
      </c>
      <c r="H30" s="215">
        <f>'прил9 (ведом 23)'!M499</f>
        <v>580.4</v>
      </c>
    </row>
    <row r="31" spans="1:8" ht="90" x14ac:dyDescent="0.35">
      <c r="A31" s="325"/>
      <c r="B31" s="492" t="s">
        <v>343</v>
      </c>
      <c r="C31" s="206" t="s">
        <v>39</v>
      </c>
      <c r="D31" s="207" t="s">
        <v>45</v>
      </c>
      <c r="E31" s="207" t="s">
        <v>37</v>
      </c>
      <c r="F31" s="208" t="s">
        <v>269</v>
      </c>
      <c r="G31" s="28"/>
      <c r="H31" s="215">
        <f>H32</f>
        <v>254748.69999999998</v>
      </c>
    </row>
    <row r="32" spans="1:8" ht="36" x14ac:dyDescent="0.35">
      <c r="A32" s="325"/>
      <c r="B32" s="495" t="s">
        <v>76</v>
      </c>
      <c r="C32" s="206" t="s">
        <v>39</v>
      </c>
      <c r="D32" s="207" t="s">
        <v>45</v>
      </c>
      <c r="E32" s="207" t="s">
        <v>37</v>
      </c>
      <c r="F32" s="208" t="s">
        <v>269</v>
      </c>
      <c r="G32" s="28" t="s">
        <v>77</v>
      </c>
      <c r="H32" s="215">
        <f>'прил9 (ведом 23)'!M501</f>
        <v>254748.69999999998</v>
      </c>
    </row>
    <row r="33" spans="1:8" ht="54" x14ac:dyDescent="0.35">
      <c r="A33" s="325"/>
      <c r="B33" s="579" t="s">
        <v>681</v>
      </c>
      <c r="C33" s="689" t="s">
        <v>39</v>
      </c>
      <c r="D33" s="690" t="s">
        <v>45</v>
      </c>
      <c r="E33" s="690" t="s">
        <v>37</v>
      </c>
      <c r="F33" s="691" t="s">
        <v>680</v>
      </c>
      <c r="G33" s="10"/>
      <c r="H33" s="215">
        <f>H34</f>
        <v>4901.7</v>
      </c>
    </row>
    <row r="34" spans="1:8" ht="36" x14ac:dyDescent="0.35">
      <c r="A34" s="325"/>
      <c r="B34" s="579" t="s">
        <v>76</v>
      </c>
      <c r="C34" s="689" t="s">
        <v>39</v>
      </c>
      <c r="D34" s="690" t="s">
        <v>45</v>
      </c>
      <c r="E34" s="690" t="s">
        <v>37</v>
      </c>
      <c r="F34" s="691" t="s">
        <v>680</v>
      </c>
      <c r="G34" s="10" t="s">
        <v>77</v>
      </c>
      <c r="H34" s="215">
        <f>'прил9 (ведом 23)'!M503</f>
        <v>4901.7</v>
      </c>
    </row>
    <row r="35" spans="1:8" ht="108" x14ac:dyDescent="0.35">
      <c r="A35" s="325"/>
      <c r="B35" s="494" t="s">
        <v>500</v>
      </c>
      <c r="C35" s="206" t="s">
        <v>39</v>
      </c>
      <c r="D35" s="207" t="s">
        <v>45</v>
      </c>
      <c r="E35" s="207" t="s">
        <v>37</v>
      </c>
      <c r="F35" s="208" t="s">
        <v>499</v>
      </c>
      <c r="G35" s="28"/>
      <c r="H35" s="215">
        <f>H36</f>
        <v>85084.400000000009</v>
      </c>
    </row>
    <row r="36" spans="1:8" ht="36" x14ac:dyDescent="0.35">
      <c r="A36" s="325"/>
      <c r="B36" s="494" t="s">
        <v>203</v>
      </c>
      <c r="C36" s="206" t="s">
        <v>39</v>
      </c>
      <c r="D36" s="207" t="s">
        <v>45</v>
      </c>
      <c r="E36" s="207" t="s">
        <v>37</v>
      </c>
      <c r="F36" s="208" t="s">
        <v>499</v>
      </c>
      <c r="G36" s="28" t="s">
        <v>204</v>
      </c>
      <c r="H36" s="215">
        <f>'прил9 (ведом 23)'!M439</f>
        <v>85084.400000000009</v>
      </c>
    </row>
    <row r="37" spans="1:8" ht="162" x14ac:dyDescent="0.35">
      <c r="A37" s="325"/>
      <c r="B37" s="496" t="s">
        <v>548</v>
      </c>
      <c r="C37" s="689" t="s">
        <v>39</v>
      </c>
      <c r="D37" s="690" t="s">
        <v>45</v>
      </c>
      <c r="E37" s="690" t="s">
        <v>37</v>
      </c>
      <c r="F37" s="691" t="s">
        <v>549</v>
      </c>
      <c r="G37" s="10"/>
      <c r="H37" s="215">
        <f>H38</f>
        <v>1469.3</v>
      </c>
    </row>
    <row r="38" spans="1:8" ht="36" x14ac:dyDescent="0.35">
      <c r="A38" s="325"/>
      <c r="B38" s="496" t="s">
        <v>76</v>
      </c>
      <c r="C38" s="689" t="s">
        <v>39</v>
      </c>
      <c r="D38" s="690" t="s">
        <v>45</v>
      </c>
      <c r="E38" s="690" t="s">
        <v>37</v>
      </c>
      <c r="F38" s="691" t="s">
        <v>549</v>
      </c>
      <c r="G38" s="10" t="s">
        <v>77</v>
      </c>
      <c r="H38" s="215">
        <f>'прил9 (ведом 23)'!M505</f>
        <v>1469.3</v>
      </c>
    </row>
    <row r="39" spans="1:8" ht="144" x14ac:dyDescent="0.35">
      <c r="A39" s="325"/>
      <c r="B39" s="496" t="s">
        <v>738</v>
      </c>
      <c r="C39" s="689" t="s">
        <v>39</v>
      </c>
      <c r="D39" s="690" t="s">
        <v>45</v>
      </c>
      <c r="E39" s="690" t="s">
        <v>37</v>
      </c>
      <c r="F39" s="691" t="s">
        <v>737</v>
      </c>
      <c r="G39" s="10"/>
      <c r="H39" s="215">
        <f>H40</f>
        <v>8965.7000000000007</v>
      </c>
    </row>
    <row r="40" spans="1:8" ht="36" x14ac:dyDescent="0.35">
      <c r="A40" s="325"/>
      <c r="B40" s="496" t="s">
        <v>76</v>
      </c>
      <c r="C40" s="689" t="s">
        <v>39</v>
      </c>
      <c r="D40" s="690" t="s">
        <v>45</v>
      </c>
      <c r="E40" s="690" t="s">
        <v>37</v>
      </c>
      <c r="F40" s="691" t="s">
        <v>737</v>
      </c>
      <c r="G40" s="10" t="s">
        <v>77</v>
      </c>
      <c r="H40" s="215">
        <f>'прил9 (ведом 23)'!M507</f>
        <v>8965.7000000000007</v>
      </c>
    </row>
    <row r="41" spans="1:8" ht="18" x14ac:dyDescent="0.35">
      <c r="A41" s="325"/>
      <c r="B41" s="492" t="s">
        <v>271</v>
      </c>
      <c r="C41" s="206" t="s">
        <v>39</v>
      </c>
      <c r="D41" s="207" t="s">
        <v>45</v>
      </c>
      <c r="E41" s="207" t="s">
        <v>39</v>
      </c>
      <c r="F41" s="208" t="s">
        <v>44</v>
      </c>
      <c r="G41" s="28"/>
      <c r="H41" s="215">
        <f>H50+H53+H63+H67+H71+H42+H47+H79+H60+H58+H76+H86+H84+H82+H74</f>
        <v>927019.18830000015</v>
      </c>
    </row>
    <row r="42" spans="1:8" ht="36" x14ac:dyDescent="0.35">
      <c r="A42" s="325"/>
      <c r="B42" s="492" t="s">
        <v>461</v>
      </c>
      <c r="C42" s="206" t="s">
        <v>39</v>
      </c>
      <c r="D42" s="207" t="s">
        <v>45</v>
      </c>
      <c r="E42" s="207" t="s">
        <v>39</v>
      </c>
      <c r="F42" s="208" t="s">
        <v>91</v>
      </c>
      <c r="G42" s="28"/>
      <c r="H42" s="215">
        <f>SUM(H43:H46)</f>
        <v>84435.939999999988</v>
      </c>
    </row>
    <row r="43" spans="1:8" ht="90" x14ac:dyDescent="0.35">
      <c r="A43" s="325"/>
      <c r="B43" s="493" t="s">
        <v>49</v>
      </c>
      <c r="C43" s="206" t="s">
        <v>39</v>
      </c>
      <c r="D43" s="207" t="s">
        <v>45</v>
      </c>
      <c r="E43" s="207" t="s">
        <v>39</v>
      </c>
      <c r="F43" s="208" t="s">
        <v>91</v>
      </c>
      <c r="G43" s="28" t="s">
        <v>50</v>
      </c>
      <c r="H43" s="215">
        <f>'прил9 (ведом 23)'!M522</f>
        <v>361.1</v>
      </c>
    </row>
    <row r="44" spans="1:8" ht="36" x14ac:dyDescent="0.35">
      <c r="A44" s="325"/>
      <c r="B44" s="493" t="s">
        <v>55</v>
      </c>
      <c r="C44" s="206" t="s">
        <v>39</v>
      </c>
      <c r="D44" s="207" t="s">
        <v>45</v>
      </c>
      <c r="E44" s="207" t="s">
        <v>39</v>
      </c>
      <c r="F44" s="208" t="s">
        <v>91</v>
      </c>
      <c r="G44" s="28" t="s">
        <v>56</v>
      </c>
      <c r="H44" s="215">
        <f>'прил9 (ведом 23)'!M523</f>
        <v>8812.84</v>
      </c>
    </row>
    <row r="45" spans="1:8" ht="36" x14ac:dyDescent="0.35">
      <c r="A45" s="325"/>
      <c r="B45" s="492" t="s">
        <v>76</v>
      </c>
      <c r="C45" s="206" t="s">
        <v>39</v>
      </c>
      <c r="D45" s="207" t="s">
        <v>45</v>
      </c>
      <c r="E45" s="207" t="s">
        <v>39</v>
      </c>
      <c r="F45" s="208" t="s">
        <v>91</v>
      </c>
      <c r="G45" s="28" t="s">
        <v>77</v>
      </c>
      <c r="H45" s="215">
        <f>'прил9 (ведом 23)'!M524</f>
        <v>74763.499999999985</v>
      </c>
    </row>
    <row r="46" spans="1:8" ht="18" x14ac:dyDescent="0.35">
      <c r="A46" s="325"/>
      <c r="B46" s="492" t="s">
        <v>57</v>
      </c>
      <c r="C46" s="206" t="s">
        <v>39</v>
      </c>
      <c r="D46" s="207" t="s">
        <v>45</v>
      </c>
      <c r="E46" s="207" t="s">
        <v>39</v>
      </c>
      <c r="F46" s="208" t="s">
        <v>91</v>
      </c>
      <c r="G46" s="28" t="s">
        <v>58</v>
      </c>
      <c r="H46" s="215">
        <f>'прил9 (ведом 23)'!M525</f>
        <v>498.5</v>
      </c>
    </row>
    <row r="47" spans="1:8" ht="18" x14ac:dyDescent="0.35">
      <c r="A47" s="325"/>
      <c r="B47" s="493" t="s">
        <v>462</v>
      </c>
      <c r="C47" s="206" t="s">
        <v>39</v>
      </c>
      <c r="D47" s="207" t="s">
        <v>45</v>
      </c>
      <c r="E47" s="207" t="s">
        <v>39</v>
      </c>
      <c r="F47" s="208" t="s">
        <v>379</v>
      </c>
      <c r="G47" s="28"/>
      <c r="H47" s="215">
        <f>SUM(H48:H49)</f>
        <v>23390.248299999996</v>
      </c>
    </row>
    <row r="48" spans="1:8" ht="36" x14ac:dyDescent="0.35">
      <c r="A48" s="325"/>
      <c r="B48" s="493" t="s">
        <v>55</v>
      </c>
      <c r="C48" s="206" t="s">
        <v>39</v>
      </c>
      <c r="D48" s="207" t="s">
        <v>45</v>
      </c>
      <c r="E48" s="207" t="s">
        <v>39</v>
      </c>
      <c r="F48" s="208" t="s">
        <v>379</v>
      </c>
      <c r="G48" s="28" t="s">
        <v>56</v>
      </c>
      <c r="H48" s="215">
        <f>'прил9 (ведом 23)'!M527</f>
        <v>4677.8733000000002</v>
      </c>
    </row>
    <row r="49" spans="1:8" ht="36" x14ac:dyDescent="0.35">
      <c r="A49" s="325"/>
      <c r="B49" s="492" t="s">
        <v>76</v>
      </c>
      <c r="C49" s="206" t="s">
        <v>39</v>
      </c>
      <c r="D49" s="207" t="s">
        <v>45</v>
      </c>
      <c r="E49" s="207" t="s">
        <v>39</v>
      </c>
      <c r="F49" s="208" t="s">
        <v>379</v>
      </c>
      <c r="G49" s="28" t="s">
        <v>77</v>
      </c>
      <c r="H49" s="215">
        <f>'прил9 (ведом 23)'!M528</f>
        <v>18712.374999999996</v>
      </c>
    </row>
    <row r="50" spans="1:8" ht="36" x14ac:dyDescent="0.35">
      <c r="A50" s="325"/>
      <c r="B50" s="492" t="s">
        <v>207</v>
      </c>
      <c r="C50" s="206" t="s">
        <v>39</v>
      </c>
      <c r="D50" s="207" t="s">
        <v>45</v>
      </c>
      <c r="E50" s="207" t="s">
        <v>39</v>
      </c>
      <c r="F50" s="208" t="s">
        <v>272</v>
      </c>
      <c r="G50" s="28"/>
      <c r="H50" s="215">
        <f>SUM(H51:H52)</f>
        <v>31093.599999999999</v>
      </c>
    </row>
    <row r="51" spans="1:8" ht="36" x14ac:dyDescent="0.35">
      <c r="A51" s="325"/>
      <c r="B51" s="493" t="s">
        <v>55</v>
      </c>
      <c r="C51" s="206" t="s">
        <v>39</v>
      </c>
      <c r="D51" s="207" t="s">
        <v>45</v>
      </c>
      <c r="E51" s="207" t="s">
        <v>39</v>
      </c>
      <c r="F51" s="208" t="s">
        <v>272</v>
      </c>
      <c r="G51" s="28" t="s">
        <v>56</v>
      </c>
      <c r="H51" s="215">
        <f>'прил9 (ведом 23)'!M530</f>
        <v>4381.8999999999996</v>
      </c>
    </row>
    <row r="52" spans="1:8" ht="36" x14ac:dyDescent="0.35">
      <c r="A52" s="325"/>
      <c r="B52" s="492" t="s">
        <v>76</v>
      </c>
      <c r="C52" s="206" t="s">
        <v>39</v>
      </c>
      <c r="D52" s="207" t="s">
        <v>45</v>
      </c>
      <c r="E52" s="207" t="s">
        <v>39</v>
      </c>
      <c r="F52" s="208" t="s">
        <v>272</v>
      </c>
      <c r="G52" s="28" t="s">
        <v>77</v>
      </c>
      <c r="H52" s="215">
        <f>'прил9 (ведом 23)'!M531</f>
        <v>26711.699999999997</v>
      </c>
    </row>
    <row r="53" spans="1:8" ht="36" x14ac:dyDescent="0.35">
      <c r="A53" s="325"/>
      <c r="B53" s="492" t="s">
        <v>208</v>
      </c>
      <c r="C53" s="206" t="s">
        <v>39</v>
      </c>
      <c r="D53" s="207" t="s">
        <v>45</v>
      </c>
      <c r="E53" s="207" t="s">
        <v>39</v>
      </c>
      <c r="F53" s="208" t="s">
        <v>273</v>
      </c>
      <c r="G53" s="28"/>
      <c r="H53" s="215">
        <f>SUM(H54:H57)</f>
        <v>69016.2</v>
      </c>
    </row>
    <row r="54" spans="1:8" ht="90" x14ac:dyDescent="0.35">
      <c r="A54" s="325"/>
      <c r="B54" s="496" t="s">
        <v>49</v>
      </c>
      <c r="C54" s="206" t="s">
        <v>39</v>
      </c>
      <c r="D54" s="207" t="s">
        <v>45</v>
      </c>
      <c r="E54" s="207" t="s">
        <v>39</v>
      </c>
      <c r="F54" s="208" t="s">
        <v>273</v>
      </c>
      <c r="G54" s="28" t="s">
        <v>50</v>
      </c>
      <c r="H54" s="215">
        <f>'прил9 (ведом 23)'!M533</f>
        <v>93.8</v>
      </c>
    </row>
    <row r="55" spans="1:8" ht="36" x14ac:dyDescent="0.35">
      <c r="A55" s="325"/>
      <c r="B55" s="493" t="s">
        <v>55</v>
      </c>
      <c r="C55" s="206" t="s">
        <v>39</v>
      </c>
      <c r="D55" s="207" t="s">
        <v>45</v>
      </c>
      <c r="E55" s="207" t="s">
        <v>39</v>
      </c>
      <c r="F55" s="208" t="s">
        <v>273</v>
      </c>
      <c r="G55" s="28" t="s">
        <v>56</v>
      </c>
      <c r="H55" s="215">
        <f>'прил9 (ведом 23)'!M534</f>
        <v>37265.599999999999</v>
      </c>
    </row>
    <row r="56" spans="1:8" ht="36" x14ac:dyDescent="0.35">
      <c r="A56" s="325"/>
      <c r="B56" s="494" t="s">
        <v>203</v>
      </c>
      <c r="C56" s="206" t="s">
        <v>39</v>
      </c>
      <c r="D56" s="207" t="s">
        <v>45</v>
      </c>
      <c r="E56" s="207" t="s">
        <v>39</v>
      </c>
      <c r="F56" s="208" t="s">
        <v>273</v>
      </c>
      <c r="G56" s="28" t="s">
        <v>204</v>
      </c>
      <c r="H56" s="215">
        <f>'прил9 (ведом 23)'!M445+'прил9 (ведом 23)'!M535</f>
        <v>1201.0999999999997</v>
      </c>
    </row>
    <row r="57" spans="1:8" ht="36" x14ac:dyDescent="0.35">
      <c r="A57" s="325"/>
      <c r="B57" s="492" t="s">
        <v>76</v>
      </c>
      <c r="C57" s="206" t="s">
        <v>39</v>
      </c>
      <c r="D57" s="207" t="s">
        <v>45</v>
      </c>
      <c r="E57" s="207" t="s">
        <v>39</v>
      </c>
      <c r="F57" s="208" t="s">
        <v>273</v>
      </c>
      <c r="G57" s="28" t="s">
        <v>77</v>
      </c>
      <c r="H57" s="215">
        <f>'прил9 (ведом 23)'!M536</f>
        <v>30455.7</v>
      </c>
    </row>
    <row r="58" spans="1:8" ht="54" x14ac:dyDescent="0.35">
      <c r="A58" s="325"/>
      <c r="B58" s="493" t="s">
        <v>517</v>
      </c>
      <c r="C58" s="206" t="s">
        <v>39</v>
      </c>
      <c r="D58" s="207" t="s">
        <v>45</v>
      </c>
      <c r="E58" s="207" t="s">
        <v>39</v>
      </c>
      <c r="F58" s="208" t="s">
        <v>518</v>
      </c>
      <c r="G58" s="28"/>
      <c r="H58" s="209">
        <f>H59</f>
        <v>30</v>
      </c>
    </row>
    <row r="59" spans="1:8" ht="36" x14ac:dyDescent="0.35">
      <c r="A59" s="325"/>
      <c r="B59" s="493" t="s">
        <v>76</v>
      </c>
      <c r="C59" s="206" t="s">
        <v>39</v>
      </c>
      <c r="D59" s="207" t="s">
        <v>45</v>
      </c>
      <c r="E59" s="207" t="s">
        <v>39</v>
      </c>
      <c r="F59" s="208" t="s">
        <v>518</v>
      </c>
      <c r="G59" s="28" t="s">
        <v>77</v>
      </c>
      <c r="H59" s="209">
        <f>'прил9 (ведом 23)'!M538</f>
        <v>30</v>
      </c>
    </row>
    <row r="60" spans="1:8" ht="234" x14ac:dyDescent="0.35">
      <c r="A60" s="325"/>
      <c r="B60" s="493" t="s">
        <v>592</v>
      </c>
      <c r="C60" s="206" t="s">
        <v>39</v>
      </c>
      <c r="D60" s="207" t="s">
        <v>45</v>
      </c>
      <c r="E60" s="207" t="s">
        <v>39</v>
      </c>
      <c r="F60" s="208" t="s">
        <v>519</v>
      </c>
      <c r="G60" s="28"/>
      <c r="H60" s="215">
        <f>H61+H62</f>
        <v>36976.799999999996</v>
      </c>
    </row>
    <row r="61" spans="1:8" ht="90" x14ac:dyDescent="0.35">
      <c r="A61" s="325"/>
      <c r="B61" s="493" t="s">
        <v>49</v>
      </c>
      <c r="C61" s="206" t="s">
        <v>39</v>
      </c>
      <c r="D61" s="207" t="s">
        <v>45</v>
      </c>
      <c r="E61" s="207" t="s">
        <v>39</v>
      </c>
      <c r="F61" s="208" t="s">
        <v>519</v>
      </c>
      <c r="G61" s="28" t="s">
        <v>50</v>
      </c>
      <c r="H61" s="215">
        <f>'прил9 (ведом 23)'!M540</f>
        <v>2968.5</v>
      </c>
    </row>
    <row r="62" spans="1:8" ht="36" x14ac:dyDescent="0.35">
      <c r="A62" s="325"/>
      <c r="B62" s="493" t="s">
        <v>76</v>
      </c>
      <c r="C62" s="206" t="s">
        <v>39</v>
      </c>
      <c r="D62" s="207" t="s">
        <v>45</v>
      </c>
      <c r="E62" s="207" t="s">
        <v>39</v>
      </c>
      <c r="F62" s="208" t="s">
        <v>519</v>
      </c>
      <c r="G62" s="28" t="s">
        <v>77</v>
      </c>
      <c r="H62" s="215">
        <f>'прил9 (ведом 23)'!M541</f>
        <v>34008.299999999996</v>
      </c>
    </row>
    <row r="63" spans="1:8" ht="162" x14ac:dyDescent="0.35">
      <c r="A63" s="325"/>
      <c r="B63" s="492" t="s">
        <v>267</v>
      </c>
      <c r="C63" s="206" t="s">
        <v>39</v>
      </c>
      <c r="D63" s="207" t="s">
        <v>45</v>
      </c>
      <c r="E63" s="207" t="s">
        <v>39</v>
      </c>
      <c r="F63" s="208" t="s">
        <v>268</v>
      </c>
      <c r="G63" s="28"/>
      <c r="H63" s="215">
        <f>SUM(H64:H66)</f>
        <v>1767.1999999999998</v>
      </c>
    </row>
    <row r="64" spans="1:8" ht="90" x14ac:dyDescent="0.35">
      <c r="A64" s="325"/>
      <c r="B64" s="493" t="s">
        <v>49</v>
      </c>
      <c r="C64" s="206" t="s">
        <v>39</v>
      </c>
      <c r="D64" s="207" t="s">
        <v>45</v>
      </c>
      <c r="E64" s="207" t="s">
        <v>39</v>
      </c>
      <c r="F64" s="208" t="s">
        <v>268</v>
      </c>
      <c r="G64" s="28" t="s">
        <v>50</v>
      </c>
      <c r="H64" s="215">
        <f>'прил9 (ведом 23)'!M543</f>
        <v>56.9</v>
      </c>
    </row>
    <row r="65" spans="1:8" ht="18" x14ac:dyDescent="0.35">
      <c r="A65" s="325"/>
      <c r="B65" s="493" t="s">
        <v>120</v>
      </c>
      <c r="C65" s="206" t="s">
        <v>39</v>
      </c>
      <c r="D65" s="207" t="s">
        <v>45</v>
      </c>
      <c r="E65" s="207" t="s">
        <v>39</v>
      </c>
      <c r="F65" s="208" t="s">
        <v>268</v>
      </c>
      <c r="G65" s="28" t="s">
        <v>121</v>
      </c>
      <c r="H65" s="215">
        <f>'прил9 (ведом 23)'!M544</f>
        <v>4.3</v>
      </c>
    </row>
    <row r="66" spans="1:8" ht="36" x14ac:dyDescent="0.35">
      <c r="A66" s="325"/>
      <c r="B66" s="492" t="s">
        <v>76</v>
      </c>
      <c r="C66" s="206" t="s">
        <v>39</v>
      </c>
      <c r="D66" s="207" t="s">
        <v>45</v>
      </c>
      <c r="E66" s="207" t="s">
        <v>39</v>
      </c>
      <c r="F66" s="208" t="s">
        <v>268</v>
      </c>
      <c r="G66" s="28" t="s">
        <v>77</v>
      </c>
      <c r="H66" s="215">
        <f>'прил9 (ведом 23)'!M545</f>
        <v>1705.9999999999998</v>
      </c>
    </row>
    <row r="67" spans="1:8" ht="90" x14ac:dyDescent="0.35">
      <c r="A67" s="325"/>
      <c r="B67" s="492" t="s">
        <v>343</v>
      </c>
      <c r="C67" s="206" t="s">
        <v>39</v>
      </c>
      <c r="D67" s="207" t="s">
        <v>45</v>
      </c>
      <c r="E67" s="207" t="s">
        <v>39</v>
      </c>
      <c r="F67" s="208" t="s">
        <v>269</v>
      </c>
      <c r="G67" s="28"/>
      <c r="H67" s="215">
        <f>SUM(H68:H70)</f>
        <v>496950.10000000009</v>
      </c>
    </row>
    <row r="68" spans="1:8" ht="90" x14ac:dyDescent="0.35">
      <c r="A68" s="325"/>
      <c r="B68" s="492" t="s">
        <v>49</v>
      </c>
      <c r="C68" s="206" t="s">
        <v>39</v>
      </c>
      <c r="D68" s="207" t="s">
        <v>45</v>
      </c>
      <c r="E68" s="207" t="s">
        <v>39</v>
      </c>
      <c r="F68" s="208" t="s">
        <v>269</v>
      </c>
      <c r="G68" s="28" t="s">
        <v>50</v>
      </c>
      <c r="H68" s="215">
        <f>'прил9 (ведом 23)'!M547</f>
        <v>30427.599999999999</v>
      </c>
    </row>
    <row r="69" spans="1:8" ht="36" x14ac:dyDescent="0.35">
      <c r="A69" s="325"/>
      <c r="B69" s="492" t="s">
        <v>55</v>
      </c>
      <c r="C69" s="206" t="s">
        <v>39</v>
      </c>
      <c r="D69" s="207" t="s">
        <v>45</v>
      </c>
      <c r="E69" s="207" t="s">
        <v>39</v>
      </c>
      <c r="F69" s="208" t="s">
        <v>269</v>
      </c>
      <c r="G69" s="28" t="s">
        <v>56</v>
      </c>
      <c r="H69" s="215">
        <f>'прил9 (ведом 23)'!M548</f>
        <v>2385.8000000000002</v>
      </c>
    </row>
    <row r="70" spans="1:8" ht="36" x14ac:dyDescent="0.35">
      <c r="A70" s="325"/>
      <c r="B70" s="492" t="s">
        <v>76</v>
      </c>
      <c r="C70" s="206" t="s">
        <v>39</v>
      </c>
      <c r="D70" s="207" t="s">
        <v>45</v>
      </c>
      <c r="E70" s="207" t="s">
        <v>39</v>
      </c>
      <c r="F70" s="208" t="s">
        <v>269</v>
      </c>
      <c r="G70" s="28" t="s">
        <v>77</v>
      </c>
      <c r="H70" s="215">
        <f>'прил9 (ведом 23)'!M549</f>
        <v>464136.70000000007</v>
      </c>
    </row>
    <row r="71" spans="1:8" ht="72" x14ac:dyDescent="0.35">
      <c r="A71" s="325"/>
      <c r="B71" s="492" t="s">
        <v>209</v>
      </c>
      <c r="C71" s="683" t="s">
        <v>39</v>
      </c>
      <c r="D71" s="683" t="s">
        <v>45</v>
      </c>
      <c r="E71" s="683" t="s">
        <v>39</v>
      </c>
      <c r="F71" s="684" t="s">
        <v>274</v>
      </c>
      <c r="G71" s="236"/>
      <c r="H71" s="215">
        <f>SUM(H72:H73)</f>
        <v>2182.0999999999995</v>
      </c>
    </row>
    <row r="72" spans="1:8" ht="36" x14ac:dyDescent="0.35">
      <c r="A72" s="325"/>
      <c r="B72" s="493" t="s">
        <v>55</v>
      </c>
      <c r="C72" s="206" t="s">
        <v>39</v>
      </c>
      <c r="D72" s="207" t="s">
        <v>45</v>
      </c>
      <c r="E72" s="207" t="s">
        <v>39</v>
      </c>
      <c r="F72" s="208" t="s">
        <v>274</v>
      </c>
      <c r="G72" s="28" t="s">
        <v>56</v>
      </c>
      <c r="H72" s="215">
        <f>'прил9 (ведом 23)'!M551</f>
        <v>87.699999999999989</v>
      </c>
    </row>
    <row r="73" spans="1:8" ht="36" x14ac:dyDescent="0.35">
      <c r="A73" s="325"/>
      <c r="B73" s="492" t="s">
        <v>76</v>
      </c>
      <c r="C73" s="683" t="s">
        <v>39</v>
      </c>
      <c r="D73" s="683" t="s">
        <v>45</v>
      </c>
      <c r="E73" s="683" t="s">
        <v>39</v>
      </c>
      <c r="F73" s="684" t="s">
        <v>274</v>
      </c>
      <c r="G73" s="236" t="s">
        <v>77</v>
      </c>
      <c r="H73" s="215">
        <f>'прил9 (ведом 23)'!M552</f>
        <v>2094.3999999999996</v>
      </c>
    </row>
    <row r="74" spans="1:8" ht="54" x14ac:dyDescent="0.35">
      <c r="A74" s="325"/>
      <c r="B74" s="496" t="s">
        <v>681</v>
      </c>
      <c r="C74" s="689" t="s">
        <v>39</v>
      </c>
      <c r="D74" s="690" t="s">
        <v>45</v>
      </c>
      <c r="E74" s="690" t="s">
        <v>39</v>
      </c>
      <c r="F74" s="691" t="s">
        <v>680</v>
      </c>
      <c r="G74" s="10"/>
      <c r="H74" s="215">
        <f>H75</f>
        <v>22664.799999999999</v>
      </c>
    </row>
    <row r="75" spans="1:8" ht="36" x14ac:dyDescent="0.35">
      <c r="A75" s="325"/>
      <c r="B75" s="496" t="s">
        <v>76</v>
      </c>
      <c r="C75" s="689" t="s">
        <v>39</v>
      </c>
      <c r="D75" s="690" t="s">
        <v>45</v>
      </c>
      <c r="E75" s="690" t="s">
        <v>39</v>
      </c>
      <c r="F75" s="691" t="s">
        <v>680</v>
      </c>
      <c r="G75" s="10" t="s">
        <v>77</v>
      </c>
      <c r="H75" s="215">
        <f>'прил9 (ведом 23)'!M554</f>
        <v>22664.799999999999</v>
      </c>
    </row>
    <row r="76" spans="1:8" ht="126" x14ac:dyDescent="0.35">
      <c r="A76" s="325"/>
      <c r="B76" s="493" t="s">
        <v>547</v>
      </c>
      <c r="C76" s="206" t="s">
        <v>39</v>
      </c>
      <c r="D76" s="207" t="s">
        <v>45</v>
      </c>
      <c r="E76" s="207" t="s">
        <v>39</v>
      </c>
      <c r="F76" s="208" t="s">
        <v>546</v>
      </c>
      <c r="G76" s="236"/>
      <c r="H76" s="215">
        <f>SUM(H77:H78)</f>
        <v>1272.1999999999998</v>
      </c>
    </row>
    <row r="77" spans="1:8" ht="36" x14ac:dyDescent="0.35">
      <c r="A77" s="325"/>
      <c r="B77" s="493" t="s">
        <v>55</v>
      </c>
      <c r="C77" s="206" t="s">
        <v>39</v>
      </c>
      <c r="D77" s="207" t="s">
        <v>45</v>
      </c>
      <c r="E77" s="207" t="s">
        <v>39</v>
      </c>
      <c r="F77" s="208" t="s">
        <v>546</v>
      </c>
      <c r="G77" s="28" t="s">
        <v>56</v>
      </c>
      <c r="H77" s="215">
        <f>'прил9 (ведом 23)'!M556</f>
        <v>24.900000000000006</v>
      </c>
    </row>
    <row r="78" spans="1:8" ht="36" x14ac:dyDescent="0.35">
      <c r="A78" s="325"/>
      <c r="B78" s="493" t="s">
        <v>76</v>
      </c>
      <c r="C78" s="206" t="s">
        <v>39</v>
      </c>
      <c r="D78" s="207" t="s">
        <v>45</v>
      </c>
      <c r="E78" s="207" t="s">
        <v>39</v>
      </c>
      <c r="F78" s="208" t="s">
        <v>546</v>
      </c>
      <c r="G78" s="28" t="s">
        <v>77</v>
      </c>
      <c r="H78" s="215">
        <f>'прил9 (ведом 23)'!M557</f>
        <v>1247.2999999999997</v>
      </c>
    </row>
    <row r="79" spans="1:8" ht="72" x14ac:dyDescent="0.35">
      <c r="A79" s="325"/>
      <c r="B79" s="493" t="s">
        <v>453</v>
      </c>
      <c r="C79" s="206" t="s">
        <v>39</v>
      </c>
      <c r="D79" s="207" t="s">
        <v>45</v>
      </c>
      <c r="E79" s="207" t="s">
        <v>39</v>
      </c>
      <c r="F79" s="208" t="s">
        <v>452</v>
      </c>
      <c r="G79" s="28"/>
      <c r="H79" s="215">
        <f>H80+H81</f>
        <v>50188.899999999994</v>
      </c>
    </row>
    <row r="80" spans="1:8" ht="36" x14ac:dyDescent="0.35">
      <c r="A80" s="325"/>
      <c r="B80" s="493" t="s">
        <v>55</v>
      </c>
      <c r="C80" s="206" t="s">
        <v>39</v>
      </c>
      <c r="D80" s="207" t="s">
        <v>45</v>
      </c>
      <c r="E80" s="207" t="s">
        <v>39</v>
      </c>
      <c r="F80" s="208" t="s">
        <v>452</v>
      </c>
      <c r="G80" s="28" t="s">
        <v>56</v>
      </c>
      <c r="H80" s="215">
        <f>'прил9 (ведом 23)'!M559</f>
        <v>2004.5</v>
      </c>
    </row>
    <row r="81" spans="1:8" ht="36" x14ac:dyDescent="0.35">
      <c r="A81" s="325"/>
      <c r="B81" s="493" t="s">
        <v>76</v>
      </c>
      <c r="C81" s="206" t="s">
        <v>39</v>
      </c>
      <c r="D81" s="207" t="s">
        <v>45</v>
      </c>
      <c r="E81" s="207" t="s">
        <v>39</v>
      </c>
      <c r="F81" s="208" t="s">
        <v>452</v>
      </c>
      <c r="G81" s="28" t="s">
        <v>77</v>
      </c>
      <c r="H81" s="215">
        <f>'прил9 (ведом 23)'!M560</f>
        <v>48184.399999999994</v>
      </c>
    </row>
    <row r="82" spans="1:8" ht="36" x14ac:dyDescent="0.35">
      <c r="A82" s="325"/>
      <c r="B82" s="496" t="s">
        <v>641</v>
      </c>
      <c r="C82" s="689" t="s">
        <v>39</v>
      </c>
      <c r="D82" s="690" t="s">
        <v>45</v>
      </c>
      <c r="E82" s="690" t="s">
        <v>39</v>
      </c>
      <c r="F82" s="691" t="s">
        <v>649</v>
      </c>
      <c r="G82" s="10"/>
      <c r="H82" s="215">
        <f>H83</f>
        <v>40386.799999999996</v>
      </c>
    </row>
    <row r="83" spans="1:8" ht="36" x14ac:dyDescent="0.35">
      <c r="A83" s="325"/>
      <c r="B83" s="496" t="s">
        <v>76</v>
      </c>
      <c r="C83" s="689" t="s">
        <v>39</v>
      </c>
      <c r="D83" s="690" t="s">
        <v>45</v>
      </c>
      <c r="E83" s="690" t="s">
        <v>39</v>
      </c>
      <c r="F83" s="691" t="s">
        <v>649</v>
      </c>
      <c r="G83" s="10" t="s">
        <v>77</v>
      </c>
      <c r="H83" s="215">
        <f>'прил9 (ведом 23)'!M562</f>
        <v>40386.799999999996</v>
      </c>
    </row>
    <row r="84" spans="1:8" ht="108" x14ac:dyDescent="0.35">
      <c r="A84" s="325"/>
      <c r="B84" s="585" t="s">
        <v>500</v>
      </c>
      <c r="C84" s="357" t="s">
        <v>39</v>
      </c>
      <c r="D84" s="358" t="s">
        <v>45</v>
      </c>
      <c r="E84" s="358" t="s">
        <v>39</v>
      </c>
      <c r="F84" s="359" t="s">
        <v>499</v>
      </c>
      <c r="G84" s="417"/>
      <c r="H84" s="215">
        <f>H85</f>
        <v>47702</v>
      </c>
    </row>
    <row r="85" spans="1:8" ht="36" x14ac:dyDescent="0.35">
      <c r="A85" s="325"/>
      <c r="B85" s="585" t="s">
        <v>203</v>
      </c>
      <c r="C85" s="593" t="s">
        <v>39</v>
      </c>
      <c r="D85" s="594" t="s">
        <v>45</v>
      </c>
      <c r="E85" s="594" t="s">
        <v>39</v>
      </c>
      <c r="F85" s="595" t="s">
        <v>499</v>
      </c>
      <c r="G85" s="417" t="s">
        <v>204</v>
      </c>
      <c r="H85" s="215">
        <f>'прил9 (ведом 23)'!M447</f>
        <v>47702</v>
      </c>
    </row>
    <row r="86" spans="1:8" ht="72" x14ac:dyDescent="0.35">
      <c r="A86" s="325"/>
      <c r="B86" s="493" t="s">
        <v>544</v>
      </c>
      <c r="C86" s="206" t="s">
        <v>39</v>
      </c>
      <c r="D86" s="207" t="s">
        <v>45</v>
      </c>
      <c r="E86" s="207" t="s">
        <v>39</v>
      </c>
      <c r="F86" s="208" t="s">
        <v>543</v>
      </c>
      <c r="G86" s="28"/>
      <c r="H86" s="215">
        <f>H87+H88+H89</f>
        <v>18962.3</v>
      </c>
    </row>
    <row r="87" spans="1:8" ht="36" x14ac:dyDescent="0.35">
      <c r="A87" s="325"/>
      <c r="B87" s="493" t="s">
        <v>55</v>
      </c>
      <c r="C87" s="206" t="s">
        <v>39</v>
      </c>
      <c r="D87" s="207" t="s">
        <v>45</v>
      </c>
      <c r="E87" s="207" t="s">
        <v>39</v>
      </c>
      <c r="F87" s="208" t="s">
        <v>543</v>
      </c>
      <c r="G87" s="28" t="s">
        <v>56</v>
      </c>
      <c r="H87" s="215">
        <f>'прил9 (ведом 23)'!M564</f>
        <v>199.39999999999998</v>
      </c>
    </row>
    <row r="88" spans="1:8" ht="18" x14ac:dyDescent="0.35">
      <c r="A88" s="325"/>
      <c r="B88" s="493" t="s">
        <v>120</v>
      </c>
      <c r="C88" s="206" t="s">
        <v>39</v>
      </c>
      <c r="D88" s="207" t="s">
        <v>45</v>
      </c>
      <c r="E88" s="207" t="s">
        <v>39</v>
      </c>
      <c r="F88" s="208" t="s">
        <v>543</v>
      </c>
      <c r="G88" s="28" t="s">
        <v>121</v>
      </c>
      <c r="H88" s="215">
        <f>'прил9 (ведом 23)'!M565</f>
        <v>140.9</v>
      </c>
    </row>
    <row r="89" spans="1:8" ht="36" x14ac:dyDescent="0.35">
      <c r="A89" s="325"/>
      <c r="B89" s="493" t="s">
        <v>76</v>
      </c>
      <c r="C89" s="206" t="s">
        <v>39</v>
      </c>
      <c r="D89" s="207" t="s">
        <v>45</v>
      </c>
      <c r="E89" s="207" t="s">
        <v>39</v>
      </c>
      <c r="F89" s="208" t="s">
        <v>543</v>
      </c>
      <c r="G89" s="28" t="s">
        <v>77</v>
      </c>
      <c r="H89" s="215">
        <f>'прил9 (ведом 23)'!M566</f>
        <v>18622</v>
      </c>
    </row>
    <row r="90" spans="1:8" ht="36" x14ac:dyDescent="0.35">
      <c r="A90" s="325"/>
      <c r="B90" s="496" t="s">
        <v>648</v>
      </c>
      <c r="C90" s="689" t="s">
        <v>39</v>
      </c>
      <c r="D90" s="690" t="s">
        <v>45</v>
      </c>
      <c r="E90" s="690" t="s">
        <v>642</v>
      </c>
      <c r="F90" s="691" t="s">
        <v>44</v>
      </c>
      <c r="G90" s="10"/>
      <c r="H90" s="215">
        <f>H91+H94</f>
        <v>5924.5</v>
      </c>
    </row>
    <row r="91" spans="1:8" ht="72" x14ac:dyDescent="0.35">
      <c r="A91" s="325"/>
      <c r="B91" s="496" t="s">
        <v>661</v>
      </c>
      <c r="C91" s="689" t="s">
        <v>39</v>
      </c>
      <c r="D91" s="690" t="s">
        <v>45</v>
      </c>
      <c r="E91" s="690" t="s">
        <v>642</v>
      </c>
      <c r="F91" s="691" t="s">
        <v>660</v>
      </c>
      <c r="G91" s="10"/>
      <c r="H91" s="215">
        <f>H92+H93</f>
        <v>5827.6</v>
      </c>
    </row>
    <row r="92" spans="1:8" ht="90" x14ac:dyDescent="0.35">
      <c r="A92" s="325"/>
      <c r="B92" s="496" t="s">
        <v>49</v>
      </c>
      <c r="C92" s="689" t="s">
        <v>39</v>
      </c>
      <c r="D92" s="690" t="s">
        <v>45</v>
      </c>
      <c r="E92" s="690" t="s">
        <v>642</v>
      </c>
      <c r="F92" s="691" t="s">
        <v>660</v>
      </c>
      <c r="G92" s="10" t="s">
        <v>50</v>
      </c>
      <c r="H92" s="215">
        <f>'прил9 (ведом 23)'!M569</f>
        <v>426.43155000000002</v>
      </c>
    </row>
    <row r="93" spans="1:8" ht="36" x14ac:dyDescent="0.35">
      <c r="A93" s="325"/>
      <c r="B93" s="496" t="s">
        <v>76</v>
      </c>
      <c r="C93" s="689" t="s">
        <v>39</v>
      </c>
      <c r="D93" s="690" t="s">
        <v>45</v>
      </c>
      <c r="E93" s="690" t="s">
        <v>642</v>
      </c>
      <c r="F93" s="691" t="s">
        <v>660</v>
      </c>
      <c r="G93" s="10" t="s">
        <v>77</v>
      </c>
      <c r="H93" s="215">
        <f>'прил9 (ведом 23)'!M570</f>
        <v>5401.1684500000001</v>
      </c>
    </row>
    <row r="94" spans="1:8" ht="90" x14ac:dyDescent="0.35">
      <c r="A94" s="325"/>
      <c r="B94" s="496" t="s">
        <v>644</v>
      </c>
      <c r="C94" s="689" t="s">
        <v>39</v>
      </c>
      <c r="D94" s="690" t="s">
        <v>45</v>
      </c>
      <c r="E94" s="690" t="s">
        <v>642</v>
      </c>
      <c r="F94" s="691" t="s">
        <v>643</v>
      </c>
      <c r="G94" s="10"/>
      <c r="H94" s="215">
        <f>H95</f>
        <v>96.9</v>
      </c>
    </row>
    <row r="95" spans="1:8" ht="36" x14ac:dyDescent="0.35">
      <c r="A95" s="325"/>
      <c r="B95" s="496" t="s">
        <v>76</v>
      </c>
      <c r="C95" s="689" t="s">
        <v>39</v>
      </c>
      <c r="D95" s="690" t="s">
        <v>45</v>
      </c>
      <c r="E95" s="690" t="s">
        <v>642</v>
      </c>
      <c r="F95" s="691" t="s">
        <v>643</v>
      </c>
      <c r="G95" s="10" t="s">
        <v>77</v>
      </c>
      <c r="H95" s="215">
        <f>'прил9 (ведом 23)'!M572</f>
        <v>96.9</v>
      </c>
    </row>
    <row r="96" spans="1:8" ht="18" x14ac:dyDescent="0.35">
      <c r="A96" s="325"/>
      <c r="B96" s="492" t="s">
        <v>210</v>
      </c>
      <c r="C96" s="206" t="s">
        <v>39</v>
      </c>
      <c r="D96" s="207" t="s">
        <v>89</v>
      </c>
      <c r="E96" s="207" t="s">
        <v>43</v>
      </c>
      <c r="F96" s="208" t="s">
        <v>44</v>
      </c>
      <c r="G96" s="236"/>
      <c r="H96" s="215">
        <f>H97+H121</f>
        <v>82655.346999999994</v>
      </c>
    </row>
    <row r="97" spans="1:8" ht="36" x14ac:dyDescent="0.35">
      <c r="A97" s="325"/>
      <c r="B97" s="492" t="s">
        <v>275</v>
      </c>
      <c r="C97" s="206" t="s">
        <v>39</v>
      </c>
      <c r="D97" s="207" t="s">
        <v>89</v>
      </c>
      <c r="E97" s="207" t="s">
        <v>37</v>
      </c>
      <c r="F97" s="208" t="s">
        <v>44</v>
      </c>
      <c r="G97" s="236"/>
      <c r="H97" s="215">
        <f>H98+H113+H105+H115+H108+H110+H118+H103</f>
        <v>82547.346999999994</v>
      </c>
    </row>
    <row r="98" spans="1:8" ht="36" x14ac:dyDescent="0.35">
      <c r="A98" s="325"/>
      <c r="B98" s="492" t="s">
        <v>461</v>
      </c>
      <c r="C98" s="206" t="s">
        <v>39</v>
      </c>
      <c r="D98" s="207" t="s">
        <v>89</v>
      </c>
      <c r="E98" s="207" t="s">
        <v>37</v>
      </c>
      <c r="F98" s="208" t="s">
        <v>91</v>
      </c>
      <c r="G98" s="28"/>
      <c r="H98" s="215">
        <f>SUM(H99:H102)</f>
        <v>55404.146999999997</v>
      </c>
    </row>
    <row r="99" spans="1:8" ht="90" x14ac:dyDescent="0.35">
      <c r="A99" s="325"/>
      <c r="B99" s="493" t="s">
        <v>49</v>
      </c>
      <c r="C99" s="206" t="s">
        <v>39</v>
      </c>
      <c r="D99" s="207" t="s">
        <v>89</v>
      </c>
      <c r="E99" s="207" t="s">
        <v>37</v>
      </c>
      <c r="F99" s="208" t="s">
        <v>91</v>
      </c>
      <c r="G99" s="28" t="s">
        <v>50</v>
      </c>
      <c r="H99" s="215">
        <f>'прил9 (ведом 23)'!M582</f>
        <v>16884.199999999997</v>
      </c>
    </row>
    <row r="100" spans="1:8" ht="36" x14ac:dyDescent="0.35">
      <c r="A100" s="325"/>
      <c r="B100" s="493" t="s">
        <v>55</v>
      </c>
      <c r="C100" s="206" t="s">
        <v>39</v>
      </c>
      <c r="D100" s="207" t="s">
        <v>89</v>
      </c>
      <c r="E100" s="207" t="s">
        <v>37</v>
      </c>
      <c r="F100" s="208" t="s">
        <v>91</v>
      </c>
      <c r="G100" s="28" t="s">
        <v>56</v>
      </c>
      <c r="H100" s="215">
        <f>'прил9 (ведом 23)'!M583+'прил9 (ведом 23)'!M614</f>
        <v>2386.0260699999999</v>
      </c>
    </row>
    <row r="101" spans="1:8" ht="36" x14ac:dyDescent="0.35">
      <c r="A101" s="325"/>
      <c r="B101" s="492" t="s">
        <v>76</v>
      </c>
      <c r="C101" s="206" t="s">
        <v>39</v>
      </c>
      <c r="D101" s="207" t="s">
        <v>89</v>
      </c>
      <c r="E101" s="207" t="s">
        <v>37</v>
      </c>
      <c r="F101" s="208" t="s">
        <v>91</v>
      </c>
      <c r="G101" s="28" t="s">
        <v>77</v>
      </c>
      <c r="H101" s="215">
        <f>'прил9 (ведом 23)'!M584</f>
        <v>35927.220930000003</v>
      </c>
    </row>
    <row r="102" spans="1:8" ht="18" x14ac:dyDescent="0.35">
      <c r="A102" s="325"/>
      <c r="B102" s="493" t="s">
        <v>57</v>
      </c>
      <c r="C102" s="206" t="s">
        <v>39</v>
      </c>
      <c r="D102" s="207" t="s">
        <v>89</v>
      </c>
      <c r="E102" s="207" t="s">
        <v>37</v>
      </c>
      <c r="F102" s="208" t="s">
        <v>91</v>
      </c>
      <c r="G102" s="28" t="s">
        <v>58</v>
      </c>
      <c r="H102" s="215">
        <f>'прил9 (ведом 23)'!M585</f>
        <v>206.70000000000002</v>
      </c>
    </row>
    <row r="103" spans="1:8" ht="18" x14ac:dyDescent="0.35">
      <c r="A103" s="325"/>
      <c r="B103" s="496" t="s">
        <v>462</v>
      </c>
      <c r="C103" s="689" t="s">
        <v>39</v>
      </c>
      <c r="D103" s="690" t="s">
        <v>89</v>
      </c>
      <c r="E103" s="690" t="s">
        <v>37</v>
      </c>
      <c r="F103" s="691" t="s">
        <v>379</v>
      </c>
      <c r="G103" s="10"/>
      <c r="H103" s="215">
        <f>H104</f>
        <v>498</v>
      </c>
    </row>
    <row r="104" spans="1:8" ht="36" x14ac:dyDescent="0.35">
      <c r="A104" s="325"/>
      <c r="B104" s="496" t="s">
        <v>76</v>
      </c>
      <c r="C104" s="689" t="s">
        <v>39</v>
      </c>
      <c r="D104" s="690" t="s">
        <v>89</v>
      </c>
      <c r="E104" s="690" t="s">
        <v>37</v>
      </c>
      <c r="F104" s="691" t="s">
        <v>379</v>
      </c>
      <c r="G104" s="10" t="s">
        <v>77</v>
      </c>
      <c r="H104" s="215">
        <f>'прил9 (ведом 23)'!M587</f>
        <v>498</v>
      </c>
    </row>
    <row r="105" spans="1:8" ht="36" x14ac:dyDescent="0.35">
      <c r="A105" s="325"/>
      <c r="B105" s="493" t="s">
        <v>207</v>
      </c>
      <c r="C105" s="206" t="s">
        <v>39</v>
      </c>
      <c r="D105" s="207" t="s">
        <v>89</v>
      </c>
      <c r="E105" s="207" t="s">
        <v>37</v>
      </c>
      <c r="F105" s="208" t="s">
        <v>272</v>
      </c>
      <c r="G105" s="28"/>
      <c r="H105" s="215">
        <f>SUM(H106:H107)</f>
        <v>5841.0000000000009</v>
      </c>
    </row>
    <row r="106" spans="1:8" ht="36" x14ac:dyDescent="0.35">
      <c r="A106" s="325"/>
      <c r="B106" s="493" t="s">
        <v>55</v>
      </c>
      <c r="C106" s="206" t="s">
        <v>39</v>
      </c>
      <c r="D106" s="207" t="s">
        <v>89</v>
      </c>
      <c r="E106" s="207" t="s">
        <v>37</v>
      </c>
      <c r="F106" s="208" t="s">
        <v>272</v>
      </c>
      <c r="G106" s="28" t="s">
        <v>56</v>
      </c>
      <c r="H106" s="215">
        <f>'прил9 (ведом 23)'!M589</f>
        <v>1643.6000000000004</v>
      </c>
    </row>
    <row r="107" spans="1:8" ht="36" x14ac:dyDescent="0.35">
      <c r="A107" s="325"/>
      <c r="B107" s="497" t="s">
        <v>76</v>
      </c>
      <c r="C107" s="206" t="s">
        <v>39</v>
      </c>
      <c r="D107" s="207" t="s">
        <v>89</v>
      </c>
      <c r="E107" s="207" t="s">
        <v>37</v>
      </c>
      <c r="F107" s="208" t="s">
        <v>272</v>
      </c>
      <c r="G107" s="28" t="s">
        <v>77</v>
      </c>
      <c r="H107" s="215">
        <f>'прил9 (ведом 23)'!M590</f>
        <v>4197.4000000000005</v>
      </c>
    </row>
    <row r="108" spans="1:8" ht="36" x14ac:dyDescent="0.35">
      <c r="A108" s="325"/>
      <c r="B108" s="493" t="s">
        <v>208</v>
      </c>
      <c r="C108" s="206" t="s">
        <v>39</v>
      </c>
      <c r="D108" s="207" t="s">
        <v>89</v>
      </c>
      <c r="E108" s="207" t="s">
        <v>37</v>
      </c>
      <c r="F108" s="208" t="s">
        <v>273</v>
      </c>
      <c r="G108" s="28"/>
      <c r="H108" s="215">
        <f>H109</f>
        <v>1124.4000000000001</v>
      </c>
    </row>
    <row r="109" spans="1:8" ht="36" x14ac:dyDescent="0.35">
      <c r="A109" s="325"/>
      <c r="B109" s="497" t="s">
        <v>76</v>
      </c>
      <c r="C109" s="206" t="s">
        <v>39</v>
      </c>
      <c r="D109" s="207" t="s">
        <v>89</v>
      </c>
      <c r="E109" s="207" t="s">
        <v>37</v>
      </c>
      <c r="F109" s="208" t="s">
        <v>273</v>
      </c>
      <c r="G109" s="28" t="s">
        <v>77</v>
      </c>
      <c r="H109" s="215">
        <f>'прил9 (ведом 23)'!M592</f>
        <v>1124.4000000000001</v>
      </c>
    </row>
    <row r="110" spans="1:8" ht="54" x14ac:dyDescent="0.35">
      <c r="A110" s="325"/>
      <c r="B110" s="497" t="s">
        <v>525</v>
      </c>
      <c r="C110" s="206" t="s">
        <v>39</v>
      </c>
      <c r="D110" s="207" t="s">
        <v>89</v>
      </c>
      <c r="E110" s="207" t="s">
        <v>37</v>
      </c>
      <c r="F110" s="208" t="s">
        <v>524</v>
      </c>
      <c r="G110" s="28"/>
      <c r="H110" s="215">
        <f>SUM(H111:H112)</f>
        <v>6127.5</v>
      </c>
    </row>
    <row r="111" spans="1:8" ht="36" x14ac:dyDescent="0.35">
      <c r="A111" s="325"/>
      <c r="B111" s="497" t="s">
        <v>76</v>
      </c>
      <c r="C111" s="206" t="s">
        <v>39</v>
      </c>
      <c r="D111" s="207" t="s">
        <v>89</v>
      </c>
      <c r="E111" s="207" t="s">
        <v>37</v>
      </c>
      <c r="F111" s="208" t="s">
        <v>524</v>
      </c>
      <c r="G111" s="28" t="s">
        <v>77</v>
      </c>
      <c r="H111" s="215">
        <f>'прил9 (ведом 23)'!M594</f>
        <v>6072.6</v>
      </c>
    </row>
    <row r="112" spans="1:8" ht="18" x14ac:dyDescent="0.35">
      <c r="A112" s="325"/>
      <c r="B112" s="493" t="s">
        <v>57</v>
      </c>
      <c r="C112" s="206" t="s">
        <v>39</v>
      </c>
      <c r="D112" s="207" t="s">
        <v>89</v>
      </c>
      <c r="E112" s="207" t="s">
        <v>37</v>
      </c>
      <c r="F112" s="208" t="s">
        <v>524</v>
      </c>
      <c r="G112" s="28" t="s">
        <v>58</v>
      </c>
      <c r="H112" s="215">
        <f>'прил9 (ведом 23)'!M595</f>
        <v>54.9</v>
      </c>
    </row>
    <row r="113" spans="1:8" ht="162" x14ac:dyDescent="0.35">
      <c r="A113" s="325"/>
      <c r="B113" s="492" t="s">
        <v>267</v>
      </c>
      <c r="C113" s="206" t="s">
        <v>39</v>
      </c>
      <c r="D113" s="207" t="s">
        <v>89</v>
      </c>
      <c r="E113" s="207" t="s">
        <v>37</v>
      </c>
      <c r="F113" s="208" t="s">
        <v>268</v>
      </c>
      <c r="G113" s="28"/>
      <c r="H113" s="215">
        <f>H114</f>
        <v>85.6</v>
      </c>
    </row>
    <row r="114" spans="1:8" ht="36" x14ac:dyDescent="0.35">
      <c r="A114" s="325"/>
      <c r="B114" s="493" t="s">
        <v>76</v>
      </c>
      <c r="C114" s="206" t="s">
        <v>39</v>
      </c>
      <c r="D114" s="207" t="s">
        <v>89</v>
      </c>
      <c r="E114" s="207" t="s">
        <v>37</v>
      </c>
      <c r="F114" s="208" t="s">
        <v>268</v>
      </c>
      <c r="G114" s="28" t="s">
        <v>77</v>
      </c>
      <c r="H114" s="215">
        <f>'прил9 (ведом 23)'!M597</f>
        <v>85.6</v>
      </c>
    </row>
    <row r="115" spans="1:8" ht="90" x14ac:dyDescent="0.35">
      <c r="A115" s="325"/>
      <c r="B115" s="493" t="s">
        <v>343</v>
      </c>
      <c r="C115" s="206" t="s">
        <v>39</v>
      </c>
      <c r="D115" s="207" t="s">
        <v>89</v>
      </c>
      <c r="E115" s="207" t="s">
        <v>37</v>
      </c>
      <c r="F115" s="208" t="s">
        <v>269</v>
      </c>
      <c r="G115" s="28"/>
      <c r="H115" s="215">
        <f>SUM(H116:H117)</f>
        <v>11366.699999999999</v>
      </c>
    </row>
    <row r="116" spans="1:8" ht="90" x14ac:dyDescent="0.35">
      <c r="A116" s="325"/>
      <c r="B116" s="496" t="s">
        <v>49</v>
      </c>
      <c r="C116" s="689" t="s">
        <v>39</v>
      </c>
      <c r="D116" s="690" t="s">
        <v>89</v>
      </c>
      <c r="E116" s="690" t="s">
        <v>37</v>
      </c>
      <c r="F116" s="691" t="s">
        <v>269</v>
      </c>
      <c r="G116" s="10" t="s">
        <v>50</v>
      </c>
      <c r="H116" s="215">
        <f>'прил9 (ведом 23)'!M599</f>
        <v>42.3</v>
      </c>
    </row>
    <row r="117" spans="1:8" ht="36" x14ac:dyDescent="0.35">
      <c r="A117" s="325"/>
      <c r="B117" s="493" t="s">
        <v>76</v>
      </c>
      <c r="C117" s="206" t="s">
        <v>39</v>
      </c>
      <c r="D117" s="207" t="s">
        <v>89</v>
      </c>
      <c r="E117" s="207" t="s">
        <v>37</v>
      </c>
      <c r="F117" s="208" t="s">
        <v>269</v>
      </c>
      <c r="G117" s="28" t="s">
        <v>77</v>
      </c>
      <c r="H117" s="215">
        <f>'прил9 (ведом 23)'!M600</f>
        <v>11324.4</v>
      </c>
    </row>
    <row r="118" spans="1:8" ht="54" x14ac:dyDescent="0.35">
      <c r="A118" s="325"/>
      <c r="B118" s="579" t="s">
        <v>681</v>
      </c>
      <c r="C118" s="689" t="s">
        <v>39</v>
      </c>
      <c r="D118" s="690" t="s">
        <v>89</v>
      </c>
      <c r="E118" s="690" t="s">
        <v>37</v>
      </c>
      <c r="F118" s="691" t="s">
        <v>680</v>
      </c>
      <c r="G118" s="10"/>
      <c r="H118" s="215">
        <f>H119+H120</f>
        <v>2100</v>
      </c>
    </row>
    <row r="119" spans="1:8" ht="36" x14ac:dyDescent="0.35">
      <c r="A119" s="325"/>
      <c r="B119" s="579" t="s">
        <v>55</v>
      </c>
      <c r="C119" s="689" t="s">
        <v>39</v>
      </c>
      <c r="D119" s="690" t="s">
        <v>89</v>
      </c>
      <c r="E119" s="690" t="s">
        <v>37</v>
      </c>
      <c r="F119" s="691" t="s">
        <v>680</v>
      </c>
      <c r="G119" s="10" t="s">
        <v>56</v>
      </c>
      <c r="H119" s="215">
        <f>'прил9 (ведом 23)'!M602</f>
        <v>400</v>
      </c>
    </row>
    <row r="120" spans="1:8" ht="36" x14ac:dyDescent="0.35">
      <c r="A120" s="325"/>
      <c r="B120" s="579" t="s">
        <v>76</v>
      </c>
      <c r="C120" s="689" t="s">
        <v>39</v>
      </c>
      <c r="D120" s="690" t="s">
        <v>89</v>
      </c>
      <c r="E120" s="690" t="s">
        <v>37</v>
      </c>
      <c r="F120" s="691" t="s">
        <v>680</v>
      </c>
      <c r="G120" s="10" t="s">
        <v>77</v>
      </c>
      <c r="H120" s="215">
        <f>'прил9 (ведом 23)'!M603</f>
        <v>1700</v>
      </c>
    </row>
    <row r="121" spans="1:8" ht="18" x14ac:dyDescent="0.35">
      <c r="A121" s="325"/>
      <c r="B121" s="493" t="s">
        <v>276</v>
      </c>
      <c r="C121" s="206" t="s">
        <v>39</v>
      </c>
      <c r="D121" s="207" t="s">
        <v>89</v>
      </c>
      <c r="E121" s="207" t="s">
        <v>39</v>
      </c>
      <c r="F121" s="208" t="s">
        <v>44</v>
      </c>
      <c r="G121" s="28"/>
      <c r="H121" s="215">
        <f>H122</f>
        <v>108</v>
      </c>
    </row>
    <row r="122" spans="1:8" ht="36" x14ac:dyDescent="0.35">
      <c r="A122" s="325"/>
      <c r="B122" s="493" t="s">
        <v>277</v>
      </c>
      <c r="C122" s="206" t="s">
        <v>39</v>
      </c>
      <c r="D122" s="207" t="s">
        <v>89</v>
      </c>
      <c r="E122" s="207" t="s">
        <v>39</v>
      </c>
      <c r="F122" s="208" t="s">
        <v>278</v>
      </c>
      <c r="G122" s="28"/>
      <c r="H122" s="215">
        <f>H123</f>
        <v>108</v>
      </c>
    </row>
    <row r="123" spans="1:8" ht="18" x14ac:dyDescent="0.35">
      <c r="A123" s="325"/>
      <c r="B123" s="493" t="s">
        <v>120</v>
      </c>
      <c r="C123" s="206" t="s">
        <v>39</v>
      </c>
      <c r="D123" s="207" t="s">
        <v>89</v>
      </c>
      <c r="E123" s="207" t="s">
        <v>39</v>
      </c>
      <c r="F123" s="208" t="s">
        <v>278</v>
      </c>
      <c r="G123" s="28" t="s">
        <v>121</v>
      </c>
      <c r="H123" s="215">
        <f>'прил9 (ведом 23)'!M624</f>
        <v>108</v>
      </c>
    </row>
    <row r="124" spans="1:8" ht="36" x14ac:dyDescent="0.35">
      <c r="A124" s="325"/>
      <c r="B124" s="492" t="s">
        <v>212</v>
      </c>
      <c r="C124" s="206" t="s">
        <v>39</v>
      </c>
      <c r="D124" s="207" t="s">
        <v>30</v>
      </c>
      <c r="E124" s="207" t="s">
        <v>43</v>
      </c>
      <c r="F124" s="208" t="s">
        <v>44</v>
      </c>
      <c r="G124" s="236"/>
      <c r="H124" s="215">
        <f>H125+H145+H150+H153+H156</f>
        <v>92796.543000000005</v>
      </c>
    </row>
    <row r="125" spans="1:8" ht="36" x14ac:dyDescent="0.35">
      <c r="A125" s="325"/>
      <c r="B125" s="492" t="s">
        <v>281</v>
      </c>
      <c r="C125" s="206" t="s">
        <v>39</v>
      </c>
      <c r="D125" s="207" t="s">
        <v>30</v>
      </c>
      <c r="E125" s="207" t="s">
        <v>37</v>
      </c>
      <c r="F125" s="208" t="s">
        <v>44</v>
      </c>
      <c r="G125" s="236"/>
      <c r="H125" s="215">
        <f>H126+H130+H143+H140+H135+H138</f>
        <v>84154.243000000002</v>
      </c>
    </row>
    <row r="126" spans="1:8" ht="36" x14ac:dyDescent="0.35">
      <c r="A126" s="325"/>
      <c r="B126" s="492" t="s">
        <v>47</v>
      </c>
      <c r="C126" s="206" t="s">
        <v>39</v>
      </c>
      <c r="D126" s="207" t="s">
        <v>30</v>
      </c>
      <c r="E126" s="207" t="s">
        <v>37</v>
      </c>
      <c r="F126" s="208" t="s">
        <v>48</v>
      </c>
      <c r="G126" s="28"/>
      <c r="H126" s="215">
        <f>SUM(H127:H129)</f>
        <v>12417.831</v>
      </c>
    </row>
    <row r="127" spans="1:8" ht="90" x14ac:dyDescent="0.35">
      <c r="A127" s="325"/>
      <c r="B127" s="492" t="s">
        <v>49</v>
      </c>
      <c r="C127" s="206" t="s">
        <v>39</v>
      </c>
      <c r="D127" s="207" t="s">
        <v>30</v>
      </c>
      <c r="E127" s="207" t="s">
        <v>37</v>
      </c>
      <c r="F127" s="208" t="s">
        <v>48</v>
      </c>
      <c r="G127" s="28" t="s">
        <v>50</v>
      </c>
      <c r="H127" s="215">
        <f>'прил9 (ведом 23)'!M628</f>
        <v>11475.4</v>
      </c>
    </row>
    <row r="128" spans="1:8" ht="36" x14ac:dyDescent="0.35">
      <c r="A128" s="325"/>
      <c r="B128" s="492" t="s">
        <v>55</v>
      </c>
      <c r="C128" s="206" t="s">
        <v>39</v>
      </c>
      <c r="D128" s="207" t="s">
        <v>30</v>
      </c>
      <c r="E128" s="207" t="s">
        <v>37</v>
      </c>
      <c r="F128" s="208" t="s">
        <v>48</v>
      </c>
      <c r="G128" s="28" t="s">
        <v>56</v>
      </c>
      <c r="H128" s="215">
        <f>'прил9 (ведом 23)'!M629</f>
        <v>925.43099999999993</v>
      </c>
    </row>
    <row r="129" spans="1:8" ht="18" x14ac:dyDescent="0.35">
      <c r="A129" s="325"/>
      <c r="B129" s="492" t="s">
        <v>57</v>
      </c>
      <c r="C129" s="206" t="s">
        <v>39</v>
      </c>
      <c r="D129" s="207" t="s">
        <v>30</v>
      </c>
      <c r="E129" s="207" t="s">
        <v>37</v>
      </c>
      <c r="F129" s="208" t="s">
        <v>48</v>
      </c>
      <c r="G129" s="28" t="s">
        <v>58</v>
      </c>
      <c r="H129" s="215">
        <f>'прил9 (ведом 23)'!M630</f>
        <v>17</v>
      </c>
    </row>
    <row r="130" spans="1:8" ht="36" x14ac:dyDescent="0.35">
      <c r="A130" s="325"/>
      <c r="B130" s="492" t="s">
        <v>461</v>
      </c>
      <c r="C130" s="206" t="s">
        <v>39</v>
      </c>
      <c r="D130" s="207" t="s">
        <v>30</v>
      </c>
      <c r="E130" s="207" t="s">
        <v>37</v>
      </c>
      <c r="F130" s="208" t="s">
        <v>91</v>
      </c>
      <c r="G130" s="28"/>
      <c r="H130" s="215">
        <f>SUM(H131:H134)</f>
        <v>61639.212</v>
      </c>
    </row>
    <row r="131" spans="1:8" ht="90" x14ac:dyDescent="0.35">
      <c r="A131" s="325"/>
      <c r="B131" s="492" t="s">
        <v>49</v>
      </c>
      <c r="C131" s="206" t="s">
        <v>39</v>
      </c>
      <c r="D131" s="207" t="s">
        <v>30</v>
      </c>
      <c r="E131" s="207" t="s">
        <v>37</v>
      </c>
      <c r="F131" s="208" t="s">
        <v>91</v>
      </c>
      <c r="G131" s="28" t="s">
        <v>50</v>
      </c>
      <c r="H131" s="215">
        <f>'прил9 (ведом 23)'!M632</f>
        <v>37351.100000000006</v>
      </c>
    </row>
    <row r="132" spans="1:8" ht="36" x14ac:dyDescent="0.35">
      <c r="A132" s="325"/>
      <c r="B132" s="492" t="s">
        <v>55</v>
      </c>
      <c r="C132" s="206" t="s">
        <v>39</v>
      </c>
      <c r="D132" s="207" t="s">
        <v>30</v>
      </c>
      <c r="E132" s="207" t="s">
        <v>37</v>
      </c>
      <c r="F132" s="208" t="s">
        <v>91</v>
      </c>
      <c r="G132" s="28" t="s">
        <v>56</v>
      </c>
      <c r="H132" s="215">
        <f>'прил9 (ведом 23)'!M633+'прил9 (ведом 23)'!M618</f>
        <v>4249.3119999999999</v>
      </c>
    </row>
    <row r="133" spans="1:8" ht="36" x14ac:dyDescent="0.35">
      <c r="A133" s="325"/>
      <c r="B133" s="493" t="s">
        <v>76</v>
      </c>
      <c r="C133" s="206" t="s">
        <v>39</v>
      </c>
      <c r="D133" s="207" t="s">
        <v>30</v>
      </c>
      <c r="E133" s="207" t="s">
        <v>37</v>
      </c>
      <c r="F133" s="208" t="s">
        <v>91</v>
      </c>
      <c r="G133" s="28" t="s">
        <v>77</v>
      </c>
      <c r="H133" s="215">
        <f>'прил9 (ведом 23)'!M634</f>
        <v>20033.100000000002</v>
      </c>
    </row>
    <row r="134" spans="1:8" ht="18" x14ac:dyDescent="0.35">
      <c r="A134" s="325"/>
      <c r="B134" s="492" t="s">
        <v>57</v>
      </c>
      <c r="C134" s="206" t="s">
        <v>39</v>
      </c>
      <c r="D134" s="207" t="s">
        <v>30</v>
      </c>
      <c r="E134" s="207" t="s">
        <v>37</v>
      </c>
      <c r="F134" s="208" t="s">
        <v>91</v>
      </c>
      <c r="G134" s="28" t="s">
        <v>58</v>
      </c>
      <c r="H134" s="215">
        <f>'прил9 (ведом 23)'!M635</f>
        <v>5.7</v>
      </c>
    </row>
    <row r="135" spans="1:8" ht="36" x14ac:dyDescent="0.35">
      <c r="A135" s="325"/>
      <c r="B135" s="493" t="s">
        <v>208</v>
      </c>
      <c r="C135" s="206" t="s">
        <v>39</v>
      </c>
      <c r="D135" s="207" t="s">
        <v>30</v>
      </c>
      <c r="E135" s="207" t="s">
        <v>37</v>
      </c>
      <c r="F135" s="208" t="s">
        <v>273</v>
      </c>
      <c r="G135" s="28"/>
      <c r="H135" s="215">
        <f>H136+H137</f>
        <v>311.7</v>
      </c>
    </row>
    <row r="136" spans="1:8" ht="36" x14ac:dyDescent="0.35">
      <c r="A136" s="325"/>
      <c r="B136" s="493" t="s">
        <v>55</v>
      </c>
      <c r="C136" s="206" t="s">
        <v>39</v>
      </c>
      <c r="D136" s="207" t="s">
        <v>30</v>
      </c>
      <c r="E136" s="207" t="s">
        <v>37</v>
      </c>
      <c r="F136" s="208" t="s">
        <v>273</v>
      </c>
      <c r="G136" s="28" t="s">
        <v>56</v>
      </c>
      <c r="H136" s="215">
        <f>'прил9 (ведом 23)'!M637</f>
        <v>10</v>
      </c>
    </row>
    <row r="137" spans="1:8" ht="36" x14ac:dyDescent="0.35">
      <c r="A137" s="325"/>
      <c r="B137" s="496" t="s">
        <v>76</v>
      </c>
      <c r="C137" s="689" t="s">
        <v>39</v>
      </c>
      <c r="D137" s="690" t="s">
        <v>30</v>
      </c>
      <c r="E137" s="690" t="s">
        <v>37</v>
      </c>
      <c r="F137" s="691" t="s">
        <v>273</v>
      </c>
      <c r="G137" s="10" t="s">
        <v>77</v>
      </c>
      <c r="H137" s="215">
        <f>'прил9 (ведом 23)'!M638</f>
        <v>301.7</v>
      </c>
    </row>
    <row r="138" spans="1:8" ht="36" x14ac:dyDescent="0.35">
      <c r="A138" s="325"/>
      <c r="B138" s="493" t="s">
        <v>569</v>
      </c>
      <c r="C138" s="206" t="s">
        <v>39</v>
      </c>
      <c r="D138" s="207" t="s">
        <v>30</v>
      </c>
      <c r="E138" s="207" t="s">
        <v>37</v>
      </c>
      <c r="F138" s="208" t="s">
        <v>568</v>
      </c>
      <c r="G138" s="28"/>
      <c r="H138" s="215">
        <f>H139</f>
        <v>518.6</v>
      </c>
    </row>
    <row r="139" spans="1:8" ht="36" x14ac:dyDescent="0.35">
      <c r="A139" s="325"/>
      <c r="B139" s="493" t="s">
        <v>76</v>
      </c>
      <c r="C139" s="206" t="s">
        <v>39</v>
      </c>
      <c r="D139" s="207" t="s">
        <v>30</v>
      </c>
      <c r="E139" s="207" t="s">
        <v>37</v>
      </c>
      <c r="F139" s="208" t="s">
        <v>568</v>
      </c>
      <c r="G139" s="28" t="s">
        <v>77</v>
      </c>
      <c r="H139" s="215">
        <f>'прил9 (ведом 23)'!M640</f>
        <v>518.6</v>
      </c>
    </row>
    <row r="140" spans="1:8" ht="90" x14ac:dyDescent="0.35">
      <c r="A140" s="325"/>
      <c r="B140" s="493" t="s">
        <v>343</v>
      </c>
      <c r="C140" s="206" t="s">
        <v>39</v>
      </c>
      <c r="D140" s="207" t="s">
        <v>30</v>
      </c>
      <c r="E140" s="207" t="s">
        <v>37</v>
      </c>
      <c r="F140" s="208" t="s">
        <v>269</v>
      </c>
      <c r="G140" s="28"/>
      <c r="H140" s="215">
        <f>H141+H142</f>
        <v>7044.7000000000007</v>
      </c>
    </row>
    <row r="141" spans="1:8" ht="90" x14ac:dyDescent="0.35">
      <c r="A141" s="325"/>
      <c r="B141" s="493" t="s">
        <v>49</v>
      </c>
      <c r="C141" s="206" t="s">
        <v>39</v>
      </c>
      <c r="D141" s="207" t="s">
        <v>30</v>
      </c>
      <c r="E141" s="207" t="s">
        <v>37</v>
      </c>
      <c r="F141" s="208" t="s">
        <v>269</v>
      </c>
      <c r="G141" s="28" t="s">
        <v>50</v>
      </c>
      <c r="H141" s="215">
        <f>'прил9 (ведом 23)'!M642</f>
        <v>6762.6</v>
      </c>
    </row>
    <row r="142" spans="1:8" ht="36" x14ac:dyDescent="0.35">
      <c r="A142" s="325"/>
      <c r="B142" s="496" t="s">
        <v>55</v>
      </c>
      <c r="C142" s="689" t="s">
        <v>39</v>
      </c>
      <c r="D142" s="690" t="s">
        <v>30</v>
      </c>
      <c r="E142" s="690" t="s">
        <v>37</v>
      </c>
      <c r="F142" s="691" t="s">
        <v>269</v>
      </c>
      <c r="G142" s="10" t="s">
        <v>56</v>
      </c>
      <c r="H142" s="215">
        <f>'прил9 (ведом 23)'!M643</f>
        <v>282.10000000000002</v>
      </c>
    </row>
    <row r="143" spans="1:8" ht="216" x14ac:dyDescent="0.35">
      <c r="A143" s="325"/>
      <c r="B143" s="493" t="s">
        <v>432</v>
      </c>
      <c r="C143" s="206" t="s">
        <v>39</v>
      </c>
      <c r="D143" s="207" t="s">
        <v>30</v>
      </c>
      <c r="E143" s="207" t="s">
        <v>37</v>
      </c>
      <c r="F143" s="208" t="s">
        <v>344</v>
      </c>
      <c r="G143" s="28"/>
      <c r="H143" s="215">
        <f>SUM(H144:H144)</f>
        <v>2222.1999999999998</v>
      </c>
    </row>
    <row r="144" spans="1:8" ht="36" x14ac:dyDescent="0.35">
      <c r="A144" s="325"/>
      <c r="B144" s="492" t="s">
        <v>76</v>
      </c>
      <c r="C144" s="206" t="s">
        <v>39</v>
      </c>
      <c r="D144" s="207" t="s">
        <v>30</v>
      </c>
      <c r="E144" s="207" t="s">
        <v>37</v>
      </c>
      <c r="F144" s="208" t="s">
        <v>344</v>
      </c>
      <c r="G144" s="28" t="s">
        <v>77</v>
      </c>
      <c r="H144" s="215">
        <f>'прил9 (ведом 23)'!M576</f>
        <v>2222.1999999999998</v>
      </c>
    </row>
    <row r="145" spans="1:8" ht="36" x14ac:dyDescent="0.35">
      <c r="A145" s="325"/>
      <c r="B145" s="493" t="s">
        <v>280</v>
      </c>
      <c r="C145" s="206" t="s">
        <v>39</v>
      </c>
      <c r="D145" s="207" t="s">
        <v>30</v>
      </c>
      <c r="E145" s="207" t="s">
        <v>39</v>
      </c>
      <c r="F145" s="208" t="s">
        <v>44</v>
      </c>
      <c r="G145" s="28"/>
      <c r="H145" s="215">
        <f>H146+H148</f>
        <v>7731.7</v>
      </c>
    </row>
    <row r="146" spans="1:8" ht="36" x14ac:dyDescent="0.35">
      <c r="A146" s="325"/>
      <c r="B146" s="493" t="s">
        <v>467</v>
      </c>
      <c r="C146" s="206" t="s">
        <v>39</v>
      </c>
      <c r="D146" s="207" t="s">
        <v>30</v>
      </c>
      <c r="E146" s="207" t="s">
        <v>39</v>
      </c>
      <c r="F146" s="208" t="s">
        <v>466</v>
      </c>
      <c r="G146" s="28"/>
      <c r="H146" s="215">
        <f>H147</f>
        <v>2157</v>
      </c>
    </row>
    <row r="147" spans="1:8" ht="36" x14ac:dyDescent="0.35">
      <c r="A147" s="325"/>
      <c r="B147" s="493" t="s">
        <v>76</v>
      </c>
      <c r="C147" s="206" t="s">
        <v>39</v>
      </c>
      <c r="D147" s="207" t="s">
        <v>30</v>
      </c>
      <c r="E147" s="207" t="s">
        <v>39</v>
      </c>
      <c r="F147" s="208" t="s">
        <v>466</v>
      </c>
      <c r="G147" s="28" t="s">
        <v>77</v>
      </c>
      <c r="H147" s="215">
        <f>'прил9 (ведом 23)'!M646</f>
        <v>2157</v>
      </c>
    </row>
    <row r="148" spans="1:8" ht="108" x14ac:dyDescent="0.35">
      <c r="A148" s="325"/>
      <c r="B148" s="493" t="s">
        <v>437</v>
      </c>
      <c r="C148" s="206" t="s">
        <v>39</v>
      </c>
      <c r="D148" s="207" t="s">
        <v>30</v>
      </c>
      <c r="E148" s="207" t="s">
        <v>39</v>
      </c>
      <c r="F148" s="208" t="s">
        <v>436</v>
      </c>
      <c r="G148" s="28"/>
      <c r="H148" s="215">
        <f>H149</f>
        <v>5574.7</v>
      </c>
    </row>
    <row r="149" spans="1:8" ht="36" x14ac:dyDescent="0.35">
      <c r="A149" s="325"/>
      <c r="B149" s="493" t="s">
        <v>76</v>
      </c>
      <c r="C149" s="206" t="s">
        <v>39</v>
      </c>
      <c r="D149" s="207" t="s">
        <v>30</v>
      </c>
      <c r="E149" s="207" t="s">
        <v>39</v>
      </c>
      <c r="F149" s="208" t="s">
        <v>436</v>
      </c>
      <c r="G149" s="28" t="s">
        <v>77</v>
      </c>
      <c r="H149" s="215">
        <f>'прил9 (ведом 23)'!M648</f>
        <v>5574.7</v>
      </c>
    </row>
    <row r="150" spans="1:8" ht="36" x14ac:dyDescent="0.35">
      <c r="A150" s="325"/>
      <c r="B150" s="498" t="s">
        <v>349</v>
      </c>
      <c r="C150" s="682" t="s">
        <v>39</v>
      </c>
      <c r="D150" s="683" t="s">
        <v>30</v>
      </c>
      <c r="E150" s="683" t="s">
        <v>63</v>
      </c>
      <c r="F150" s="684" t="s">
        <v>44</v>
      </c>
      <c r="G150" s="236"/>
      <c r="H150" s="215">
        <f>H151</f>
        <v>552.6</v>
      </c>
    </row>
    <row r="151" spans="1:8" ht="54" x14ac:dyDescent="0.35">
      <c r="A151" s="325"/>
      <c r="B151" s="498" t="s">
        <v>469</v>
      </c>
      <c r="C151" s="682" t="s">
        <v>39</v>
      </c>
      <c r="D151" s="683" t="s">
        <v>30</v>
      </c>
      <c r="E151" s="683" t="s">
        <v>63</v>
      </c>
      <c r="F151" s="684" t="s">
        <v>105</v>
      </c>
      <c r="G151" s="236"/>
      <c r="H151" s="215">
        <f>H152</f>
        <v>552.6</v>
      </c>
    </row>
    <row r="152" spans="1:8" ht="36" x14ac:dyDescent="0.35">
      <c r="A152" s="325"/>
      <c r="B152" s="498" t="s">
        <v>55</v>
      </c>
      <c r="C152" s="682" t="s">
        <v>39</v>
      </c>
      <c r="D152" s="683" t="s">
        <v>30</v>
      </c>
      <c r="E152" s="683" t="s">
        <v>63</v>
      </c>
      <c r="F152" s="684" t="s">
        <v>105</v>
      </c>
      <c r="G152" s="236" t="s">
        <v>56</v>
      </c>
      <c r="H152" s="215">
        <f>'прил9 (ведом 23)'!M478</f>
        <v>552.6</v>
      </c>
    </row>
    <row r="153" spans="1:8" ht="36" x14ac:dyDescent="0.35">
      <c r="A153" s="325"/>
      <c r="B153" s="498" t="s">
        <v>465</v>
      </c>
      <c r="C153" s="682" t="s">
        <v>39</v>
      </c>
      <c r="D153" s="683" t="s">
        <v>30</v>
      </c>
      <c r="E153" s="683" t="s">
        <v>52</v>
      </c>
      <c r="F153" s="684" t="s">
        <v>44</v>
      </c>
      <c r="G153" s="236"/>
      <c r="H153" s="215">
        <f>H154</f>
        <v>24</v>
      </c>
    </row>
    <row r="154" spans="1:8" ht="18" x14ac:dyDescent="0.35">
      <c r="A154" s="325"/>
      <c r="B154" s="498" t="s">
        <v>470</v>
      </c>
      <c r="C154" s="682" t="s">
        <v>39</v>
      </c>
      <c r="D154" s="683" t="s">
        <v>30</v>
      </c>
      <c r="E154" s="683" t="s">
        <v>52</v>
      </c>
      <c r="F154" s="684" t="s">
        <v>464</v>
      </c>
      <c r="G154" s="236"/>
      <c r="H154" s="215">
        <f>H155</f>
        <v>24</v>
      </c>
    </row>
    <row r="155" spans="1:8" ht="36" x14ac:dyDescent="0.35">
      <c r="A155" s="325"/>
      <c r="B155" s="498" t="s">
        <v>55</v>
      </c>
      <c r="C155" s="682" t="s">
        <v>39</v>
      </c>
      <c r="D155" s="683" t="s">
        <v>30</v>
      </c>
      <c r="E155" s="683" t="s">
        <v>52</v>
      </c>
      <c r="F155" s="684" t="s">
        <v>464</v>
      </c>
      <c r="G155" s="236" t="s">
        <v>56</v>
      </c>
      <c r="H155" s="215">
        <f>'прил9 (ведом 23)'!M481</f>
        <v>24</v>
      </c>
    </row>
    <row r="156" spans="1:8" ht="36" x14ac:dyDescent="0.35">
      <c r="A156" s="325"/>
      <c r="B156" s="498" t="s">
        <v>468</v>
      </c>
      <c r="C156" s="682" t="s">
        <v>39</v>
      </c>
      <c r="D156" s="683" t="s">
        <v>30</v>
      </c>
      <c r="E156" s="683" t="s">
        <v>65</v>
      </c>
      <c r="F156" s="684" t="s">
        <v>44</v>
      </c>
      <c r="G156" s="236"/>
      <c r="H156" s="215">
        <f>H157</f>
        <v>334</v>
      </c>
    </row>
    <row r="157" spans="1:8" ht="36" x14ac:dyDescent="0.35">
      <c r="A157" s="325"/>
      <c r="B157" s="498" t="s">
        <v>127</v>
      </c>
      <c r="C157" s="682" t="s">
        <v>39</v>
      </c>
      <c r="D157" s="683" t="s">
        <v>30</v>
      </c>
      <c r="E157" s="683" t="s">
        <v>65</v>
      </c>
      <c r="F157" s="684" t="s">
        <v>90</v>
      </c>
      <c r="G157" s="236"/>
      <c r="H157" s="215">
        <f>H158</f>
        <v>334</v>
      </c>
    </row>
    <row r="158" spans="1:8" ht="36" x14ac:dyDescent="0.35">
      <c r="A158" s="325"/>
      <c r="B158" s="498" t="s">
        <v>55</v>
      </c>
      <c r="C158" s="682" t="s">
        <v>39</v>
      </c>
      <c r="D158" s="683" t="s">
        <v>30</v>
      </c>
      <c r="E158" s="683" t="s">
        <v>65</v>
      </c>
      <c r="F158" s="684" t="s">
        <v>90</v>
      </c>
      <c r="G158" s="236" t="s">
        <v>56</v>
      </c>
      <c r="H158" s="215">
        <f>'прил9 (ведом 23)'!M484</f>
        <v>334</v>
      </c>
    </row>
    <row r="159" spans="1:8" ht="18" x14ac:dyDescent="0.35">
      <c r="A159" s="325"/>
      <c r="B159" s="499"/>
      <c r="C159" s="682"/>
      <c r="D159" s="683"/>
      <c r="E159" s="683"/>
      <c r="F159" s="684"/>
      <c r="G159" s="236"/>
      <c r="H159" s="215"/>
    </row>
    <row r="160" spans="1:8" s="335" customFormat="1" ht="52.2" x14ac:dyDescent="0.3">
      <c r="A160" s="340">
        <v>2</v>
      </c>
      <c r="B160" s="491" t="s">
        <v>213</v>
      </c>
      <c r="C160" s="341" t="s">
        <v>63</v>
      </c>
      <c r="D160" s="341" t="s">
        <v>42</v>
      </c>
      <c r="E160" s="341" t="s">
        <v>43</v>
      </c>
      <c r="F160" s="342" t="s">
        <v>44</v>
      </c>
      <c r="G160" s="334"/>
      <c r="H160" s="252">
        <f>H161+H202+H209</f>
        <v>145549.79999999999</v>
      </c>
    </row>
    <row r="161" spans="1:8" s="335" customFormat="1" ht="54" x14ac:dyDescent="0.35">
      <c r="A161" s="325"/>
      <c r="B161" s="500" t="s">
        <v>214</v>
      </c>
      <c r="C161" s="206" t="s">
        <v>63</v>
      </c>
      <c r="D161" s="207" t="s">
        <v>45</v>
      </c>
      <c r="E161" s="207" t="s">
        <v>43</v>
      </c>
      <c r="F161" s="208" t="s">
        <v>44</v>
      </c>
      <c r="G161" s="236"/>
      <c r="H161" s="215">
        <f>H162+H171+H174+H187+H199</f>
        <v>130536.5</v>
      </c>
    </row>
    <row r="162" spans="1:8" s="335" customFormat="1" ht="36" x14ac:dyDescent="0.35">
      <c r="A162" s="325"/>
      <c r="B162" s="500" t="s">
        <v>275</v>
      </c>
      <c r="C162" s="206" t="s">
        <v>63</v>
      </c>
      <c r="D162" s="207" t="s">
        <v>45</v>
      </c>
      <c r="E162" s="207" t="s">
        <v>37</v>
      </c>
      <c r="F162" s="208" t="s">
        <v>44</v>
      </c>
      <c r="G162" s="236"/>
      <c r="H162" s="215">
        <f>H163+H167+H165+H169</f>
        <v>76691.100000000006</v>
      </c>
    </row>
    <row r="163" spans="1:8" s="335" customFormat="1" ht="36" x14ac:dyDescent="0.35">
      <c r="A163" s="325"/>
      <c r="B163" s="492" t="s">
        <v>461</v>
      </c>
      <c r="C163" s="206" t="s">
        <v>63</v>
      </c>
      <c r="D163" s="207" t="s">
        <v>45</v>
      </c>
      <c r="E163" s="207" t="s">
        <v>37</v>
      </c>
      <c r="F163" s="208" t="s">
        <v>91</v>
      </c>
      <c r="G163" s="28"/>
      <c r="H163" s="215">
        <f>H164</f>
        <v>60082</v>
      </c>
    </row>
    <row r="164" spans="1:8" s="335" customFormat="1" ht="36" x14ac:dyDescent="0.35">
      <c r="A164" s="325"/>
      <c r="B164" s="495" t="s">
        <v>76</v>
      </c>
      <c r="C164" s="206" t="s">
        <v>63</v>
      </c>
      <c r="D164" s="207" t="s">
        <v>45</v>
      </c>
      <c r="E164" s="207" t="s">
        <v>37</v>
      </c>
      <c r="F164" s="208" t="s">
        <v>91</v>
      </c>
      <c r="G164" s="28" t="s">
        <v>77</v>
      </c>
      <c r="H164" s="215">
        <f>'прил9 (ведом 23)'!M678</f>
        <v>60082</v>
      </c>
    </row>
    <row r="165" spans="1:8" s="335" customFormat="1" ht="18" x14ac:dyDescent="0.35">
      <c r="A165" s="325"/>
      <c r="B165" s="501" t="s">
        <v>462</v>
      </c>
      <c r="C165" s="206" t="s">
        <v>63</v>
      </c>
      <c r="D165" s="207" t="s">
        <v>45</v>
      </c>
      <c r="E165" s="207" t="s">
        <v>37</v>
      </c>
      <c r="F165" s="208" t="s">
        <v>379</v>
      </c>
      <c r="G165" s="28"/>
      <c r="H165" s="215">
        <f>H166</f>
        <v>6165</v>
      </c>
    </row>
    <row r="166" spans="1:8" s="335" customFormat="1" ht="36" x14ac:dyDescent="0.35">
      <c r="A166" s="325"/>
      <c r="B166" s="501" t="s">
        <v>76</v>
      </c>
      <c r="C166" s="206" t="s">
        <v>63</v>
      </c>
      <c r="D166" s="207" t="s">
        <v>45</v>
      </c>
      <c r="E166" s="207" t="s">
        <v>37</v>
      </c>
      <c r="F166" s="208" t="s">
        <v>379</v>
      </c>
      <c r="G166" s="28" t="s">
        <v>77</v>
      </c>
      <c r="H166" s="215">
        <f>'прил9 (ведом 23)'!M680</f>
        <v>6165</v>
      </c>
    </row>
    <row r="167" spans="1:8" s="335" customFormat="1" ht="36" x14ac:dyDescent="0.35">
      <c r="A167" s="325"/>
      <c r="B167" s="501" t="s">
        <v>313</v>
      </c>
      <c r="C167" s="206" t="s">
        <v>63</v>
      </c>
      <c r="D167" s="207" t="s">
        <v>45</v>
      </c>
      <c r="E167" s="207" t="s">
        <v>37</v>
      </c>
      <c r="F167" s="208" t="s">
        <v>314</v>
      </c>
      <c r="G167" s="28"/>
      <c r="H167" s="215">
        <f>H168</f>
        <v>7149.5</v>
      </c>
    </row>
    <row r="168" spans="1:8" s="335" customFormat="1" ht="36" x14ac:dyDescent="0.35">
      <c r="A168" s="325"/>
      <c r="B168" s="501" t="s">
        <v>76</v>
      </c>
      <c r="C168" s="206" t="s">
        <v>63</v>
      </c>
      <c r="D168" s="207" t="s">
        <v>45</v>
      </c>
      <c r="E168" s="207" t="s">
        <v>37</v>
      </c>
      <c r="F168" s="208" t="s">
        <v>314</v>
      </c>
      <c r="G168" s="28" t="s">
        <v>77</v>
      </c>
      <c r="H168" s="215">
        <f>'прил9 (ведом 23)'!M682</f>
        <v>7149.5</v>
      </c>
    </row>
    <row r="169" spans="1:8" s="335" customFormat="1" ht="54" x14ac:dyDescent="0.35">
      <c r="A169" s="325"/>
      <c r="B169" s="579" t="s">
        <v>681</v>
      </c>
      <c r="C169" s="689" t="s">
        <v>63</v>
      </c>
      <c r="D169" s="690" t="s">
        <v>45</v>
      </c>
      <c r="E169" s="690" t="s">
        <v>37</v>
      </c>
      <c r="F169" s="691" t="s">
        <v>680</v>
      </c>
      <c r="G169" s="10"/>
      <c r="H169" s="215">
        <f>H170</f>
        <v>3294.6</v>
      </c>
    </row>
    <row r="170" spans="1:8" s="335" customFormat="1" ht="36" x14ac:dyDescent="0.35">
      <c r="A170" s="325"/>
      <c r="B170" s="503" t="s">
        <v>76</v>
      </c>
      <c r="C170" s="689" t="s">
        <v>63</v>
      </c>
      <c r="D170" s="690" t="s">
        <v>45</v>
      </c>
      <c r="E170" s="690" t="s">
        <v>37</v>
      </c>
      <c r="F170" s="691" t="s">
        <v>680</v>
      </c>
      <c r="G170" s="10" t="s">
        <v>77</v>
      </c>
      <c r="H170" s="215">
        <f>'прил9 (ведом 23)'!M684</f>
        <v>3294.6</v>
      </c>
    </row>
    <row r="171" spans="1:8" ht="18" x14ac:dyDescent="0.35">
      <c r="A171" s="397"/>
      <c r="B171" s="495" t="s">
        <v>276</v>
      </c>
      <c r="C171" s="206" t="s">
        <v>63</v>
      </c>
      <c r="D171" s="207" t="s">
        <v>45</v>
      </c>
      <c r="E171" s="207" t="s">
        <v>39</v>
      </c>
      <c r="F171" s="208" t="s">
        <v>44</v>
      </c>
      <c r="G171" s="28"/>
      <c r="H171" s="398">
        <f>H172</f>
        <v>450</v>
      </c>
    </row>
    <row r="172" spans="1:8" s="335" customFormat="1" ht="36" x14ac:dyDescent="0.35">
      <c r="A172" s="325"/>
      <c r="B172" s="495" t="s">
        <v>211</v>
      </c>
      <c r="C172" s="206" t="s">
        <v>63</v>
      </c>
      <c r="D172" s="207" t="s">
        <v>45</v>
      </c>
      <c r="E172" s="207" t="s">
        <v>39</v>
      </c>
      <c r="F172" s="208" t="s">
        <v>278</v>
      </c>
      <c r="G172" s="28"/>
      <c r="H172" s="215">
        <f>H173</f>
        <v>450</v>
      </c>
    </row>
    <row r="173" spans="1:8" s="335" customFormat="1" ht="18" x14ac:dyDescent="0.35">
      <c r="A173" s="325"/>
      <c r="B173" s="495" t="s">
        <v>120</v>
      </c>
      <c r="C173" s="206" t="s">
        <v>63</v>
      </c>
      <c r="D173" s="207" t="s">
        <v>45</v>
      </c>
      <c r="E173" s="207" t="s">
        <v>39</v>
      </c>
      <c r="F173" s="208" t="s">
        <v>278</v>
      </c>
      <c r="G173" s="28" t="s">
        <v>121</v>
      </c>
      <c r="H173" s="215">
        <f>'прил9 (ведом 23)'!M690</f>
        <v>450</v>
      </c>
    </row>
    <row r="174" spans="1:8" s="335" customFormat="1" ht="18" x14ac:dyDescent="0.35">
      <c r="A174" s="325"/>
      <c r="B174" s="492" t="s">
        <v>315</v>
      </c>
      <c r="C174" s="343" t="s">
        <v>63</v>
      </c>
      <c r="D174" s="344" t="s">
        <v>45</v>
      </c>
      <c r="E174" s="344" t="s">
        <v>63</v>
      </c>
      <c r="F174" s="345" t="s">
        <v>44</v>
      </c>
      <c r="G174" s="346"/>
      <c r="H174" s="215">
        <f>H175+H177+H179+H181+H185+H183</f>
        <v>15615</v>
      </c>
    </row>
    <row r="175" spans="1:8" s="335" customFormat="1" ht="36" x14ac:dyDescent="0.35">
      <c r="A175" s="325"/>
      <c r="B175" s="492" t="s">
        <v>461</v>
      </c>
      <c r="C175" s="343" t="s">
        <v>63</v>
      </c>
      <c r="D175" s="344" t="s">
        <v>45</v>
      </c>
      <c r="E175" s="344" t="s">
        <v>63</v>
      </c>
      <c r="F175" s="345" t="s">
        <v>91</v>
      </c>
      <c r="G175" s="346"/>
      <c r="H175" s="215">
        <f>H176</f>
        <v>13184.900000000001</v>
      </c>
    </row>
    <row r="176" spans="1:8" s="335" customFormat="1" ht="36" x14ac:dyDescent="0.35">
      <c r="A176" s="325"/>
      <c r="B176" s="495" t="s">
        <v>76</v>
      </c>
      <c r="C176" s="206" t="s">
        <v>63</v>
      </c>
      <c r="D176" s="207" t="s">
        <v>45</v>
      </c>
      <c r="E176" s="207" t="s">
        <v>63</v>
      </c>
      <c r="F176" s="208" t="s">
        <v>91</v>
      </c>
      <c r="G176" s="28" t="s">
        <v>77</v>
      </c>
      <c r="H176" s="215">
        <f>'прил9 (ведом 23)'!M700</f>
        <v>13184.900000000001</v>
      </c>
    </row>
    <row r="177" spans="1:8" s="335" customFormat="1" ht="18" x14ac:dyDescent="0.35">
      <c r="A177" s="325"/>
      <c r="B177" s="502" t="s">
        <v>462</v>
      </c>
      <c r="C177" s="689" t="s">
        <v>63</v>
      </c>
      <c r="D177" s="690" t="s">
        <v>45</v>
      </c>
      <c r="E177" s="690" t="s">
        <v>63</v>
      </c>
      <c r="F177" s="691" t="s">
        <v>379</v>
      </c>
      <c r="G177" s="10"/>
      <c r="H177" s="215">
        <f>H178</f>
        <v>396.3</v>
      </c>
    </row>
    <row r="178" spans="1:8" s="335" customFormat="1" ht="36" x14ac:dyDescent="0.35">
      <c r="A178" s="325"/>
      <c r="B178" s="503" t="s">
        <v>76</v>
      </c>
      <c r="C178" s="689" t="s">
        <v>63</v>
      </c>
      <c r="D178" s="690" t="s">
        <v>45</v>
      </c>
      <c r="E178" s="690" t="s">
        <v>63</v>
      </c>
      <c r="F178" s="691" t="s">
        <v>379</v>
      </c>
      <c r="G178" s="10" t="s">
        <v>77</v>
      </c>
      <c r="H178" s="215">
        <f>'прил9 (ведом 23)'!M702</f>
        <v>396.3</v>
      </c>
    </row>
    <row r="179" spans="1:8" s="335" customFormat="1" ht="36" x14ac:dyDescent="0.35">
      <c r="A179" s="325"/>
      <c r="B179" s="495" t="s">
        <v>313</v>
      </c>
      <c r="C179" s="343" t="s">
        <v>63</v>
      </c>
      <c r="D179" s="344" t="s">
        <v>45</v>
      </c>
      <c r="E179" s="344" t="s">
        <v>63</v>
      </c>
      <c r="F179" s="345" t="s">
        <v>314</v>
      </c>
      <c r="G179" s="346"/>
      <c r="H179" s="215">
        <f>H180</f>
        <v>476.59999999999997</v>
      </c>
    </row>
    <row r="180" spans="1:8" s="335" customFormat="1" ht="36" x14ac:dyDescent="0.35">
      <c r="A180" s="325"/>
      <c r="B180" s="495" t="s">
        <v>76</v>
      </c>
      <c r="C180" s="343" t="s">
        <v>63</v>
      </c>
      <c r="D180" s="344" t="s">
        <v>45</v>
      </c>
      <c r="E180" s="344" t="s">
        <v>63</v>
      </c>
      <c r="F180" s="345" t="s">
        <v>314</v>
      </c>
      <c r="G180" s="346" t="s">
        <v>77</v>
      </c>
      <c r="H180" s="215">
        <f>'прил9 (ведом 23)'!M704</f>
        <v>476.59999999999997</v>
      </c>
    </row>
    <row r="181" spans="1:8" s="335" customFormat="1" ht="54" x14ac:dyDescent="0.35">
      <c r="A181" s="325"/>
      <c r="B181" s="495" t="s">
        <v>215</v>
      </c>
      <c r="C181" s="206" t="s">
        <v>63</v>
      </c>
      <c r="D181" s="207" t="s">
        <v>45</v>
      </c>
      <c r="E181" s="207" t="s">
        <v>63</v>
      </c>
      <c r="F181" s="208" t="s">
        <v>316</v>
      </c>
      <c r="G181" s="28"/>
      <c r="H181" s="215">
        <f>H182</f>
        <v>512</v>
      </c>
    </row>
    <row r="182" spans="1:8" s="335" customFormat="1" ht="36" x14ac:dyDescent="0.35">
      <c r="A182" s="325"/>
      <c r="B182" s="495" t="s">
        <v>76</v>
      </c>
      <c r="C182" s="206" t="s">
        <v>63</v>
      </c>
      <c r="D182" s="207" t="s">
        <v>45</v>
      </c>
      <c r="E182" s="207" t="s">
        <v>63</v>
      </c>
      <c r="F182" s="208" t="s">
        <v>316</v>
      </c>
      <c r="G182" s="28" t="s">
        <v>77</v>
      </c>
      <c r="H182" s="215">
        <f>'прил9 (ведом 23)'!M706</f>
        <v>512</v>
      </c>
    </row>
    <row r="183" spans="1:8" s="335" customFormat="1" ht="54" x14ac:dyDescent="0.35">
      <c r="A183" s="325"/>
      <c r="B183" s="579" t="s">
        <v>681</v>
      </c>
      <c r="C183" s="689" t="s">
        <v>63</v>
      </c>
      <c r="D183" s="690" t="s">
        <v>45</v>
      </c>
      <c r="E183" s="690" t="s">
        <v>63</v>
      </c>
      <c r="F183" s="691" t="s">
        <v>680</v>
      </c>
      <c r="G183" s="10"/>
      <c r="H183" s="215">
        <f>H184</f>
        <v>493.8</v>
      </c>
    </row>
    <row r="184" spans="1:8" s="335" customFormat="1" ht="36" x14ac:dyDescent="0.35">
      <c r="A184" s="325"/>
      <c r="B184" s="503" t="s">
        <v>76</v>
      </c>
      <c r="C184" s="689" t="s">
        <v>63</v>
      </c>
      <c r="D184" s="690" t="s">
        <v>45</v>
      </c>
      <c r="E184" s="690" t="s">
        <v>63</v>
      </c>
      <c r="F184" s="691" t="s">
        <v>680</v>
      </c>
      <c r="G184" s="10" t="s">
        <v>77</v>
      </c>
      <c r="H184" s="215">
        <f>'прил9 (ведом 23)'!M708</f>
        <v>493.8</v>
      </c>
    </row>
    <row r="185" spans="1:8" s="335" customFormat="1" ht="18" x14ac:dyDescent="0.35">
      <c r="A185" s="325"/>
      <c r="B185" s="501" t="s">
        <v>558</v>
      </c>
      <c r="C185" s="206" t="s">
        <v>63</v>
      </c>
      <c r="D185" s="207" t="s">
        <v>45</v>
      </c>
      <c r="E185" s="207" t="s">
        <v>63</v>
      </c>
      <c r="F185" s="208" t="s">
        <v>557</v>
      </c>
      <c r="G185" s="28"/>
      <c r="H185" s="215">
        <f>H186</f>
        <v>551.4</v>
      </c>
    </row>
    <row r="186" spans="1:8" s="335" customFormat="1" ht="36" x14ac:dyDescent="0.35">
      <c r="A186" s="325"/>
      <c r="B186" s="501" t="s">
        <v>76</v>
      </c>
      <c r="C186" s="206" t="s">
        <v>63</v>
      </c>
      <c r="D186" s="207" t="s">
        <v>45</v>
      </c>
      <c r="E186" s="207" t="s">
        <v>63</v>
      </c>
      <c r="F186" s="208" t="s">
        <v>557</v>
      </c>
      <c r="G186" s="28" t="s">
        <v>77</v>
      </c>
      <c r="H186" s="215">
        <f>'прил9 (ведом 23)'!M710</f>
        <v>551.4</v>
      </c>
    </row>
    <row r="187" spans="1:8" s="335" customFormat="1" ht="36" x14ac:dyDescent="0.35">
      <c r="A187" s="325"/>
      <c r="B187" s="495" t="s">
        <v>317</v>
      </c>
      <c r="C187" s="343" t="s">
        <v>63</v>
      </c>
      <c r="D187" s="344" t="s">
        <v>45</v>
      </c>
      <c r="E187" s="344" t="s">
        <v>52</v>
      </c>
      <c r="F187" s="208" t="s">
        <v>44</v>
      </c>
      <c r="G187" s="28"/>
      <c r="H187" s="215">
        <f>H188+H193+H197+H195</f>
        <v>37479.799999999996</v>
      </c>
    </row>
    <row r="188" spans="1:8" s="335" customFormat="1" ht="36" x14ac:dyDescent="0.35">
      <c r="A188" s="325"/>
      <c r="B188" s="492" t="s">
        <v>461</v>
      </c>
      <c r="C188" s="343" t="s">
        <v>63</v>
      </c>
      <c r="D188" s="344" t="s">
        <v>45</v>
      </c>
      <c r="E188" s="344" t="s">
        <v>52</v>
      </c>
      <c r="F188" s="345" t="s">
        <v>91</v>
      </c>
      <c r="G188" s="346"/>
      <c r="H188" s="215">
        <f>SUM(H189:H192)</f>
        <v>16890.3</v>
      </c>
    </row>
    <row r="189" spans="1:8" s="335" customFormat="1" ht="90" x14ac:dyDescent="0.35">
      <c r="A189" s="325"/>
      <c r="B189" s="493" t="s">
        <v>49</v>
      </c>
      <c r="C189" s="206" t="s">
        <v>63</v>
      </c>
      <c r="D189" s="207" t="s">
        <v>45</v>
      </c>
      <c r="E189" s="207" t="s">
        <v>52</v>
      </c>
      <c r="F189" s="208" t="s">
        <v>91</v>
      </c>
      <c r="G189" s="28" t="s">
        <v>50</v>
      </c>
      <c r="H189" s="215">
        <f>'прил9 (ведом 23)'!M713</f>
        <v>15616.62818</v>
      </c>
    </row>
    <row r="190" spans="1:8" s="335" customFormat="1" ht="36" x14ac:dyDescent="0.35">
      <c r="A190" s="325"/>
      <c r="B190" s="493" t="s">
        <v>55</v>
      </c>
      <c r="C190" s="206" t="s">
        <v>63</v>
      </c>
      <c r="D190" s="207" t="s">
        <v>45</v>
      </c>
      <c r="E190" s="207" t="s">
        <v>52</v>
      </c>
      <c r="F190" s="208" t="s">
        <v>91</v>
      </c>
      <c r="G190" s="28" t="s">
        <v>56</v>
      </c>
      <c r="H190" s="215">
        <f>'прил9 (ведом 23)'!M714</f>
        <v>1225.0999999999999</v>
      </c>
    </row>
    <row r="191" spans="1:8" s="335" customFormat="1" ht="18" x14ac:dyDescent="0.35">
      <c r="A191" s="325"/>
      <c r="B191" s="503" t="s">
        <v>120</v>
      </c>
      <c r="C191" s="689" t="s">
        <v>63</v>
      </c>
      <c r="D191" s="690" t="s">
        <v>45</v>
      </c>
      <c r="E191" s="690" t="s">
        <v>52</v>
      </c>
      <c r="F191" s="691" t="s">
        <v>91</v>
      </c>
      <c r="G191" s="10" t="s">
        <v>121</v>
      </c>
      <c r="H191" s="215">
        <f>'прил9 (ведом 23)'!M715</f>
        <v>1.57182</v>
      </c>
    </row>
    <row r="192" spans="1:8" s="335" customFormat="1" ht="18" x14ac:dyDescent="0.35">
      <c r="A192" s="325"/>
      <c r="B192" s="493" t="s">
        <v>57</v>
      </c>
      <c r="C192" s="206" t="s">
        <v>63</v>
      </c>
      <c r="D192" s="207" t="s">
        <v>45</v>
      </c>
      <c r="E192" s="207" t="s">
        <v>52</v>
      </c>
      <c r="F192" s="208" t="s">
        <v>91</v>
      </c>
      <c r="G192" s="28" t="s">
        <v>58</v>
      </c>
      <c r="H192" s="215">
        <f>'прил9 (ведом 23)'!M716</f>
        <v>47</v>
      </c>
    </row>
    <row r="193" spans="1:8" s="335" customFormat="1" ht="36" x14ac:dyDescent="0.35">
      <c r="A193" s="325"/>
      <c r="B193" s="503" t="s">
        <v>76</v>
      </c>
      <c r="C193" s="689" t="s">
        <v>63</v>
      </c>
      <c r="D193" s="690" t="s">
        <v>45</v>
      </c>
      <c r="E193" s="690" t="s">
        <v>52</v>
      </c>
      <c r="F193" s="691" t="s">
        <v>379</v>
      </c>
      <c r="G193" s="10"/>
      <c r="H193" s="215">
        <f>H194</f>
        <v>833.3</v>
      </c>
    </row>
    <row r="194" spans="1:8" s="335" customFormat="1" ht="36" x14ac:dyDescent="0.35">
      <c r="A194" s="325"/>
      <c r="B194" s="496" t="s">
        <v>55</v>
      </c>
      <c r="C194" s="689" t="s">
        <v>63</v>
      </c>
      <c r="D194" s="690" t="s">
        <v>45</v>
      </c>
      <c r="E194" s="690" t="s">
        <v>52</v>
      </c>
      <c r="F194" s="691" t="s">
        <v>379</v>
      </c>
      <c r="G194" s="10" t="s">
        <v>56</v>
      </c>
      <c r="H194" s="215">
        <f>'прил9 (ведом 23)'!M718</f>
        <v>833.3</v>
      </c>
    </row>
    <row r="195" spans="1:8" s="335" customFormat="1" ht="54" x14ac:dyDescent="0.35">
      <c r="A195" s="325"/>
      <c r="B195" s="579" t="s">
        <v>681</v>
      </c>
      <c r="C195" s="689" t="s">
        <v>63</v>
      </c>
      <c r="D195" s="690" t="s">
        <v>45</v>
      </c>
      <c r="E195" s="690" t="s">
        <v>52</v>
      </c>
      <c r="F195" s="691" t="s">
        <v>680</v>
      </c>
      <c r="G195" s="10"/>
      <c r="H195" s="215">
        <f>H196</f>
        <v>1656.2</v>
      </c>
    </row>
    <row r="196" spans="1:8" s="335" customFormat="1" ht="36" x14ac:dyDescent="0.35">
      <c r="A196" s="325"/>
      <c r="B196" s="496" t="s">
        <v>55</v>
      </c>
      <c r="C196" s="689" t="s">
        <v>63</v>
      </c>
      <c r="D196" s="690" t="s">
        <v>45</v>
      </c>
      <c r="E196" s="690" t="s">
        <v>52</v>
      </c>
      <c r="F196" s="691" t="s">
        <v>680</v>
      </c>
      <c r="G196" s="10" t="s">
        <v>56</v>
      </c>
      <c r="H196" s="215">
        <f>'прил9 (ведом 23)'!M720</f>
        <v>1656.2</v>
      </c>
    </row>
    <row r="197" spans="1:8" s="335" customFormat="1" ht="90" x14ac:dyDescent="0.35">
      <c r="A197" s="325"/>
      <c r="B197" s="579" t="s">
        <v>613</v>
      </c>
      <c r="C197" s="689" t="s">
        <v>63</v>
      </c>
      <c r="D197" s="690" t="s">
        <v>45</v>
      </c>
      <c r="E197" s="690" t="s">
        <v>52</v>
      </c>
      <c r="F197" s="691" t="s">
        <v>614</v>
      </c>
      <c r="G197" s="10"/>
      <c r="H197" s="215">
        <f>H198</f>
        <v>18100</v>
      </c>
    </row>
    <row r="198" spans="1:8" s="335" customFormat="1" ht="36" x14ac:dyDescent="0.35">
      <c r="A198" s="325"/>
      <c r="B198" s="579" t="s">
        <v>55</v>
      </c>
      <c r="C198" s="689" t="s">
        <v>63</v>
      </c>
      <c r="D198" s="690" t="s">
        <v>45</v>
      </c>
      <c r="E198" s="690" t="s">
        <v>52</v>
      </c>
      <c r="F198" s="691" t="s">
        <v>614</v>
      </c>
      <c r="G198" s="10" t="s">
        <v>56</v>
      </c>
      <c r="H198" s="215">
        <f>'прил9 (ведом 23)'!M722</f>
        <v>18100</v>
      </c>
    </row>
    <row r="199" spans="1:8" s="335" customFormat="1" ht="36" x14ac:dyDescent="0.35">
      <c r="A199" s="325"/>
      <c r="B199" s="501" t="s">
        <v>280</v>
      </c>
      <c r="C199" s="206" t="s">
        <v>63</v>
      </c>
      <c r="D199" s="207" t="s">
        <v>45</v>
      </c>
      <c r="E199" s="207" t="s">
        <v>65</v>
      </c>
      <c r="F199" s="208" t="s">
        <v>44</v>
      </c>
      <c r="G199" s="28"/>
      <c r="H199" s="215">
        <f>H200</f>
        <v>300.60000000000002</v>
      </c>
    </row>
    <row r="200" spans="1:8" s="335" customFormat="1" ht="36" x14ac:dyDescent="0.35">
      <c r="A200" s="325"/>
      <c r="B200" s="501" t="s">
        <v>467</v>
      </c>
      <c r="C200" s="206" t="s">
        <v>63</v>
      </c>
      <c r="D200" s="207" t="s">
        <v>45</v>
      </c>
      <c r="E200" s="207" t="s">
        <v>65</v>
      </c>
      <c r="F200" s="208" t="s">
        <v>466</v>
      </c>
      <c r="G200" s="28"/>
      <c r="H200" s="215">
        <f>H201</f>
        <v>300.60000000000002</v>
      </c>
    </row>
    <row r="201" spans="1:8" s="335" customFormat="1" ht="36" x14ac:dyDescent="0.35">
      <c r="A201" s="325"/>
      <c r="B201" s="501" t="s">
        <v>76</v>
      </c>
      <c r="C201" s="206" t="s">
        <v>63</v>
      </c>
      <c r="D201" s="207" t="s">
        <v>45</v>
      </c>
      <c r="E201" s="207" t="s">
        <v>65</v>
      </c>
      <c r="F201" s="208" t="s">
        <v>466</v>
      </c>
      <c r="G201" s="28" t="s">
        <v>77</v>
      </c>
      <c r="H201" s="215">
        <f>'прил9 (ведом 23)'!M693</f>
        <v>300.60000000000002</v>
      </c>
    </row>
    <row r="202" spans="1:8" ht="36" x14ac:dyDescent="0.35">
      <c r="A202" s="325"/>
      <c r="B202" s="492" t="s">
        <v>324</v>
      </c>
      <c r="C202" s="343" t="s">
        <v>63</v>
      </c>
      <c r="D202" s="344" t="s">
        <v>89</v>
      </c>
      <c r="E202" s="344" t="s">
        <v>43</v>
      </c>
      <c r="F202" s="208" t="s">
        <v>44</v>
      </c>
      <c r="G202" s="346"/>
      <c r="H202" s="215">
        <f>H203</f>
        <v>3437.5000000000005</v>
      </c>
    </row>
    <row r="203" spans="1:8" ht="90" x14ac:dyDescent="0.35">
      <c r="A203" s="325"/>
      <c r="B203" s="495" t="s">
        <v>318</v>
      </c>
      <c r="C203" s="343" t="s">
        <v>63</v>
      </c>
      <c r="D203" s="344" t="s">
        <v>89</v>
      </c>
      <c r="E203" s="344" t="s">
        <v>63</v>
      </c>
      <c r="F203" s="208" t="s">
        <v>44</v>
      </c>
      <c r="G203" s="346"/>
      <c r="H203" s="215">
        <f>H204+H207</f>
        <v>3437.5000000000005</v>
      </c>
    </row>
    <row r="204" spans="1:8" ht="36" x14ac:dyDescent="0.35">
      <c r="A204" s="325"/>
      <c r="B204" s="495" t="s">
        <v>313</v>
      </c>
      <c r="C204" s="343" t="s">
        <v>63</v>
      </c>
      <c r="D204" s="344" t="s">
        <v>89</v>
      </c>
      <c r="E204" s="344" t="s">
        <v>63</v>
      </c>
      <c r="F204" s="345" t="s">
        <v>314</v>
      </c>
      <c r="G204" s="236"/>
      <c r="H204" s="215">
        <f>SUM(H205:H206)</f>
        <v>3395.3940000000002</v>
      </c>
    </row>
    <row r="205" spans="1:8" ht="36" x14ac:dyDescent="0.35">
      <c r="A205" s="325"/>
      <c r="B205" s="492" t="s">
        <v>55</v>
      </c>
      <c r="C205" s="206" t="s">
        <v>63</v>
      </c>
      <c r="D205" s="207" t="s">
        <v>89</v>
      </c>
      <c r="E205" s="207" t="s">
        <v>63</v>
      </c>
      <c r="F205" s="208" t="s">
        <v>314</v>
      </c>
      <c r="G205" s="236" t="s">
        <v>56</v>
      </c>
      <c r="H205" s="215">
        <f>'прил9 (ведом 23)'!M735+'прил9 (ведом 23)'!M726</f>
        <v>2949</v>
      </c>
    </row>
    <row r="206" spans="1:8" ht="36" x14ac:dyDescent="0.35">
      <c r="A206" s="325"/>
      <c r="B206" s="495" t="s">
        <v>76</v>
      </c>
      <c r="C206" s="206" t="s">
        <v>63</v>
      </c>
      <c r="D206" s="207" t="s">
        <v>89</v>
      </c>
      <c r="E206" s="207" t="s">
        <v>63</v>
      </c>
      <c r="F206" s="208" t="s">
        <v>314</v>
      </c>
      <c r="G206" s="28" t="s">
        <v>77</v>
      </c>
      <c r="H206" s="215">
        <f>'прил9 (ведом 23)'!M727</f>
        <v>446.39400000000001</v>
      </c>
    </row>
    <row r="207" spans="1:8" ht="36" x14ac:dyDescent="0.35">
      <c r="A207" s="325"/>
      <c r="B207" s="501" t="s">
        <v>410</v>
      </c>
      <c r="C207" s="206" t="s">
        <v>63</v>
      </c>
      <c r="D207" s="207" t="s">
        <v>89</v>
      </c>
      <c r="E207" s="207" t="s">
        <v>63</v>
      </c>
      <c r="F207" s="208" t="s">
        <v>411</v>
      </c>
      <c r="G207" s="28"/>
      <c r="H207" s="215">
        <f>H208</f>
        <v>42.106000000000002</v>
      </c>
    </row>
    <row r="208" spans="1:8" ht="36" x14ac:dyDescent="0.35">
      <c r="A208" s="325"/>
      <c r="B208" s="501" t="s">
        <v>76</v>
      </c>
      <c r="C208" s="206" t="s">
        <v>63</v>
      </c>
      <c r="D208" s="207" t="s">
        <v>89</v>
      </c>
      <c r="E208" s="207" t="s">
        <v>63</v>
      </c>
      <c r="F208" s="208" t="s">
        <v>411</v>
      </c>
      <c r="G208" s="28" t="s">
        <v>77</v>
      </c>
      <c r="H208" s="215">
        <f>'прил9 (ведом 23)'!M729</f>
        <v>42.106000000000002</v>
      </c>
    </row>
    <row r="209" spans="1:8" s="335" customFormat="1" ht="36" x14ac:dyDescent="0.35">
      <c r="A209" s="325"/>
      <c r="B209" s="492" t="s">
        <v>216</v>
      </c>
      <c r="C209" s="206" t="s">
        <v>63</v>
      </c>
      <c r="D209" s="207" t="s">
        <v>30</v>
      </c>
      <c r="E209" s="207" t="s">
        <v>43</v>
      </c>
      <c r="F209" s="208" t="s">
        <v>44</v>
      </c>
      <c r="G209" s="236"/>
      <c r="H209" s="215">
        <f>H210+H219</f>
        <v>11575.800000000001</v>
      </c>
    </row>
    <row r="210" spans="1:8" s="335" customFormat="1" ht="36" x14ac:dyDescent="0.35">
      <c r="A210" s="325"/>
      <c r="B210" s="492" t="s">
        <v>281</v>
      </c>
      <c r="C210" s="206" t="s">
        <v>63</v>
      </c>
      <c r="D210" s="207" t="s">
        <v>30</v>
      </c>
      <c r="E210" s="207" t="s">
        <v>37</v>
      </c>
      <c r="F210" s="208" t="s">
        <v>44</v>
      </c>
      <c r="G210" s="28"/>
      <c r="H210" s="215">
        <f>H211+H215</f>
        <v>11521.7</v>
      </c>
    </row>
    <row r="211" spans="1:8" ht="36" x14ac:dyDescent="0.35">
      <c r="A211" s="325"/>
      <c r="B211" s="492" t="s">
        <v>47</v>
      </c>
      <c r="C211" s="206" t="s">
        <v>63</v>
      </c>
      <c r="D211" s="207" t="s">
        <v>30</v>
      </c>
      <c r="E211" s="207" t="s">
        <v>37</v>
      </c>
      <c r="F211" s="208" t="s">
        <v>48</v>
      </c>
      <c r="G211" s="346"/>
      <c r="H211" s="215">
        <f>SUM(H212:H214)</f>
        <v>3487.2000000000003</v>
      </c>
    </row>
    <row r="212" spans="1:8" ht="90" x14ac:dyDescent="0.35">
      <c r="A212" s="325"/>
      <c r="B212" s="492" t="s">
        <v>49</v>
      </c>
      <c r="C212" s="206" t="s">
        <v>63</v>
      </c>
      <c r="D212" s="207" t="s">
        <v>30</v>
      </c>
      <c r="E212" s="207" t="s">
        <v>37</v>
      </c>
      <c r="F212" s="208" t="s">
        <v>48</v>
      </c>
      <c r="G212" s="346" t="s">
        <v>50</v>
      </c>
      <c r="H212" s="215">
        <f>'прил9 (ведом 23)'!M739</f>
        <v>3193.9</v>
      </c>
    </row>
    <row r="213" spans="1:8" ht="36" x14ac:dyDescent="0.35">
      <c r="A213" s="325"/>
      <c r="B213" s="492" t="s">
        <v>55</v>
      </c>
      <c r="C213" s="206" t="s">
        <v>63</v>
      </c>
      <c r="D213" s="207" t="s">
        <v>30</v>
      </c>
      <c r="E213" s="207" t="s">
        <v>37</v>
      </c>
      <c r="F213" s="208" t="s">
        <v>48</v>
      </c>
      <c r="G213" s="346" t="s">
        <v>56</v>
      </c>
      <c r="H213" s="215">
        <f>'прил9 (ведом 23)'!M740</f>
        <v>284.8</v>
      </c>
    </row>
    <row r="214" spans="1:8" ht="18" x14ac:dyDescent="0.35">
      <c r="A214" s="325"/>
      <c r="B214" s="492" t="s">
        <v>57</v>
      </c>
      <c r="C214" s="206" t="s">
        <v>63</v>
      </c>
      <c r="D214" s="207" t="s">
        <v>30</v>
      </c>
      <c r="E214" s="207" t="s">
        <v>37</v>
      </c>
      <c r="F214" s="208" t="s">
        <v>48</v>
      </c>
      <c r="G214" s="28" t="s">
        <v>58</v>
      </c>
      <c r="H214" s="215">
        <f>'прил9 (ведом 23)'!M741</f>
        <v>8.5</v>
      </c>
    </row>
    <row r="215" spans="1:8" ht="36" x14ac:dyDescent="0.35">
      <c r="A215" s="325"/>
      <c r="B215" s="492" t="s">
        <v>461</v>
      </c>
      <c r="C215" s="206" t="s">
        <v>63</v>
      </c>
      <c r="D215" s="207" t="s">
        <v>30</v>
      </c>
      <c r="E215" s="207" t="s">
        <v>37</v>
      </c>
      <c r="F215" s="208" t="s">
        <v>91</v>
      </c>
      <c r="G215" s="28"/>
      <c r="H215" s="215">
        <f>SUM(H216:H218)</f>
        <v>8034.5000000000009</v>
      </c>
    </row>
    <row r="216" spans="1:8" ht="90" x14ac:dyDescent="0.35">
      <c r="A216" s="325"/>
      <c r="B216" s="492" t="s">
        <v>49</v>
      </c>
      <c r="C216" s="206" t="s">
        <v>63</v>
      </c>
      <c r="D216" s="207" t="s">
        <v>30</v>
      </c>
      <c r="E216" s="207" t="s">
        <v>37</v>
      </c>
      <c r="F216" s="208" t="s">
        <v>91</v>
      </c>
      <c r="G216" s="346" t="s">
        <v>50</v>
      </c>
      <c r="H216" s="215">
        <f>'прил9 (ведом 23)'!M743</f>
        <v>7283.1</v>
      </c>
    </row>
    <row r="217" spans="1:8" ht="36" x14ac:dyDescent="0.35">
      <c r="A217" s="325"/>
      <c r="B217" s="492" t="s">
        <v>55</v>
      </c>
      <c r="C217" s="206" t="s">
        <v>63</v>
      </c>
      <c r="D217" s="207" t="s">
        <v>30</v>
      </c>
      <c r="E217" s="207" t="s">
        <v>37</v>
      </c>
      <c r="F217" s="208" t="s">
        <v>91</v>
      </c>
      <c r="G217" s="346" t="s">
        <v>56</v>
      </c>
      <c r="H217" s="215">
        <f>'прил9 (ведом 23)'!M744</f>
        <v>749.80000000000007</v>
      </c>
    </row>
    <row r="218" spans="1:8" ht="18" x14ac:dyDescent="0.35">
      <c r="A218" s="325"/>
      <c r="B218" s="492" t="s">
        <v>57</v>
      </c>
      <c r="C218" s="206" t="s">
        <v>63</v>
      </c>
      <c r="D218" s="207" t="s">
        <v>30</v>
      </c>
      <c r="E218" s="207" t="s">
        <v>37</v>
      </c>
      <c r="F218" s="208" t="s">
        <v>91</v>
      </c>
      <c r="G218" s="28" t="s">
        <v>58</v>
      </c>
      <c r="H218" s="215">
        <f>'прил9 (ведом 23)'!M745</f>
        <v>1.6</v>
      </c>
    </row>
    <row r="219" spans="1:8" ht="36" x14ac:dyDescent="0.35">
      <c r="A219" s="325"/>
      <c r="B219" s="493" t="s">
        <v>349</v>
      </c>
      <c r="C219" s="206" t="s">
        <v>63</v>
      </c>
      <c r="D219" s="207" t="s">
        <v>30</v>
      </c>
      <c r="E219" s="207" t="s">
        <v>39</v>
      </c>
      <c r="F219" s="208" t="s">
        <v>44</v>
      </c>
      <c r="G219" s="148"/>
      <c r="H219" s="215">
        <f>H220</f>
        <v>54.1</v>
      </c>
    </row>
    <row r="220" spans="1:8" ht="54" x14ac:dyDescent="0.35">
      <c r="A220" s="325"/>
      <c r="B220" s="493" t="s">
        <v>350</v>
      </c>
      <c r="C220" s="206" t="s">
        <v>63</v>
      </c>
      <c r="D220" s="207" t="s">
        <v>30</v>
      </c>
      <c r="E220" s="207" t="s">
        <v>39</v>
      </c>
      <c r="F220" s="208" t="s">
        <v>105</v>
      </c>
      <c r="G220" s="148"/>
      <c r="H220" s="215">
        <f>H221</f>
        <v>54.1</v>
      </c>
    </row>
    <row r="221" spans="1:8" ht="36" x14ac:dyDescent="0.35">
      <c r="A221" s="325"/>
      <c r="B221" s="493" t="s">
        <v>55</v>
      </c>
      <c r="C221" s="206" t="s">
        <v>63</v>
      </c>
      <c r="D221" s="207" t="s">
        <v>30</v>
      </c>
      <c r="E221" s="207" t="s">
        <v>39</v>
      </c>
      <c r="F221" s="208" t="s">
        <v>105</v>
      </c>
      <c r="G221" s="28" t="s">
        <v>56</v>
      </c>
      <c r="H221" s="215">
        <f>'прил9 (ведом 23)'!M671</f>
        <v>54.1</v>
      </c>
    </row>
    <row r="222" spans="1:8" ht="18" x14ac:dyDescent="0.35">
      <c r="A222" s="325"/>
      <c r="B222" s="499"/>
      <c r="C222" s="347"/>
      <c r="D222" s="347"/>
      <c r="E222" s="291"/>
      <c r="F222" s="348"/>
      <c r="G222" s="236"/>
      <c r="H222" s="215"/>
    </row>
    <row r="223" spans="1:8" s="335" customFormat="1" ht="52.2" x14ac:dyDescent="0.3">
      <c r="A223" s="340">
        <v>3</v>
      </c>
      <c r="B223" s="504" t="s">
        <v>217</v>
      </c>
      <c r="C223" s="341" t="s">
        <v>52</v>
      </c>
      <c r="D223" s="341" t="s">
        <v>42</v>
      </c>
      <c r="E223" s="341" t="s">
        <v>43</v>
      </c>
      <c r="F223" s="342" t="s">
        <v>44</v>
      </c>
      <c r="G223" s="334"/>
      <c r="H223" s="252">
        <f>H224+H234+H267</f>
        <v>151390.39999999997</v>
      </c>
    </row>
    <row r="224" spans="1:8" ht="18" x14ac:dyDescent="0.35">
      <c r="A224" s="325"/>
      <c r="B224" s="500" t="s">
        <v>218</v>
      </c>
      <c r="C224" s="206" t="s">
        <v>52</v>
      </c>
      <c r="D224" s="207" t="s">
        <v>45</v>
      </c>
      <c r="E224" s="207" t="s">
        <v>43</v>
      </c>
      <c r="F224" s="208" t="s">
        <v>44</v>
      </c>
      <c r="G224" s="236"/>
      <c r="H224" s="215">
        <f>H225+H228+H231</f>
        <v>2743.8</v>
      </c>
    </row>
    <row r="225" spans="1:8" ht="18" x14ac:dyDescent="0.35">
      <c r="A225" s="325"/>
      <c r="B225" s="492" t="s">
        <v>276</v>
      </c>
      <c r="C225" s="206" t="s">
        <v>52</v>
      </c>
      <c r="D225" s="207" t="s">
        <v>45</v>
      </c>
      <c r="E225" s="207" t="s">
        <v>37</v>
      </c>
      <c r="F225" s="208" t="s">
        <v>44</v>
      </c>
      <c r="G225" s="236"/>
      <c r="H225" s="215">
        <f>H226</f>
        <v>342</v>
      </c>
    </row>
    <row r="226" spans="1:8" ht="36" x14ac:dyDescent="0.35">
      <c r="A226" s="325"/>
      <c r="B226" s="492" t="s">
        <v>277</v>
      </c>
      <c r="C226" s="206" t="s">
        <v>52</v>
      </c>
      <c r="D226" s="207" t="s">
        <v>45</v>
      </c>
      <c r="E226" s="207" t="s">
        <v>37</v>
      </c>
      <c r="F226" s="208" t="s">
        <v>278</v>
      </c>
      <c r="G226" s="28"/>
      <c r="H226" s="215">
        <f>H227</f>
        <v>342</v>
      </c>
    </row>
    <row r="227" spans="1:8" ht="18" x14ac:dyDescent="0.35">
      <c r="A227" s="325"/>
      <c r="B227" s="492" t="s">
        <v>120</v>
      </c>
      <c r="C227" s="206" t="s">
        <v>52</v>
      </c>
      <c r="D227" s="207" t="s">
        <v>45</v>
      </c>
      <c r="E227" s="207" t="s">
        <v>37</v>
      </c>
      <c r="F227" s="208" t="s">
        <v>278</v>
      </c>
      <c r="G227" s="28" t="s">
        <v>121</v>
      </c>
      <c r="H227" s="215">
        <f>'прил9 (ведом 23)'!M761+'прил9 (ведом 23)'!M795</f>
        <v>342</v>
      </c>
    </row>
    <row r="228" spans="1:8" ht="54" x14ac:dyDescent="0.35">
      <c r="A228" s="325"/>
      <c r="B228" s="492" t="s">
        <v>290</v>
      </c>
      <c r="C228" s="206" t="s">
        <v>52</v>
      </c>
      <c r="D228" s="207" t="s">
        <v>45</v>
      </c>
      <c r="E228" s="207" t="s">
        <v>39</v>
      </c>
      <c r="F228" s="208" t="s">
        <v>44</v>
      </c>
      <c r="G228" s="28"/>
      <c r="H228" s="215">
        <f>H229</f>
        <v>910.6</v>
      </c>
    </row>
    <row r="229" spans="1:8" ht="36" x14ac:dyDescent="0.35">
      <c r="A229" s="325"/>
      <c r="B229" s="492" t="s">
        <v>219</v>
      </c>
      <c r="C229" s="206" t="s">
        <v>52</v>
      </c>
      <c r="D229" s="207" t="s">
        <v>45</v>
      </c>
      <c r="E229" s="207" t="s">
        <v>39</v>
      </c>
      <c r="F229" s="208" t="s">
        <v>291</v>
      </c>
      <c r="G229" s="28"/>
      <c r="H229" s="215">
        <f>SUM(H230:H230)</f>
        <v>910.6</v>
      </c>
    </row>
    <row r="230" spans="1:8" ht="36" x14ac:dyDescent="0.35">
      <c r="A230" s="325"/>
      <c r="B230" s="492" t="s">
        <v>55</v>
      </c>
      <c r="C230" s="206" t="s">
        <v>52</v>
      </c>
      <c r="D230" s="207" t="s">
        <v>45</v>
      </c>
      <c r="E230" s="207" t="s">
        <v>39</v>
      </c>
      <c r="F230" s="208" t="s">
        <v>291</v>
      </c>
      <c r="G230" s="28" t="s">
        <v>56</v>
      </c>
      <c r="H230" s="215">
        <f>'прил9 (ведом 23)'!M782</f>
        <v>910.6</v>
      </c>
    </row>
    <row r="231" spans="1:8" ht="18" x14ac:dyDescent="0.35">
      <c r="A231" s="325"/>
      <c r="B231" s="496" t="s">
        <v>485</v>
      </c>
      <c r="C231" s="689" t="s">
        <v>52</v>
      </c>
      <c r="D231" s="690" t="s">
        <v>45</v>
      </c>
      <c r="E231" s="690" t="s">
        <v>484</v>
      </c>
      <c r="F231" s="691" t="s">
        <v>44</v>
      </c>
      <c r="G231" s="10"/>
      <c r="H231" s="215">
        <f>H232</f>
        <v>1491.2</v>
      </c>
    </row>
    <row r="232" spans="1:8" ht="36" x14ac:dyDescent="0.35">
      <c r="A232" s="325"/>
      <c r="B232" s="496" t="s">
        <v>486</v>
      </c>
      <c r="C232" s="689" t="s">
        <v>52</v>
      </c>
      <c r="D232" s="690" t="s">
        <v>45</v>
      </c>
      <c r="E232" s="690" t="s">
        <v>484</v>
      </c>
      <c r="F232" s="691" t="s">
        <v>496</v>
      </c>
      <c r="G232" s="10"/>
      <c r="H232" s="215">
        <f>H233</f>
        <v>1491.2</v>
      </c>
    </row>
    <row r="233" spans="1:8" ht="36" x14ac:dyDescent="0.35">
      <c r="A233" s="325"/>
      <c r="B233" s="496" t="s">
        <v>55</v>
      </c>
      <c r="C233" s="689" t="s">
        <v>52</v>
      </c>
      <c r="D233" s="690" t="s">
        <v>45</v>
      </c>
      <c r="E233" s="690" t="s">
        <v>484</v>
      </c>
      <c r="F233" s="691" t="s">
        <v>496</v>
      </c>
      <c r="G233" s="10" t="s">
        <v>56</v>
      </c>
      <c r="H233" s="215">
        <f>'прил9 (ведом 23)'!M785</f>
        <v>1491.2</v>
      </c>
    </row>
    <row r="234" spans="1:8" ht="18" x14ac:dyDescent="0.35">
      <c r="A234" s="325"/>
      <c r="B234" s="492" t="s">
        <v>220</v>
      </c>
      <c r="C234" s="206" t="s">
        <v>52</v>
      </c>
      <c r="D234" s="207" t="s">
        <v>89</v>
      </c>
      <c r="E234" s="207" t="s">
        <v>43</v>
      </c>
      <c r="F234" s="208" t="s">
        <v>44</v>
      </c>
      <c r="G234" s="236"/>
      <c r="H234" s="215">
        <f>H235+H240+H257+H260</f>
        <v>74704.39999999998</v>
      </c>
    </row>
    <row r="235" spans="1:8" ht="36" x14ac:dyDescent="0.35">
      <c r="A235" s="325"/>
      <c r="B235" s="492" t="s">
        <v>281</v>
      </c>
      <c r="C235" s="206" t="s">
        <v>52</v>
      </c>
      <c r="D235" s="207" t="s">
        <v>89</v>
      </c>
      <c r="E235" s="207" t="s">
        <v>37</v>
      </c>
      <c r="F235" s="208" t="s">
        <v>44</v>
      </c>
      <c r="G235" s="28"/>
      <c r="H235" s="215">
        <f>H236</f>
        <v>2971.1000000000004</v>
      </c>
    </row>
    <row r="236" spans="1:8" ht="36" x14ac:dyDescent="0.35">
      <c r="A236" s="325"/>
      <c r="B236" s="492" t="s">
        <v>47</v>
      </c>
      <c r="C236" s="206" t="s">
        <v>52</v>
      </c>
      <c r="D236" s="207" t="s">
        <v>89</v>
      </c>
      <c r="E236" s="207" t="s">
        <v>37</v>
      </c>
      <c r="F236" s="208" t="s">
        <v>48</v>
      </c>
      <c r="G236" s="28"/>
      <c r="H236" s="215">
        <f>SUM(H237:H239)</f>
        <v>2971.1000000000004</v>
      </c>
    </row>
    <row r="237" spans="1:8" ht="90" x14ac:dyDescent="0.35">
      <c r="A237" s="325"/>
      <c r="B237" s="492" t="s">
        <v>49</v>
      </c>
      <c r="C237" s="206" t="s">
        <v>52</v>
      </c>
      <c r="D237" s="207" t="s">
        <v>89</v>
      </c>
      <c r="E237" s="207" t="s">
        <v>37</v>
      </c>
      <c r="F237" s="208" t="s">
        <v>48</v>
      </c>
      <c r="G237" s="28" t="s">
        <v>50</v>
      </c>
      <c r="H237" s="215">
        <f>'прил9 (ведом 23)'!M817</f>
        <v>2910.9</v>
      </c>
    </row>
    <row r="238" spans="1:8" ht="36" x14ac:dyDescent="0.35">
      <c r="A238" s="325"/>
      <c r="B238" s="492" t="s">
        <v>55</v>
      </c>
      <c r="C238" s="206" t="s">
        <v>52</v>
      </c>
      <c r="D238" s="207" t="s">
        <v>89</v>
      </c>
      <c r="E238" s="207" t="s">
        <v>37</v>
      </c>
      <c r="F238" s="208" t="s">
        <v>48</v>
      </c>
      <c r="G238" s="28" t="s">
        <v>56</v>
      </c>
      <c r="H238" s="215">
        <f>'прил9 (ведом 23)'!M818</f>
        <v>58.3</v>
      </c>
    </row>
    <row r="239" spans="1:8" ht="18" x14ac:dyDescent="0.35">
      <c r="A239" s="325"/>
      <c r="B239" s="492" t="s">
        <v>57</v>
      </c>
      <c r="C239" s="206" t="s">
        <v>52</v>
      </c>
      <c r="D239" s="207" t="s">
        <v>89</v>
      </c>
      <c r="E239" s="207" t="s">
        <v>37</v>
      </c>
      <c r="F239" s="208" t="s">
        <v>48</v>
      </c>
      <c r="G239" s="28" t="s">
        <v>58</v>
      </c>
      <c r="H239" s="215">
        <f>'прил9 (ведом 23)'!M819</f>
        <v>1.9</v>
      </c>
    </row>
    <row r="240" spans="1:8" ht="18" x14ac:dyDescent="0.35">
      <c r="A240" s="325"/>
      <c r="B240" s="492" t="s">
        <v>359</v>
      </c>
      <c r="C240" s="206" t="s">
        <v>52</v>
      </c>
      <c r="D240" s="207" t="s">
        <v>89</v>
      </c>
      <c r="E240" s="207" t="s">
        <v>39</v>
      </c>
      <c r="F240" s="208" t="s">
        <v>44</v>
      </c>
      <c r="G240" s="28"/>
      <c r="H240" s="215">
        <f>H241+H253+H245+H247+H255+H251+H249</f>
        <v>66843.099999999977</v>
      </c>
    </row>
    <row r="241" spans="1:8" ht="36" x14ac:dyDescent="0.35">
      <c r="A241" s="325"/>
      <c r="B241" s="492" t="s">
        <v>461</v>
      </c>
      <c r="C241" s="206" t="s">
        <v>52</v>
      </c>
      <c r="D241" s="207" t="s">
        <v>89</v>
      </c>
      <c r="E241" s="207" t="s">
        <v>39</v>
      </c>
      <c r="F241" s="208" t="s">
        <v>91</v>
      </c>
      <c r="G241" s="28"/>
      <c r="H241" s="215">
        <f>SUM(H242:H244)</f>
        <v>33406.299999999996</v>
      </c>
    </row>
    <row r="242" spans="1:8" ht="90" x14ac:dyDescent="0.35">
      <c r="A242" s="325"/>
      <c r="B242" s="492" t="s">
        <v>49</v>
      </c>
      <c r="C242" s="206" t="s">
        <v>52</v>
      </c>
      <c r="D242" s="207" t="s">
        <v>89</v>
      </c>
      <c r="E242" s="207" t="s">
        <v>39</v>
      </c>
      <c r="F242" s="208" t="s">
        <v>91</v>
      </c>
      <c r="G242" s="28" t="s">
        <v>50</v>
      </c>
      <c r="H242" s="215">
        <f>'прил9 (ведом 23)'!M765+'прил9 (ведом 23)'!M799</f>
        <v>21067.7</v>
      </c>
    </row>
    <row r="243" spans="1:8" ht="36" x14ac:dyDescent="0.35">
      <c r="A243" s="325"/>
      <c r="B243" s="492" t="s">
        <v>55</v>
      </c>
      <c r="C243" s="206" t="s">
        <v>52</v>
      </c>
      <c r="D243" s="207" t="s">
        <v>89</v>
      </c>
      <c r="E243" s="207" t="s">
        <v>39</v>
      </c>
      <c r="F243" s="208" t="s">
        <v>91</v>
      </c>
      <c r="G243" s="28" t="s">
        <v>56</v>
      </c>
      <c r="H243" s="215">
        <f>'прил9 (ведом 23)'!M766+'прил9 (ведом 23)'!M800</f>
        <v>10822.199999999997</v>
      </c>
    </row>
    <row r="244" spans="1:8" ht="18" x14ac:dyDescent="0.35">
      <c r="A244" s="325"/>
      <c r="B244" s="492" t="s">
        <v>57</v>
      </c>
      <c r="C244" s="206" t="s">
        <v>52</v>
      </c>
      <c r="D244" s="207" t="s">
        <v>89</v>
      </c>
      <c r="E244" s="207" t="s">
        <v>39</v>
      </c>
      <c r="F244" s="208" t="s">
        <v>91</v>
      </c>
      <c r="G244" s="28" t="s">
        <v>58</v>
      </c>
      <c r="H244" s="215">
        <f>'прил9 (ведом 23)'!M767+'прил9 (ведом 23)'!M801</f>
        <v>1516.3999999999999</v>
      </c>
    </row>
    <row r="245" spans="1:8" ht="50.25" customHeight="1" x14ac:dyDescent="0.35">
      <c r="A245" s="325"/>
      <c r="B245" s="493" t="s">
        <v>219</v>
      </c>
      <c r="C245" s="206" t="s">
        <v>52</v>
      </c>
      <c r="D245" s="207" t="s">
        <v>89</v>
      </c>
      <c r="E245" s="207" t="s">
        <v>39</v>
      </c>
      <c r="F245" s="208" t="s">
        <v>291</v>
      </c>
      <c r="G245" s="28"/>
      <c r="H245" s="215">
        <f>H246</f>
        <v>1804.5999999999997</v>
      </c>
    </row>
    <row r="246" spans="1:8" ht="36" x14ac:dyDescent="0.35">
      <c r="A246" s="325"/>
      <c r="B246" s="493" t="s">
        <v>55</v>
      </c>
      <c r="C246" s="206" t="s">
        <v>52</v>
      </c>
      <c r="D246" s="207" t="s">
        <v>89</v>
      </c>
      <c r="E246" s="207" t="s">
        <v>39</v>
      </c>
      <c r="F246" s="208" t="s">
        <v>291</v>
      </c>
      <c r="G246" s="28" t="s">
        <v>56</v>
      </c>
      <c r="H246" s="215">
        <f>'прил9 (ведом 23)'!M769+'прил9 (ведом 23)'!M803</f>
        <v>1804.5999999999997</v>
      </c>
    </row>
    <row r="247" spans="1:8" ht="180" x14ac:dyDescent="0.35">
      <c r="A247" s="325"/>
      <c r="B247" s="493" t="s">
        <v>433</v>
      </c>
      <c r="C247" s="206" t="s">
        <v>52</v>
      </c>
      <c r="D247" s="207" t="s">
        <v>89</v>
      </c>
      <c r="E247" s="207" t="s">
        <v>39</v>
      </c>
      <c r="F247" s="208" t="s">
        <v>388</v>
      </c>
      <c r="G247" s="28"/>
      <c r="H247" s="215">
        <f>H248</f>
        <v>15.599999999999994</v>
      </c>
    </row>
    <row r="248" spans="1:8" ht="90" x14ac:dyDescent="0.35">
      <c r="A248" s="325"/>
      <c r="B248" s="493" t="s">
        <v>49</v>
      </c>
      <c r="C248" s="206" t="s">
        <v>52</v>
      </c>
      <c r="D248" s="207" t="s">
        <v>89</v>
      </c>
      <c r="E248" s="207" t="s">
        <v>39</v>
      </c>
      <c r="F248" s="208" t="s">
        <v>388</v>
      </c>
      <c r="G248" s="28" t="s">
        <v>50</v>
      </c>
      <c r="H248" s="215">
        <f>'прил9 (ведом 23)'!M805</f>
        <v>15.599999999999994</v>
      </c>
    </row>
    <row r="249" spans="1:8" ht="54" x14ac:dyDescent="0.35">
      <c r="A249" s="325"/>
      <c r="B249" s="579" t="s">
        <v>681</v>
      </c>
      <c r="C249" s="689" t="s">
        <v>52</v>
      </c>
      <c r="D249" s="690" t="s">
        <v>89</v>
      </c>
      <c r="E249" s="690" t="s">
        <v>39</v>
      </c>
      <c r="F249" s="691" t="s">
        <v>680</v>
      </c>
      <c r="G249" s="10"/>
      <c r="H249" s="215">
        <f>H250</f>
        <v>388.9</v>
      </c>
    </row>
    <row r="250" spans="1:8" ht="36" x14ac:dyDescent="0.35">
      <c r="A250" s="325"/>
      <c r="B250" s="496" t="s">
        <v>55</v>
      </c>
      <c r="C250" s="689" t="s">
        <v>52</v>
      </c>
      <c r="D250" s="690" t="s">
        <v>89</v>
      </c>
      <c r="E250" s="690" t="s">
        <v>39</v>
      </c>
      <c r="F250" s="691" t="s">
        <v>680</v>
      </c>
      <c r="G250" s="10" t="s">
        <v>56</v>
      </c>
      <c r="H250" s="215">
        <f>'прил9 (ведом 23)'!M807</f>
        <v>388.9</v>
      </c>
    </row>
    <row r="251" spans="1:8" ht="72" x14ac:dyDescent="0.35">
      <c r="A251" s="325"/>
      <c r="B251" s="496" t="s">
        <v>723</v>
      </c>
      <c r="C251" s="689" t="s">
        <v>52</v>
      </c>
      <c r="D251" s="690" t="s">
        <v>89</v>
      </c>
      <c r="E251" s="690" t="s">
        <v>39</v>
      </c>
      <c r="F251" s="691" t="s">
        <v>722</v>
      </c>
      <c r="G251" s="10"/>
      <c r="H251" s="215">
        <f>H252</f>
        <v>24812</v>
      </c>
    </row>
    <row r="252" spans="1:8" ht="36" x14ac:dyDescent="0.35">
      <c r="A252" s="325"/>
      <c r="B252" s="496" t="s">
        <v>55</v>
      </c>
      <c r="C252" s="689" t="s">
        <v>52</v>
      </c>
      <c r="D252" s="690" t="s">
        <v>89</v>
      </c>
      <c r="E252" s="690" t="s">
        <v>39</v>
      </c>
      <c r="F252" s="691" t="s">
        <v>722</v>
      </c>
      <c r="G252" s="10" t="s">
        <v>56</v>
      </c>
      <c r="H252" s="215">
        <f>'прил9 (ведом 23)'!M789</f>
        <v>24812</v>
      </c>
    </row>
    <row r="253" spans="1:8" ht="54" x14ac:dyDescent="0.35">
      <c r="A253" s="325"/>
      <c r="B253" s="493" t="s">
        <v>435</v>
      </c>
      <c r="C253" s="206" t="s">
        <v>52</v>
      </c>
      <c r="D253" s="207" t="s">
        <v>89</v>
      </c>
      <c r="E253" s="207" t="s">
        <v>39</v>
      </c>
      <c r="F253" s="208" t="s">
        <v>408</v>
      </c>
      <c r="G253" s="28"/>
      <c r="H253" s="215">
        <f>H254</f>
        <v>2003.5</v>
      </c>
    </row>
    <row r="254" spans="1:8" ht="90" x14ac:dyDescent="0.35">
      <c r="A254" s="325"/>
      <c r="B254" s="493" t="s">
        <v>49</v>
      </c>
      <c r="C254" s="206" t="s">
        <v>52</v>
      </c>
      <c r="D254" s="207" t="s">
        <v>89</v>
      </c>
      <c r="E254" s="207" t="s">
        <v>39</v>
      </c>
      <c r="F254" s="208" t="s">
        <v>408</v>
      </c>
      <c r="G254" s="28" t="s">
        <v>50</v>
      </c>
      <c r="H254" s="215">
        <f>'прил9 (ведом 23)'!M809</f>
        <v>2003.5</v>
      </c>
    </row>
    <row r="255" spans="1:8" ht="144" x14ac:dyDescent="0.35">
      <c r="A255" s="325"/>
      <c r="B255" s="493" t="s">
        <v>567</v>
      </c>
      <c r="C255" s="206" t="s">
        <v>52</v>
      </c>
      <c r="D255" s="207" t="s">
        <v>89</v>
      </c>
      <c r="E255" s="207" t="s">
        <v>39</v>
      </c>
      <c r="F255" s="208" t="s">
        <v>566</v>
      </c>
      <c r="G255" s="28"/>
      <c r="H255" s="215">
        <f>H256</f>
        <v>4412.2</v>
      </c>
    </row>
    <row r="256" spans="1:8" ht="36" x14ac:dyDescent="0.35">
      <c r="A256" s="325"/>
      <c r="B256" s="493" t="s">
        <v>55</v>
      </c>
      <c r="C256" s="206" t="s">
        <v>52</v>
      </c>
      <c r="D256" s="207" t="s">
        <v>89</v>
      </c>
      <c r="E256" s="207" t="s">
        <v>39</v>
      </c>
      <c r="F256" s="208" t="s">
        <v>566</v>
      </c>
      <c r="G256" s="28" t="s">
        <v>56</v>
      </c>
      <c r="H256" s="215">
        <f>'прил9 (ведом 23)'!M811</f>
        <v>4412.2</v>
      </c>
    </row>
    <row r="257" spans="1:8" ht="36" x14ac:dyDescent="0.35">
      <c r="A257" s="325"/>
      <c r="B257" s="493" t="s">
        <v>349</v>
      </c>
      <c r="C257" s="206" t="s">
        <v>52</v>
      </c>
      <c r="D257" s="207" t="s">
        <v>89</v>
      </c>
      <c r="E257" s="207" t="s">
        <v>63</v>
      </c>
      <c r="F257" s="208" t="s">
        <v>44</v>
      </c>
      <c r="G257" s="28"/>
      <c r="H257" s="215">
        <f>H258</f>
        <v>60.8</v>
      </c>
    </row>
    <row r="258" spans="1:8" ht="54" x14ac:dyDescent="0.35">
      <c r="A258" s="325"/>
      <c r="B258" s="505" t="s">
        <v>350</v>
      </c>
      <c r="C258" s="206" t="s">
        <v>52</v>
      </c>
      <c r="D258" s="207" t="s">
        <v>89</v>
      </c>
      <c r="E258" s="207" t="s">
        <v>63</v>
      </c>
      <c r="F258" s="208" t="s">
        <v>105</v>
      </c>
      <c r="G258" s="28"/>
      <c r="H258" s="215">
        <f>H259</f>
        <v>60.8</v>
      </c>
    </row>
    <row r="259" spans="1:8" ht="36" x14ac:dyDescent="0.35">
      <c r="A259" s="325"/>
      <c r="B259" s="493" t="s">
        <v>55</v>
      </c>
      <c r="C259" s="206" t="s">
        <v>52</v>
      </c>
      <c r="D259" s="207" t="s">
        <v>89</v>
      </c>
      <c r="E259" s="207" t="s">
        <v>63</v>
      </c>
      <c r="F259" s="208" t="s">
        <v>105</v>
      </c>
      <c r="G259" s="28" t="s">
        <v>56</v>
      </c>
      <c r="H259" s="215">
        <f>'прил9 (ведом 23)'!M754</f>
        <v>60.8</v>
      </c>
    </row>
    <row r="260" spans="1:8" ht="18" x14ac:dyDescent="0.35">
      <c r="A260" s="325"/>
      <c r="B260" s="493" t="s">
        <v>556</v>
      </c>
      <c r="C260" s="206" t="s">
        <v>52</v>
      </c>
      <c r="D260" s="207" t="s">
        <v>89</v>
      </c>
      <c r="E260" s="207" t="s">
        <v>52</v>
      </c>
      <c r="F260" s="208" t="s">
        <v>44</v>
      </c>
      <c r="G260" s="28"/>
      <c r="H260" s="215">
        <f>H261+H265</f>
        <v>4829.3999999999996</v>
      </c>
    </row>
    <row r="261" spans="1:8" ht="36" x14ac:dyDescent="0.35">
      <c r="A261" s="325"/>
      <c r="B261" s="493" t="s">
        <v>461</v>
      </c>
      <c r="C261" s="206" t="s">
        <v>52</v>
      </c>
      <c r="D261" s="207" t="s">
        <v>89</v>
      </c>
      <c r="E261" s="207" t="s">
        <v>52</v>
      </c>
      <c r="F261" s="208" t="s">
        <v>91</v>
      </c>
      <c r="G261" s="28"/>
      <c r="H261" s="215">
        <f>H262+H263+H264</f>
        <v>3927.1</v>
      </c>
    </row>
    <row r="262" spans="1:8" ht="90" x14ac:dyDescent="0.35">
      <c r="A262" s="325"/>
      <c r="B262" s="493" t="s">
        <v>49</v>
      </c>
      <c r="C262" s="206" t="s">
        <v>52</v>
      </c>
      <c r="D262" s="207" t="s">
        <v>89</v>
      </c>
      <c r="E262" s="207" t="s">
        <v>52</v>
      </c>
      <c r="F262" s="208" t="s">
        <v>91</v>
      </c>
      <c r="G262" s="28" t="s">
        <v>50</v>
      </c>
      <c r="H262" s="215">
        <f>'прил9 (ведом 23)'!M772</f>
        <v>2079.9</v>
      </c>
    </row>
    <row r="263" spans="1:8" ht="36" x14ac:dyDescent="0.35">
      <c r="A263" s="325"/>
      <c r="B263" s="493" t="s">
        <v>55</v>
      </c>
      <c r="C263" s="206" t="s">
        <v>52</v>
      </c>
      <c r="D263" s="207" t="s">
        <v>89</v>
      </c>
      <c r="E263" s="207" t="s">
        <v>52</v>
      </c>
      <c r="F263" s="208" t="s">
        <v>91</v>
      </c>
      <c r="G263" s="28" t="s">
        <v>56</v>
      </c>
      <c r="H263" s="215">
        <f>'прил9 (ведом 23)'!M773</f>
        <v>1811.5</v>
      </c>
    </row>
    <row r="264" spans="1:8" ht="18" x14ac:dyDescent="0.35">
      <c r="A264" s="325"/>
      <c r="B264" s="493" t="s">
        <v>57</v>
      </c>
      <c r="C264" s="206" t="s">
        <v>52</v>
      </c>
      <c r="D264" s="207" t="s">
        <v>89</v>
      </c>
      <c r="E264" s="207" t="s">
        <v>52</v>
      </c>
      <c r="F264" s="208" t="s">
        <v>91</v>
      </c>
      <c r="G264" s="28" t="s">
        <v>58</v>
      </c>
      <c r="H264" s="215">
        <f>'прил9 (ведом 23)'!M774</f>
        <v>35.700000000000003</v>
      </c>
    </row>
    <row r="265" spans="1:8" ht="36" x14ac:dyDescent="0.35">
      <c r="A265" s="325"/>
      <c r="B265" s="493" t="s">
        <v>219</v>
      </c>
      <c r="C265" s="206" t="s">
        <v>52</v>
      </c>
      <c r="D265" s="207" t="s">
        <v>89</v>
      </c>
      <c r="E265" s="207" t="s">
        <v>52</v>
      </c>
      <c r="F265" s="208" t="s">
        <v>291</v>
      </c>
      <c r="G265" s="28"/>
      <c r="H265" s="215">
        <f>H266</f>
        <v>902.3</v>
      </c>
    </row>
    <row r="266" spans="1:8" ht="36" x14ac:dyDescent="0.35">
      <c r="A266" s="325"/>
      <c r="B266" s="493" t="s">
        <v>55</v>
      </c>
      <c r="C266" s="206" t="s">
        <v>52</v>
      </c>
      <c r="D266" s="207" t="s">
        <v>89</v>
      </c>
      <c r="E266" s="207" t="s">
        <v>52</v>
      </c>
      <c r="F266" s="208" t="s">
        <v>291</v>
      </c>
      <c r="G266" s="28" t="s">
        <v>56</v>
      </c>
      <c r="H266" s="215">
        <f>'прил9 (ведом 23)'!M776</f>
        <v>902.3</v>
      </c>
    </row>
    <row r="267" spans="1:8" ht="18" x14ac:dyDescent="0.35">
      <c r="A267" s="325"/>
      <c r="B267" s="493" t="s">
        <v>337</v>
      </c>
      <c r="C267" s="206" t="s">
        <v>52</v>
      </c>
      <c r="D267" s="207" t="s">
        <v>31</v>
      </c>
      <c r="E267" s="207" t="s">
        <v>43</v>
      </c>
      <c r="F267" s="208" t="s">
        <v>44</v>
      </c>
      <c r="G267" s="28"/>
      <c r="H267" s="215">
        <f>H268</f>
        <v>73942.2</v>
      </c>
    </row>
    <row r="268" spans="1:8" ht="54" x14ac:dyDescent="0.35">
      <c r="A268" s="325"/>
      <c r="B268" s="493" t="s">
        <v>409</v>
      </c>
      <c r="C268" s="206" t="s">
        <v>52</v>
      </c>
      <c r="D268" s="207" t="s">
        <v>31</v>
      </c>
      <c r="E268" s="207" t="s">
        <v>63</v>
      </c>
      <c r="F268" s="208" t="s">
        <v>44</v>
      </c>
      <c r="G268" s="28"/>
      <c r="H268" s="215">
        <f>H269+H271</f>
        <v>73942.2</v>
      </c>
    </row>
    <row r="269" spans="1:8" ht="36" x14ac:dyDescent="0.35">
      <c r="A269" s="325"/>
      <c r="B269" s="493" t="s">
        <v>219</v>
      </c>
      <c r="C269" s="206" t="s">
        <v>52</v>
      </c>
      <c r="D269" s="207" t="s">
        <v>31</v>
      </c>
      <c r="E269" s="207" t="s">
        <v>63</v>
      </c>
      <c r="F269" s="208" t="s">
        <v>291</v>
      </c>
      <c r="G269" s="28"/>
      <c r="H269" s="215">
        <f>H270</f>
        <v>360.90000000000015</v>
      </c>
    </row>
    <row r="270" spans="1:8" ht="36" x14ac:dyDescent="0.35">
      <c r="A270" s="325"/>
      <c r="B270" s="493" t="s">
        <v>203</v>
      </c>
      <c r="C270" s="206" t="s">
        <v>52</v>
      </c>
      <c r="D270" s="207" t="s">
        <v>31</v>
      </c>
      <c r="E270" s="207" t="s">
        <v>63</v>
      </c>
      <c r="F270" s="208" t="s">
        <v>291</v>
      </c>
      <c r="G270" s="28" t="s">
        <v>204</v>
      </c>
      <c r="H270" s="215">
        <f>'прил9 (ведом 23)'!M467</f>
        <v>360.90000000000015</v>
      </c>
    </row>
    <row r="271" spans="1:8" ht="108" x14ac:dyDescent="0.35">
      <c r="A271" s="325"/>
      <c r="B271" s="493" t="s">
        <v>500</v>
      </c>
      <c r="C271" s="353" t="s">
        <v>52</v>
      </c>
      <c r="D271" s="353" t="s">
        <v>31</v>
      </c>
      <c r="E271" s="353" t="s">
        <v>63</v>
      </c>
      <c r="F271" s="354" t="s">
        <v>499</v>
      </c>
      <c r="G271" s="28"/>
      <c r="H271" s="215">
        <f>H272</f>
        <v>73581.3</v>
      </c>
    </row>
    <row r="272" spans="1:8" ht="36" x14ac:dyDescent="0.35">
      <c r="A272" s="325"/>
      <c r="B272" s="493" t="s">
        <v>203</v>
      </c>
      <c r="C272" s="353" t="s">
        <v>52</v>
      </c>
      <c r="D272" s="353" t="s">
        <v>31</v>
      </c>
      <c r="E272" s="353" t="s">
        <v>63</v>
      </c>
      <c r="F272" s="354" t="s">
        <v>499</v>
      </c>
      <c r="G272" s="28" t="s">
        <v>204</v>
      </c>
      <c r="H272" s="215">
        <f>'прил9 (ведом 23)'!M469</f>
        <v>73581.3</v>
      </c>
    </row>
    <row r="273" spans="1:8" ht="18" x14ac:dyDescent="0.35">
      <c r="A273" s="325"/>
      <c r="B273" s="493"/>
      <c r="C273" s="353"/>
      <c r="D273" s="353"/>
      <c r="E273" s="353"/>
      <c r="F273" s="354"/>
      <c r="G273" s="28"/>
      <c r="H273" s="215"/>
    </row>
    <row r="274" spans="1:8" s="335" customFormat="1" ht="52.2" x14ac:dyDescent="0.3">
      <c r="A274" s="340">
        <v>4</v>
      </c>
      <c r="B274" s="491" t="s">
        <v>221</v>
      </c>
      <c r="C274" s="332" t="s">
        <v>65</v>
      </c>
      <c r="D274" s="332" t="s">
        <v>42</v>
      </c>
      <c r="E274" s="332" t="s">
        <v>43</v>
      </c>
      <c r="F274" s="333" t="s">
        <v>44</v>
      </c>
      <c r="G274" s="334"/>
      <c r="H274" s="252">
        <f>H275+H283</f>
        <v>9833.27</v>
      </c>
    </row>
    <row r="275" spans="1:8" s="335" customFormat="1" ht="18" x14ac:dyDescent="0.35">
      <c r="A275" s="325"/>
      <c r="B275" s="492" t="s">
        <v>222</v>
      </c>
      <c r="C275" s="206" t="s">
        <v>65</v>
      </c>
      <c r="D275" s="207" t="s">
        <v>45</v>
      </c>
      <c r="E275" s="207" t="s">
        <v>43</v>
      </c>
      <c r="F275" s="208" t="s">
        <v>44</v>
      </c>
      <c r="G275" s="236"/>
      <c r="H275" s="215">
        <f>H276</f>
        <v>5951.9699999999993</v>
      </c>
    </row>
    <row r="276" spans="1:8" s="335" customFormat="1" ht="72" x14ac:dyDescent="0.35">
      <c r="A276" s="325"/>
      <c r="B276" s="492" t="s">
        <v>286</v>
      </c>
      <c r="C276" s="206" t="s">
        <v>65</v>
      </c>
      <c r="D276" s="207" t="s">
        <v>45</v>
      </c>
      <c r="E276" s="207" t="s">
        <v>37</v>
      </c>
      <c r="F276" s="208" t="s">
        <v>44</v>
      </c>
      <c r="G276" s="28"/>
      <c r="H276" s="215">
        <f>H277+H281</f>
        <v>5951.9699999999993</v>
      </c>
    </row>
    <row r="277" spans="1:8" ht="36" x14ac:dyDescent="0.35">
      <c r="A277" s="325"/>
      <c r="B277" s="492" t="s">
        <v>461</v>
      </c>
      <c r="C277" s="206" t="s">
        <v>65</v>
      </c>
      <c r="D277" s="207" t="s">
        <v>45</v>
      </c>
      <c r="E277" s="207" t="s">
        <v>37</v>
      </c>
      <c r="F277" s="208" t="s">
        <v>91</v>
      </c>
      <c r="G277" s="28"/>
      <c r="H277" s="215">
        <f>H278+H279+H280</f>
        <v>4303.7</v>
      </c>
    </row>
    <row r="278" spans="1:8" ht="90" x14ac:dyDescent="0.35">
      <c r="A278" s="325"/>
      <c r="B278" s="492" t="s">
        <v>49</v>
      </c>
      <c r="C278" s="206" t="s">
        <v>65</v>
      </c>
      <c r="D278" s="207" t="s">
        <v>45</v>
      </c>
      <c r="E278" s="207" t="s">
        <v>37</v>
      </c>
      <c r="F278" s="208" t="s">
        <v>91</v>
      </c>
      <c r="G278" s="28" t="s">
        <v>50</v>
      </c>
      <c r="H278" s="215">
        <f>'прил9 (ведом 23)'!M841</f>
        <v>3877.2999999999997</v>
      </c>
    </row>
    <row r="279" spans="1:8" ht="36" x14ac:dyDescent="0.35">
      <c r="A279" s="325"/>
      <c r="B279" s="492" t="s">
        <v>55</v>
      </c>
      <c r="C279" s="206" t="s">
        <v>65</v>
      </c>
      <c r="D279" s="207" t="s">
        <v>45</v>
      </c>
      <c r="E279" s="207" t="s">
        <v>37</v>
      </c>
      <c r="F279" s="208" t="s">
        <v>91</v>
      </c>
      <c r="G279" s="28" t="s">
        <v>56</v>
      </c>
      <c r="H279" s="215">
        <f>'прил9 (ведом 23)'!M842</f>
        <v>383.7</v>
      </c>
    </row>
    <row r="280" spans="1:8" ht="18" x14ac:dyDescent="0.35">
      <c r="A280" s="325"/>
      <c r="B280" s="493" t="s">
        <v>57</v>
      </c>
      <c r="C280" s="206" t="s">
        <v>65</v>
      </c>
      <c r="D280" s="207" t="s">
        <v>45</v>
      </c>
      <c r="E280" s="207" t="s">
        <v>37</v>
      </c>
      <c r="F280" s="208" t="s">
        <v>91</v>
      </c>
      <c r="G280" s="28" t="s">
        <v>58</v>
      </c>
      <c r="H280" s="215">
        <f>'прил9 (ведом 23)'!M843</f>
        <v>42.7</v>
      </c>
    </row>
    <row r="281" spans="1:8" ht="36" x14ac:dyDescent="0.35">
      <c r="A281" s="325"/>
      <c r="B281" s="492" t="s">
        <v>287</v>
      </c>
      <c r="C281" s="206" t="s">
        <v>65</v>
      </c>
      <c r="D281" s="207" t="s">
        <v>45</v>
      </c>
      <c r="E281" s="207" t="s">
        <v>37</v>
      </c>
      <c r="F281" s="208" t="s">
        <v>288</v>
      </c>
      <c r="G281" s="28"/>
      <c r="H281" s="215">
        <f>H282</f>
        <v>1648.27</v>
      </c>
    </row>
    <row r="282" spans="1:8" ht="36" x14ac:dyDescent="0.35">
      <c r="A282" s="325"/>
      <c r="B282" s="492" t="s">
        <v>55</v>
      </c>
      <c r="C282" s="206" t="s">
        <v>65</v>
      </c>
      <c r="D282" s="207" t="s">
        <v>45</v>
      </c>
      <c r="E282" s="207" t="s">
        <v>37</v>
      </c>
      <c r="F282" s="208" t="s">
        <v>288</v>
      </c>
      <c r="G282" s="28" t="s">
        <v>56</v>
      </c>
      <c r="H282" s="215">
        <f>'прил9 (ведом 23)'!M845</f>
        <v>1648.27</v>
      </c>
    </row>
    <row r="283" spans="1:8" s="335" customFormat="1" ht="30.75" customHeight="1" x14ac:dyDescent="0.35">
      <c r="A283" s="325"/>
      <c r="B283" s="492" t="s">
        <v>220</v>
      </c>
      <c r="C283" s="206" t="s">
        <v>65</v>
      </c>
      <c r="D283" s="207" t="s">
        <v>89</v>
      </c>
      <c r="E283" s="207" t="s">
        <v>43</v>
      </c>
      <c r="F283" s="208" t="s">
        <v>44</v>
      </c>
      <c r="G283" s="28"/>
      <c r="H283" s="215">
        <f>H284+H289+H292+H295</f>
        <v>3881.3</v>
      </c>
    </row>
    <row r="284" spans="1:8" s="335" customFormat="1" ht="36" x14ac:dyDescent="0.35">
      <c r="A284" s="325"/>
      <c r="B284" s="492" t="s">
        <v>281</v>
      </c>
      <c r="C284" s="206" t="s">
        <v>65</v>
      </c>
      <c r="D284" s="207" t="s">
        <v>89</v>
      </c>
      <c r="E284" s="207" t="s">
        <v>37</v>
      </c>
      <c r="F284" s="208" t="s">
        <v>44</v>
      </c>
      <c r="G284" s="28"/>
      <c r="H284" s="215">
        <f>H285</f>
        <v>3669.2000000000003</v>
      </c>
    </row>
    <row r="285" spans="1:8" s="335" customFormat="1" ht="36" x14ac:dyDescent="0.35">
      <c r="A285" s="325"/>
      <c r="B285" s="492" t="s">
        <v>47</v>
      </c>
      <c r="C285" s="206" t="s">
        <v>65</v>
      </c>
      <c r="D285" s="207" t="s">
        <v>89</v>
      </c>
      <c r="E285" s="207" t="s">
        <v>37</v>
      </c>
      <c r="F285" s="208" t="s">
        <v>48</v>
      </c>
      <c r="G285" s="28"/>
      <c r="H285" s="215">
        <f>SUM(H286:H288)</f>
        <v>3669.2000000000003</v>
      </c>
    </row>
    <row r="286" spans="1:8" s="335" customFormat="1" ht="90" x14ac:dyDescent="0.35">
      <c r="A286" s="325"/>
      <c r="B286" s="492" t="s">
        <v>49</v>
      </c>
      <c r="C286" s="206" t="s">
        <v>65</v>
      </c>
      <c r="D286" s="207" t="s">
        <v>89</v>
      </c>
      <c r="E286" s="207" t="s">
        <v>37</v>
      </c>
      <c r="F286" s="208" t="s">
        <v>48</v>
      </c>
      <c r="G286" s="28" t="s">
        <v>50</v>
      </c>
      <c r="H286" s="215">
        <f>'прил9 (ведом 23)'!M851</f>
        <v>3222.8</v>
      </c>
    </row>
    <row r="287" spans="1:8" ht="36" x14ac:dyDescent="0.35">
      <c r="A287" s="325"/>
      <c r="B287" s="492" t="s">
        <v>55</v>
      </c>
      <c r="C287" s="206" t="s">
        <v>65</v>
      </c>
      <c r="D287" s="207" t="s">
        <v>89</v>
      </c>
      <c r="E287" s="207" t="s">
        <v>37</v>
      </c>
      <c r="F287" s="208" t="s">
        <v>48</v>
      </c>
      <c r="G287" s="28" t="s">
        <v>56</v>
      </c>
      <c r="H287" s="215">
        <f>'прил9 (ведом 23)'!M852</f>
        <v>445.09999999999997</v>
      </c>
    </row>
    <row r="288" spans="1:8" ht="18" x14ac:dyDescent="0.35">
      <c r="A288" s="325"/>
      <c r="B288" s="492" t="s">
        <v>57</v>
      </c>
      <c r="C288" s="206" t="s">
        <v>65</v>
      </c>
      <c r="D288" s="207" t="s">
        <v>89</v>
      </c>
      <c r="E288" s="207" t="s">
        <v>37</v>
      </c>
      <c r="F288" s="208" t="s">
        <v>48</v>
      </c>
      <c r="G288" s="28" t="s">
        <v>58</v>
      </c>
      <c r="H288" s="215">
        <f>'прил9 (ведом 23)'!M853</f>
        <v>1.3</v>
      </c>
    </row>
    <row r="289" spans="1:8" ht="36" x14ac:dyDescent="0.35">
      <c r="A289" s="325"/>
      <c r="B289" s="505" t="s">
        <v>349</v>
      </c>
      <c r="C289" s="207" t="s">
        <v>65</v>
      </c>
      <c r="D289" s="207" t="s">
        <v>89</v>
      </c>
      <c r="E289" s="207" t="s">
        <v>39</v>
      </c>
      <c r="F289" s="208" t="s">
        <v>44</v>
      </c>
      <c r="G289" s="28"/>
      <c r="H289" s="215">
        <f>H290</f>
        <v>153.1</v>
      </c>
    </row>
    <row r="290" spans="1:8" ht="54" x14ac:dyDescent="0.35">
      <c r="A290" s="325"/>
      <c r="B290" s="505" t="s">
        <v>350</v>
      </c>
      <c r="C290" s="206" t="s">
        <v>65</v>
      </c>
      <c r="D290" s="207" t="s">
        <v>89</v>
      </c>
      <c r="E290" s="207" t="s">
        <v>39</v>
      </c>
      <c r="F290" s="208" t="s">
        <v>105</v>
      </c>
      <c r="G290" s="28"/>
      <c r="H290" s="215">
        <f>H291</f>
        <v>153.1</v>
      </c>
    </row>
    <row r="291" spans="1:8" ht="36" x14ac:dyDescent="0.35">
      <c r="A291" s="325"/>
      <c r="B291" s="505" t="s">
        <v>55</v>
      </c>
      <c r="C291" s="206" t="s">
        <v>65</v>
      </c>
      <c r="D291" s="207" t="s">
        <v>89</v>
      </c>
      <c r="E291" s="207" t="s">
        <v>39</v>
      </c>
      <c r="F291" s="208" t="s">
        <v>105</v>
      </c>
      <c r="G291" s="28" t="s">
        <v>56</v>
      </c>
      <c r="H291" s="215">
        <f>'прил9 (ведом 23)'!M828</f>
        <v>153.1</v>
      </c>
    </row>
    <row r="292" spans="1:8" ht="36" x14ac:dyDescent="0.35">
      <c r="A292" s="325"/>
      <c r="B292" s="493" t="s">
        <v>465</v>
      </c>
      <c r="C292" s="207" t="s">
        <v>65</v>
      </c>
      <c r="D292" s="207" t="s">
        <v>89</v>
      </c>
      <c r="E292" s="207" t="s">
        <v>63</v>
      </c>
      <c r="F292" s="208" t="s">
        <v>44</v>
      </c>
      <c r="G292" s="28"/>
      <c r="H292" s="215">
        <f>H293</f>
        <v>14.8</v>
      </c>
    </row>
    <row r="293" spans="1:8" ht="18" x14ac:dyDescent="0.35">
      <c r="A293" s="325"/>
      <c r="B293" s="493" t="s">
        <v>463</v>
      </c>
      <c r="C293" s="207" t="s">
        <v>65</v>
      </c>
      <c r="D293" s="207" t="s">
        <v>89</v>
      </c>
      <c r="E293" s="207" t="s">
        <v>63</v>
      </c>
      <c r="F293" s="208" t="s">
        <v>464</v>
      </c>
      <c r="G293" s="28"/>
      <c r="H293" s="215">
        <f>H294</f>
        <v>14.8</v>
      </c>
    </row>
    <row r="294" spans="1:8" ht="36" x14ac:dyDescent="0.35">
      <c r="A294" s="325"/>
      <c r="B294" s="505" t="s">
        <v>55</v>
      </c>
      <c r="C294" s="207" t="s">
        <v>65</v>
      </c>
      <c r="D294" s="207" t="s">
        <v>89</v>
      </c>
      <c r="E294" s="207" t="s">
        <v>63</v>
      </c>
      <c r="F294" s="208" t="s">
        <v>464</v>
      </c>
      <c r="G294" s="28" t="s">
        <v>56</v>
      </c>
      <c r="H294" s="215">
        <f>'прил9 (ведом 23)'!M831</f>
        <v>14.8</v>
      </c>
    </row>
    <row r="295" spans="1:8" ht="36" x14ac:dyDescent="0.35">
      <c r="A295" s="325"/>
      <c r="B295" s="505" t="s">
        <v>468</v>
      </c>
      <c r="C295" s="207" t="s">
        <v>65</v>
      </c>
      <c r="D295" s="207" t="s">
        <v>89</v>
      </c>
      <c r="E295" s="207" t="s">
        <v>52</v>
      </c>
      <c r="F295" s="684" t="s">
        <v>44</v>
      </c>
      <c r="G295" s="236"/>
      <c r="H295" s="215">
        <f>H296</f>
        <v>44.2</v>
      </c>
    </row>
    <row r="296" spans="1:8" ht="36" x14ac:dyDescent="0.35">
      <c r="A296" s="325"/>
      <c r="B296" s="506" t="s">
        <v>127</v>
      </c>
      <c r="C296" s="207" t="s">
        <v>65</v>
      </c>
      <c r="D296" s="207" t="s">
        <v>89</v>
      </c>
      <c r="E296" s="207" t="s">
        <v>52</v>
      </c>
      <c r="F296" s="349" t="s">
        <v>90</v>
      </c>
      <c r="G296" s="236"/>
      <c r="H296" s="215">
        <f>H297</f>
        <v>44.2</v>
      </c>
    </row>
    <row r="297" spans="1:8" ht="36" x14ac:dyDescent="0.35">
      <c r="A297" s="325"/>
      <c r="B297" s="505" t="s">
        <v>55</v>
      </c>
      <c r="C297" s="207" t="s">
        <v>65</v>
      </c>
      <c r="D297" s="207" t="s">
        <v>89</v>
      </c>
      <c r="E297" s="207" t="s">
        <v>52</v>
      </c>
      <c r="F297" s="684" t="s">
        <v>90</v>
      </c>
      <c r="G297" s="236" t="s">
        <v>56</v>
      </c>
      <c r="H297" s="215">
        <f>'прил9 (ведом 23)'!M834</f>
        <v>44.2</v>
      </c>
    </row>
    <row r="298" spans="1:8" ht="18" x14ac:dyDescent="0.35">
      <c r="A298" s="325"/>
      <c r="B298" s="505"/>
      <c r="C298" s="206"/>
      <c r="D298" s="207"/>
      <c r="E298" s="207"/>
      <c r="F298" s="684"/>
      <c r="G298" s="236"/>
      <c r="H298" s="215"/>
    </row>
    <row r="299" spans="1:8" s="335" customFormat="1" ht="52.2" x14ac:dyDescent="0.3">
      <c r="A299" s="340">
        <v>5</v>
      </c>
      <c r="B299" s="491" t="s">
        <v>80</v>
      </c>
      <c r="C299" s="341" t="s">
        <v>81</v>
      </c>
      <c r="D299" s="341" t="s">
        <v>42</v>
      </c>
      <c r="E299" s="341" t="s">
        <v>43</v>
      </c>
      <c r="F299" s="342" t="s">
        <v>44</v>
      </c>
      <c r="G299" s="334"/>
      <c r="H299" s="252">
        <f>H310+H300+H324+H333</f>
        <v>24218.747999999996</v>
      </c>
    </row>
    <row r="300" spans="1:8" ht="54" x14ac:dyDescent="0.35">
      <c r="A300" s="325"/>
      <c r="B300" s="500" t="s">
        <v>82</v>
      </c>
      <c r="C300" s="206" t="s">
        <v>81</v>
      </c>
      <c r="D300" s="207" t="s">
        <v>45</v>
      </c>
      <c r="E300" s="207" t="s">
        <v>43</v>
      </c>
      <c r="F300" s="208" t="s">
        <v>44</v>
      </c>
      <c r="G300" s="236"/>
      <c r="H300" s="215">
        <f>H301</f>
        <v>9496.6999999999989</v>
      </c>
    </row>
    <row r="301" spans="1:8" ht="72" x14ac:dyDescent="0.35">
      <c r="A301" s="325"/>
      <c r="B301" s="492" t="s">
        <v>83</v>
      </c>
      <c r="C301" s="206" t="s">
        <v>81</v>
      </c>
      <c r="D301" s="207" t="s">
        <v>45</v>
      </c>
      <c r="E301" s="207" t="s">
        <v>37</v>
      </c>
      <c r="F301" s="208" t="s">
        <v>44</v>
      </c>
      <c r="G301" s="28"/>
      <c r="H301" s="215">
        <f>H302+H304+H306+H308</f>
        <v>9496.6999999999989</v>
      </c>
    </row>
    <row r="302" spans="1:8" ht="36" x14ac:dyDescent="0.35">
      <c r="A302" s="325"/>
      <c r="B302" s="500" t="s">
        <v>448</v>
      </c>
      <c r="C302" s="206" t="s">
        <v>81</v>
      </c>
      <c r="D302" s="207" t="s">
        <v>45</v>
      </c>
      <c r="E302" s="207" t="s">
        <v>37</v>
      </c>
      <c r="F302" s="208" t="s">
        <v>84</v>
      </c>
      <c r="G302" s="28"/>
      <c r="H302" s="215">
        <f>H303</f>
        <v>298.39999999999998</v>
      </c>
    </row>
    <row r="303" spans="1:8" ht="36" x14ac:dyDescent="0.35">
      <c r="A303" s="325"/>
      <c r="B303" s="492" t="s">
        <v>55</v>
      </c>
      <c r="C303" s="206" t="s">
        <v>81</v>
      </c>
      <c r="D303" s="207" t="s">
        <v>45</v>
      </c>
      <c r="E303" s="207" t="s">
        <v>37</v>
      </c>
      <c r="F303" s="208" t="s">
        <v>84</v>
      </c>
      <c r="G303" s="28" t="s">
        <v>56</v>
      </c>
      <c r="H303" s="215">
        <f>'прил9 (ведом 23)'!M100</f>
        <v>298.39999999999998</v>
      </c>
    </row>
    <row r="304" spans="1:8" ht="36" x14ac:dyDescent="0.35">
      <c r="A304" s="325"/>
      <c r="B304" s="492" t="s">
        <v>85</v>
      </c>
      <c r="C304" s="206" t="s">
        <v>81</v>
      </c>
      <c r="D304" s="207" t="s">
        <v>45</v>
      </c>
      <c r="E304" s="207" t="s">
        <v>37</v>
      </c>
      <c r="F304" s="208" t="s">
        <v>86</v>
      </c>
      <c r="G304" s="28"/>
      <c r="H304" s="215">
        <f>H305</f>
        <v>67.2</v>
      </c>
    </row>
    <row r="305" spans="1:8" ht="36" x14ac:dyDescent="0.35">
      <c r="A305" s="325"/>
      <c r="B305" s="492" t="s">
        <v>55</v>
      </c>
      <c r="C305" s="206" t="s">
        <v>81</v>
      </c>
      <c r="D305" s="207" t="s">
        <v>45</v>
      </c>
      <c r="E305" s="207" t="s">
        <v>37</v>
      </c>
      <c r="F305" s="208" t="s">
        <v>86</v>
      </c>
      <c r="G305" s="28" t="s">
        <v>56</v>
      </c>
      <c r="H305" s="215">
        <f>'прил9 (ведом 23)'!M102</f>
        <v>67.2</v>
      </c>
    </row>
    <row r="306" spans="1:8" ht="126" x14ac:dyDescent="0.35">
      <c r="A306" s="325"/>
      <c r="B306" s="496" t="s">
        <v>663</v>
      </c>
      <c r="C306" s="206" t="s">
        <v>81</v>
      </c>
      <c r="D306" s="207" t="s">
        <v>45</v>
      </c>
      <c r="E306" s="207" t="s">
        <v>37</v>
      </c>
      <c r="F306" s="208" t="s">
        <v>327</v>
      </c>
      <c r="G306" s="28"/>
      <c r="H306" s="215">
        <f>H307</f>
        <v>9118.7999999999993</v>
      </c>
    </row>
    <row r="307" spans="1:8" ht="18" x14ac:dyDescent="0.35">
      <c r="A307" s="325"/>
      <c r="B307" s="492" t="s">
        <v>123</v>
      </c>
      <c r="C307" s="206" t="s">
        <v>81</v>
      </c>
      <c r="D307" s="207" t="s">
        <v>45</v>
      </c>
      <c r="E307" s="207" t="s">
        <v>37</v>
      </c>
      <c r="F307" s="208" t="s">
        <v>327</v>
      </c>
      <c r="G307" s="28" t="s">
        <v>124</v>
      </c>
      <c r="H307" s="215">
        <f>'прил9 (ведом 23)'!M104</f>
        <v>9118.7999999999993</v>
      </c>
    </row>
    <row r="308" spans="1:8" ht="72" x14ac:dyDescent="0.35">
      <c r="A308" s="325"/>
      <c r="B308" s="492" t="s">
        <v>662</v>
      </c>
      <c r="C308" s="206" t="s">
        <v>81</v>
      </c>
      <c r="D308" s="207" t="s">
        <v>45</v>
      </c>
      <c r="E308" s="207" t="s">
        <v>37</v>
      </c>
      <c r="F308" s="208" t="s">
        <v>328</v>
      </c>
      <c r="G308" s="28"/>
      <c r="H308" s="215">
        <f>H309</f>
        <v>12.3</v>
      </c>
    </row>
    <row r="309" spans="1:8" ht="18" x14ac:dyDescent="0.35">
      <c r="A309" s="325"/>
      <c r="B309" s="492" t="s">
        <v>123</v>
      </c>
      <c r="C309" s="206" t="s">
        <v>81</v>
      </c>
      <c r="D309" s="207" t="s">
        <v>45</v>
      </c>
      <c r="E309" s="207" t="s">
        <v>37</v>
      </c>
      <c r="F309" s="208" t="s">
        <v>328</v>
      </c>
      <c r="G309" s="28" t="s">
        <v>124</v>
      </c>
      <c r="H309" s="215">
        <f>'прил9 (ведом 23)'!M106</f>
        <v>12.3</v>
      </c>
    </row>
    <row r="310" spans="1:8" ht="36" x14ac:dyDescent="0.35">
      <c r="A310" s="325"/>
      <c r="B310" s="507" t="s">
        <v>125</v>
      </c>
      <c r="C310" s="206" t="s">
        <v>81</v>
      </c>
      <c r="D310" s="207" t="s">
        <v>89</v>
      </c>
      <c r="E310" s="207" t="s">
        <v>43</v>
      </c>
      <c r="F310" s="208" t="s">
        <v>44</v>
      </c>
      <c r="G310" s="236"/>
      <c r="H310" s="215">
        <f>H311+H321</f>
        <v>2668.7</v>
      </c>
    </row>
    <row r="311" spans="1:8" ht="36" x14ac:dyDescent="0.35">
      <c r="A311" s="325"/>
      <c r="B311" s="492" t="s">
        <v>270</v>
      </c>
      <c r="C311" s="206" t="s">
        <v>81</v>
      </c>
      <c r="D311" s="207" t="s">
        <v>89</v>
      </c>
      <c r="E311" s="207" t="s">
        <v>37</v>
      </c>
      <c r="F311" s="208" t="s">
        <v>44</v>
      </c>
      <c r="G311" s="28"/>
      <c r="H311" s="215">
        <f>H312+H314+H317+H319</f>
        <v>1912</v>
      </c>
    </row>
    <row r="312" spans="1:8" ht="18" x14ac:dyDescent="0.35">
      <c r="A312" s="325"/>
      <c r="B312" s="496" t="s">
        <v>462</v>
      </c>
      <c r="C312" s="689" t="s">
        <v>81</v>
      </c>
      <c r="D312" s="690" t="s">
        <v>89</v>
      </c>
      <c r="E312" s="690" t="s">
        <v>37</v>
      </c>
      <c r="F312" s="691" t="s">
        <v>379</v>
      </c>
      <c r="G312" s="10"/>
      <c r="H312" s="215">
        <f>H313</f>
        <v>258.59999999999997</v>
      </c>
    </row>
    <row r="313" spans="1:8" ht="36" x14ac:dyDescent="0.35">
      <c r="A313" s="325"/>
      <c r="B313" s="496" t="s">
        <v>76</v>
      </c>
      <c r="C313" s="689" t="s">
        <v>81</v>
      </c>
      <c r="D313" s="690" t="s">
        <v>89</v>
      </c>
      <c r="E313" s="690" t="s">
        <v>37</v>
      </c>
      <c r="F313" s="691" t="s">
        <v>379</v>
      </c>
      <c r="G313" s="10" t="s">
        <v>77</v>
      </c>
      <c r="H313" s="215">
        <f>'прил9 (ведом 23)'!M512</f>
        <v>258.59999999999997</v>
      </c>
    </row>
    <row r="314" spans="1:8" ht="36" x14ac:dyDescent="0.35">
      <c r="A314" s="325"/>
      <c r="B314" s="492" t="s">
        <v>127</v>
      </c>
      <c r="C314" s="206" t="s">
        <v>81</v>
      </c>
      <c r="D314" s="207" t="s">
        <v>89</v>
      </c>
      <c r="E314" s="207" t="s">
        <v>37</v>
      </c>
      <c r="F314" s="208" t="s">
        <v>90</v>
      </c>
      <c r="G314" s="28"/>
      <c r="H314" s="215">
        <f>SUM(H315:H316)</f>
        <v>331.7</v>
      </c>
    </row>
    <row r="315" spans="1:8" ht="36" x14ac:dyDescent="0.35">
      <c r="A315" s="325"/>
      <c r="B315" s="492" t="s">
        <v>55</v>
      </c>
      <c r="C315" s="206" t="s">
        <v>81</v>
      </c>
      <c r="D315" s="207" t="s">
        <v>89</v>
      </c>
      <c r="E315" s="207" t="s">
        <v>37</v>
      </c>
      <c r="F315" s="208" t="s">
        <v>90</v>
      </c>
      <c r="G315" s="28" t="s">
        <v>56</v>
      </c>
      <c r="H315" s="215">
        <f>'прил9 (ведом 23)'!M112</f>
        <v>121.8</v>
      </c>
    </row>
    <row r="316" spans="1:8" ht="36" x14ac:dyDescent="0.35">
      <c r="A316" s="325"/>
      <c r="B316" s="492" t="s">
        <v>76</v>
      </c>
      <c r="C316" s="206" t="s">
        <v>81</v>
      </c>
      <c r="D316" s="207" t="s">
        <v>89</v>
      </c>
      <c r="E316" s="207" t="s">
        <v>37</v>
      </c>
      <c r="F316" s="208" t="s">
        <v>90</v>
      </c>
      <c r="G316" s="28" t="s">
        <v>77</v>
      </c>
      <c r="H316" s="215">
        <f>'прил9 (ведом 23)'!M514</f>
        <v>209.9</v>
      </c>
    </row>
    <row r="317" spans="1:8" ht="72" x14ac:dyDescent="0.35">
      <c r="A317" s="325"/>
      <c r="B317" s="492" t="s">
        <v>662</v>
      </c>
      <c r="C317" s="206" t="s">
        <v>81</v>
      </c>
      <c r="D317" s="207" t="s">
        <v>89</v>
      </c>
      <c r="E317" s="207" t="s">
        <v>37</v>
      </c>
      <c r="F317" s="208" t="s">
        <v>328</v>
      </c>
      <c r="G317" s="28"/>
      <c r="H317" s="215">
        <f>H318</f>
        <v>121.8</v>
      </c>
    </row>
    <row r="318" spans="1:8" ht="18" x14ac:dyDescent="0.35">
      <c r="A318" s="325"/>
      <c r="B318" s="507" t="s">
        <v>123</v>
      </c>
      <c r="C318" s="206" t="s">
        <v>81</v>
      </c>
      <c r="D318" s="207" t="s">
        <v>89</v>
      </c>
      <c r="E318" s="207" t="s">
        <v>37</v>
      </c>
      <c r="F318" s="208" t="s">
        <v>328</v>
      </c>
      <c r="G318" s="28" t="s">
        <v>124</v>
      </c>
      <c r="H318" s="215">
        <f>'прил9 (ведом 23)'!M114</f>
        <v>121.8</v>
      </c>
    </row>
    <row r="319" spans="1:8" ht="18" x14ac:dyDescent="0.35">
      <c r="A319" s="325"/>
      <c r="B319" s="493" t="s">
        <v>426</v>
      </c>
      <c r="C319" s="206" t="s">
        <v>81</v>
      </c>
      <c r="D319" s="207" t="s">
        <v>89</v>
      </c>
      <c r="E319" s="207" t="s">
        <v>37</v>
      </c>
      <c r="F319" s="208" t="s">
        <v>427</v>
      </c>
      <c r="G319" s="28"/>
      <c r="H319" s="209">
        <f>H320</f>
        <v>1199.9000000000001</v>
      </c>
    </row>
    <row r="320" spans="1:8" ht="49.5" customHeight="1" x14ac:dyDescent="0.35">
      <c r="A320" s="325"/>
      <c r="B320" s="493" t="s">
        <v>76</v>
      </c>
      <c r="C320" s="206" t="s">
        <v>81</v>
      </c>
      <c r="D320" s="207" t="s">
        <v>89</v>
      </c>
      <c r="E320" s="207" t="s">
        <v>37</v>
      </c>
      <c r="F320" s="208" t="s">
        <v>427</v>
      </c>
      <c r="G320" s="28" t="s">
        <v>77</v>
      </c>
      <c r="H320" s="209">
        <f>'прил9 (ведом 23)'!M516+'прил9 (ведом 23)'!M608</f>
        <v>1199.9000000000001</v>
      </c>
    </row>
    <row r="321" spans="1:8" ht="54" x14ac:dyDescent="0.35">
      <c r="A321" s="325"/>
      <c r="B321" s="508" t="s">
        <v>126</v>
      </c>
      <c r="C321" s="206" t="s">
        <v>81</v>
      </c>
      <c r="D321" s="207" t="s">
        <v>89</v>
      </c>
      <c r="E321" s="207" t="s">
        <v>39</v>
      </c>
      <c r="F321" s="208" t="s">
        <v>44</v>
      </c>
      <c r="G321" s="28"/>
      <c r="H321" s="215">
        <f>H322</f>
        <v>756.69999999999993</v>
      </c>
    </row>
    <row r="322" spans="1:8" ht="36" x14ac:dyDescent="0.35">
      <c r="A322" s="325"/>
      <c r="B322" s="508" t="s">
        <v>127</v>
      </c>
      <c r="C322" s="206" t="s">
        <v>81</v>
      </c>
      <c r="D322" s="207" t="s">
        <v>89</v>
      </c>
      <c r="E322" s="207" t="s">
        <v>39</v>
      </c>
      <c r="F322" s="208" t="s">
        <v>90</v>
      </c>
      <c r="G322" s="28"/>
      <c r="H322" s="215">
        <f>H323</f>
        <v>756.69999999999993</v>
      </c>
    </row>
    <row r="323" spans="1:8" ht="36" x14ac:dyDescent="0.35">
      <c r="A323" s="325"/>
      <c r="B323" s="492" t="s">
        <v>55</v>
      </c>
      <c r="C323" s="206" t="s">
        <v>81</v>
      </c>
      <c r="D323" s="207" t="s">
        <v>89</v>
      </c>
      <c r="E323" s="207" t="s">
        <v>39</v>
      </c>
      <c r="F323" s="208" t="s">
        <v>90</v>
      </c>
      <c r="G323" s="28" t="s">
        <v>56</v>
      </c>
      <c r="H323" s="215">
        <f>'прил9 (ведом 23)'!M117</f>
        <v>756.69999999999993</v>
      </c>
    </row>
    <row r="324" spans="1:8" ht="54" x14ac:dyDescent="0.35">
      <c r="A324" s="325"/>
      <c r="B324" s="509" t="s">
        <v>366</v>
      </c>
      <c r="C324" s="206" t="s">
        <v>81</v>
      </c>
      <c r="D324" s="207" t="s">
        <v>30</v>
      </c>
      <c r="E324" s="207" t="s">
        <v>43</v>
      </c>
      <c r="F324" s="208" t="s">
        <v>44</v>
      </c>
      <c r="G324" s="28"/>
      <c r="H324" s="215">
        <f>H325+H330</f>
        <v>12031.548000000001</v>
      </c>
    </row>
    <row r="325" spans="1:8" ht="65.25" customHeight="1" x14ac:dyDescent="0.35">
      <c r="A325" s="325"/>
      <c r="B325" s="508" t="s">
        <v>321</v>
      </c>
      <c r="C325" s="206" t="s">
        <v>81</v>
      </c>
      <c r="D325" s="207" t="s">
        <v>30</v>
      </c>
      <c r="E325" s="207" t="s">
        <v>37</v>
      </c>
      <c r="F325" s="208" t="s">
        <v>44</v>
      </c>
      <c r="G325" s="28"/>
      <c r="H325" s="215">
        <f>H326</f>
        <v>11554.648000000001</v>
      </c>
    </row>
    <row r="326" spans="1:8" ht="36" x14ac:dyDescent="0.35">
      <c r="A326" s="325"/>
      <c r="B326" s="492" t="s">
        <v>461</v>
      </c>
      <c r="C326" s="206" t="s">
        <v>81</v>
      </c>
      <c r="D326" s="207" t="s">
        <v>30</v>
      </c>
      <c r="E326" s="207" t="s">
        <v>37</v>
      </c>
      <c r="F326" s="208" t="s">
        <v>91</v>
      </c>
      <c r="G326" s="28"/>
      <c r="H326" s="215">
        <f>SUM(H327:H329)</f>
        <v>11554.648000000001</v>
      </c>
    </row>
    <row r="327" spans="1:8" s="335" customFormat="1" ht="90" x14ac:dyDescent="0.35">
      <c r="A327" s="325"/>
      <c r="B327" s="492" t="s">
        <v>49</v>
      </c>
      <c r="C327" s="206" t="s">
        <v>81</v>
      </c>
      <c r="D327" s="207" t="s">
        <v>30</v>
      </c>
      <c r="E327" s="207" t="s">
        <v>37</v>
      </c>
      <c r="F327" s="208" t="s">
        <v>91</v>
      </c>
      <c r="G327" s="28" t="s">
        <v>50</v>
      </c>
      <c r="H327" s="215">
        <f>'прил9 (ведом 23)'!M121</f>
        <v>8701.2999999999993</v>
      </c>
    </row>
    <row r="328" spans="1:8" ht="36" x14ac:dyDescent="0.35">
      <c r="A328" s="325"/>
      <c r="B328" s="492" t="s">
        <v>55</v>
      </c>
      <c r="C328" s="206" t="s">
        <v>81</v>
      </c>
      <c r="D328" s="207" t="s">
        <v>30</v>
      </c>
      <c r="E328" s="207" t="s">
        <v>37</v>
      </c>
      <c r="F328" s="208" t="s">
        <v>91</v>
      </c>
      <c r="G328" s="28" t="s">
        <v>56</v>
      </c>
      <c r="H328" s="215">
        <f>'прил9 (ведом 23)'!M122</f>
        <v>2849.82197</v>
      </c>
    </row>
    <row r="329" spans="1:8" s="335" customFormat="1" ht="18" x14ac:dyDescent="0.35">
      <c r="A329" s="325"/>
      <c r="B329" s="492" t="s">
        <v>57</v>
      </c>
      <c r="C329" s="206" t="s">
        <v>81</v>
      </c>
      <c r="D329" s="207" t="s">
        <v>30</v>
      </c>
      <c r="E329" s="207" t="s">
        <v>37</v>
      </c>
      <c r="F329" s="208" t="s">
        <v>91</v>
      </c>
      <c r="G329" s="28" t="s">
        <v>58</v>
      </c>
      <c r="H329" s="215">
        <f>'прил9 (ведом 23)'!M123</f>
        <v>3.52603</v>
      </c>
    </row>
    <row r="330" spans="1:8" s="335" customFormat="1" ht="36" x14ac:dyDescent="0.35">
      <c r="A330" s="325"/>
      <c r="B330" s="492" t="s">
        <v>564</v>
      </c>
      <c r="C330" s="206" t="s">
        <v>81</v>
      </c>
      <c r="D330" s="207" t="s">
        <v>30</v>
      </c>
      <c r="E330" s="207" t="s">
        <v>39</v>
      </c>
      <c r="F330" s="208" t="s">
        <v>44</v>
      </c>
      <c r="G330" s="28"/>
      <c r="H330" s="215">
        <f>H331</f>
        <v>476.9</v>
      </c>
    </row>
    <row r="331" spans="1:8" s="335" customFormat="1" ht="36" x14ac:dyDescent="0.35">
      <c r="A331" s="325"/>
      <c r="B331" s="492" t="s">
        <v>85</v>
      </c>
      <c r="C331" s="206" t="s">
        <v>81</v>
      </c>
      <c r="D331" s="207" t="s">
        <v>30</v>
      </c>
      <c r="E331" s="207" t="s">
        <v>39</v>
      </c>
      <c r="F331" s="208" t="s">
        <v>86</v>
      </c>
      <c r="G331" s="28"/>
      <c r="H331" s="215">
        <f>H332</f>
        <v>476.9</v>
      </c>
    </row>
    <row r="332" spans="1:8" s="335" customFormat="1" ht="36" x14ac:dyDescent="0.35">
      <c r="A332" s="325"/>
      <c r="B332" s="492" t="s">
        <v>55</v>
      </c>
      <c r="C332" s="206" t="s">
        <v>81</v>
      </c>
      <c r="D332" s="207" t="s">
        <v>30</v>
      </c>
      <c r="E332" s="207" t="s">
        <v>39</v>
      </c>
      <c r="F332" s="208" t="s">
        <v>86</v>
      </c>
      <c r="G332" s="28" t="s">
        <v>56</v>
      </c>
      <c r="H332" s="215">
        <f>'прил9 (ведом 23)'!M126</f>
        <v>476.9</v>
      </c>
    </row>
    <row r="333" spans="1:8" s="335" customFormat="1" ht="54" x14ac:dyDescent="0.35">
      <c r="A333" s="325"/>
      <c r="B333" s="510" t="s">
        <v>487</v>
      </c>
      <c r="C333" s="689" t="s">
        <v>81</v>
      </c>
      <c r="D333" s="690" t="s">
        <v>31</v>
      </c>
      <c r="E333" s="690" t="s">
        <v>43</v>
      </c>
      <c r="F333" s="691" t="s">
        <v>44</v>
      </c>
      <c r="G333" s="10"/>
      <c r="H333" s="215">
        <f>H334</f>
        <v>21.8</v>
      </c>
    </row>
    <row r="334" spans="1:8" s="335" customFormat="1" ht="54" x14ac:dyDescent="0.35">
      <c r="A334" s="325"/>
      <c r="B334" s="511" t="s">
        <v>488</v>
      </c>
      <c r="C334" s="689" t="s">
        <v>81</v>
      </c>
      <c r="D334" s="690" t="s">
        <v>31</v>
      </c>
      <c r="E334" s="690" t="s">
        <v>37</v>
      </c>
      <c r="F334" s="691" t="s">
        <v>44</v>
      </c>
      <c r="G334" s="10"/>
      <c r="H334" s="215">
        <f>H335</f>
        <v>21.8</v>
      </c>
    </row>
    <row r="335" spans="1:8" s="335" customFormat="1" ht="36" x14ac:dyDescent="0.35">
      <c r="A335" s="325"/>
      <c r="B335" s="512" t="s">
        <v>85</v>
      </c>
      <c r="C335" s="689" t="s">
        <v>81</v>
      </c>
      <c r="D335" s="690" t="s">
        <v>31</v>
      </c>
      <c r="E335" s="690" t="s">
        <v>37</v>
      </c>
      <c r="F335" s="691" t="s">
        <v>86</v>
      </c>
      <c r="G335" s="10"/>
      <c r="H335" s="215">
        <f>H336</f>
        <v>21.8</v>
      </c>
    </row>
    <row r="336" spans="1:8" s="335" customFormat="1" ht="36" x14ac:dyDescent="0.35">
      <c r="A336" s="325"/>
      <c r="B336" s="513" t="s">
        <v>55</v>
      </c>
      <c r="C336" s="689" t="s">
        <v>81</v>
      </c>
      <c r="D336" s="690" t="s">
        <v>31</v>
      </c>
      <c r="E336" s="690" t="s">
        <v>37</v>
      </c>
      <c r="F336" s="691" t="s">
        <v>86</v>
      </c>
      <c r="G336" s="10" t="s">
        <v>56</v>
      </c>
      <c r="H336" s="215">
        <f>'прил9 (ведом 23)'!M130</f>
        <v>21.8</v>
      </c>
    </row>
    <row r="337" spans="1:8" ht="18" x14ac:dyDescent="0.35">
      <c r="A337" s="350"/>
      <c r="B337" s="495"/>
      <c r="C337" s="351"/>
      <c r="D337" s="683"/>
      <c r="E337" s="683"/>
      <c r="F337" s="684"/>
      <c r="G337" s="236"/>
      <c r="H337" s="215"/>
    </row>
    <row r="338" spans="1:8" s="335" customFormat="1" ht="52.2" x14ac:dyDescent="0.3">
      <c r="A338" s="340">
        <v>6</v>
      </c>
      <c r="B338" s="504" t="s">
        <v>223</v>
      </c>
      <c r="C338" s="332" t="s">
        <v>224</v>
      </c>
      <c r="D338" s="332" t="s">
        <v>42</v>
      </c>
      <c r="E338" s="332" t="s">
        <v>43</v>
      </c>
      <c r="F338" s="333" t="s">
        <v>44</v>
      </c>
      <c r="G338" s="334"/>
      <c r="H338" s="252">
        <f>H339</f>
        <v>53072.7</v>
      </c>
    </row>
    <row r="339" spans="1:8" ht="31.5" customHeight="1" x14ac:dyDescent="0.35">
      <c r="A339" s="325"/>
      <c r="B339" s="492" t="s">
        <v>337</v>
      </c>
      <c r="C339" s="352" t="s">
        <v>224</v>
      </c>
      <c r="D339" s="353" t="s">
        <v>45</v>
      </c>
      <c r="E339" s="207" t="s">
        <v>43</v>
      </c>
      <c r="F339" s="208" t="s">
        <v>44</v>
      </c>
      <c r="G339" s="28"/>
      <c r="H339" s="215">
        <f>H340+H349+H354+H360+H357</f>
        <v>53072.7</v>
      </c>
    </row>
    <row r="340" spans="1:8" ht="46.5" customHeight="1" x14ac:dyDescent="0.35">
      <c r="A340" s="325"/>
      <c r="B340" s="492" t="s">
        <v>302</v>
      </c>
      <c r="C340" s="352" t="s">
        <v>224</v>
      </c>
      <c r="D340" s="353" t="s">
        <v>45</v>
      </c>
      <c r="E340" s="207" t="s">
        <v>37</v>
      </c>
      <c r="F340" s="208" t="s">
        <v>44</v>
      </c>
      <c r="G340" s="28"/>
      <c r="H340" s="215">
        <f>H341+H345+H347</f>
        <v>30768.799999999996</v>
      </c>
    </row>
    <row r="341" spans="1:8" ht="36" x14ac:dyDescent="0.35">
      <c r="A341" s="325"/>
      <c r="B341" s="492" t="s">
        <v>47</v>
      </c>
      <c r="C341" s="352" t="s">
        <v>224</v>
      </c>
      <c r="D341" s="353" t="s">
        <v>45</v>
      </c>
      <c r="E341" s="207" t="s">
        <v>37</v>
      </c>
      <c r="F341" s="208" t="s">
        <v>48</v>
      </c>
      <c r="G341" s="28"/>
      <c r="H341" s="215">
        <f>SUM(H342:H344)</f>
        <v>30447.199999999997</v>
      </c>
    </row>
    <row r="342" spans="1:8" ht="90" x14ac:dyDescent="0.35">
      <c r="A342" s="325"/>
      <c r="B342" s="492" t="s">
        <v>49</v>
      </c>
      <c r="C342" s="352" t="s">
        <v>224</v>
      </c>
      <c r="D342" s="353" t="s">
        <v>45</v>
      </c>
      <c r="E342" s="207" t="s">
        <v>37</v>
      </c>
      <c r="F342" s="208" t="s">
        <v>48</v>
      </c>
      <c r="G342" s="28" t="s">
        <v>50</v>
      </c>
      <c r="H342" s="215">
        <f>'прил9 (ведом 23)'!M301</f>
        <v>29535.85</v>
      </c>
    </row>
    <row r="343" spans="1:8" ht="36" x14ac:dyDescent="0.35">
      <c r="A343" s="325"/>
      <c r="B343" s="492" t="s">
        <v>55</v>
      </c>
      <c r="C343" s="352" t="s">
        <v>224</v>
      </c>
      <c r="D343" s="353" t="s">
        <v>45</v>
      </c>
      <c r="E343" s="207" t="s">
        <v>37</v>
      </c>
      <c r="F343" s="208" t="s">
        <v>48</v>
      </c>
      <c r="G343" s="28" t="s">
        <v>56</v>
      </c>
      <c r="H343" s="215">
        <f>'прил9 (ведом 23)'!M302</f>
        <v>906.74999999999989</v>
      </c>
    </row>
    <row r="344" spans="1:8" ht="18" x14ac:dyDescent="0.35">
      <c r="A344" s="325"/>
      <c r="B344" s="492" t="s">
        <v>57</v>
      </c>
      <c r="C344" s="352" t="s">
        <v>224</v>
      </c>
      <c r="D344" s="353" t="s">
        <v>45</v>
      </c>
      <c r="E344" s="207" t="s">
        <v>37</v>
      </c>
      <c r="F344" s="208" t="s">
        <v>48</v>
      </c>
      <c r="G344" s="28" t="s">
        <v>58</v>
      </c>
      <c r="H344" s="215">
        <f>'прил9 (ведом 23)'!M303</f>
        <v>4.5999999999999996</v>
      </c>
    </row>
    <row r="345" spans="1:8" ht="36" x14ac:dyDescent="0.35">
      <c r="A345" s="325"/>
      <c r="B345" s="493" t="s">
        <v>529</v>
      </c>
      <c r="C345" s="352" t="s">
        <v>224</v>
      </c>
      <c r="D345" s="353" t="s">
        <v>45</v>
      </c>
      <c r="E345" s="207" t="s">
        <v>37</v>
      </c>
      <c r="F345" s="208" t="s">
        <v>528</v>
      </c>
      <c r="G345" s="28"/>
      <c r="H345" s="215">
        <f>H346</f>
        <v>65.599999999999994</v>
      </c>
    </row>
    <row r="346" spans="1:8" ht="36" x14ac:dyDescent="0.35">
      <c r="A346" s="325"/>
      <c r="B346" s="493" t="s">
        <v>55</v>
      </c>
      <c r="C346" s="352" t="s">
        <v>224</v>
      </c>
      <c r="D346" s="353" t="s">
        <v>45</v>
      </c>
      <c r="E346" s="207" t="s">
        <v>37</v>
      </c>
      <c r="F346" s="208" t="s">
        <v>528</v>
      </c>
      <c r="G346" s="28" t="s">
        <v>56</v>
      </c>
      <c r="H346" s="215">
        <f>'прил9 (ведом 23)'!M325</f>
        <v>65.599999999999994</v>
      </c>
    </row>
    <row r="347" spans="1:8" ht="54" x14ac:dyDescent="0.35">
      <c r="A347" s="325"/>
      <c r="B347" s="496" t="s">
        <v>378</v>
      </c>
      <c r="C347" s="25" t="s">
        <v>224</v>
      </c>
      <c r="D347" s="26" t="s">
        <v>45</v>
      </c>
      <c r="E347" s="690" t="s">
        <v>37</v>
      </c>
      <c r="F347" s="691" t="s">
        <v>377</v>
      </c>
      <c r="G347" s="10"/>
      <c r="H347" s="215">
        <f>H348</f>
        <v>256</v>
      </c>
    </row>
    <row r="348" spans="1:8" ht="36" x14ac:dyDescent="0.35">
      <c r="A348" s="325"/>
      <c r="B348" s="496" t="s">
        <v>55</v>
      </c>
      <c r="C348" s="25" t="s">
        <v>224</v>
      </c>
      <c r="D348" s="26" t="s">
        <v>45</v>
      </c>
      <c r="E348" s="690" t="s">
        <v>37</v>
      </c>
      <c r="F348" s="691" t="s">
        <v>377</v>
      </c>
      <c r="G348" s="10" t="s">
        <v>56</v>
      </c>
      <c r="H348" s="215">
        <f>'прил9 (ведом 23)'!M312</f>
        <v>256</v>
      </c>
    </row>
    <row r="349" spans="1:8" ht="18" x14ac:dyDescent="0.35">
      <c r="A349" s="325"/>
      <c r="B349" s="492" t="s">
        <v>303</v>
      </c>
      <c r="C349" s="352" t="s">
        <v>224</v>
      </c>
      <c r="D349" s="353" t="s">
        <v>45</v>
      </c>
      <c r="E349" s="207" t="s">
        <v>39</v>
      </c>
      <c r="F349" s="208" t="s">
        <v>44</v>
      </c>
      <c r="G349" s="28"/>
      <c r="H349" s="215">
        <f>H350+H352</f>
        <v>18429.400000000001</v>
      </c>
    </row>
    <row r="350" spans="1:8" ht="36" x14ac:dyDescent="0.35">
      <c r="A350" s="325"/>
      <c r="B350" s="493" t="s">
        <v>257</v>
      </c>
      <c r="C350" s="352" t="s">
        <v>224</v>
      </c>
      <c r="D350" s="353" t="s">
        <v>45</v>
      </c>
      <c r="E350" s="207" t="s">
        <v>39</v>
      </c>
      <c r="F350" s="208" t="s">
        <v>404</v>
      </c>
      <c r="G350" s="28"/>
      <c r="H350" s="215">
        <f>H351</f>
        <v>7500</v>
      </c>
    </row>
    <row r="351" spans="1:8" ht="18" x14ac:dyDescent="0.35">
      <c r="A351" s="325"/>
      <c r="B351" s="493" t="s">
        <v>123</v>
      </c>
      <c r="C351" s="352" t="s">
        <v>224</v>
      </c>
      <c r="D351" s="353" t="s">
        <v>45</v>
      </c>
      <c r="E351" s="207" t="s">
        <v>39</v>
      </c>
      <c r="F351" s="208" t="s">
        <v>404</v>
      </c>
      <c r="G351" s="28" t="s">
        <v>124</v>
      </c>
      <c r="H351" s="215">
        <f>'прил9 (ведом 23)'!M332</f>
        <v>7500</v>
      </c>
    </row>
    <row r="352" spans="1:8" ht="54" x14ac:dyDescent="0.35">
      <c r="A352" s="325"/>
      <c r="B352" s="579" t="s">
        <v>733</v>
      </c>
      <c r="C352" s="25" t="s">
        <v>224</v>
      </c>
      <c r="D352" s="26" t="s">
        <v>45</v>
      </c>
      <c r="E352" s="690" t="s">
        <v>39</v>
      </c>
      <c r="F352" s="691" t="s">
        <v>734</v>
      </c>
      <c r="G352" s="10"/>
      <c r="H352" s="215">
        <f>H353</f>
        <v>10929.4</v>
      </c>
    </row>
    <row r="353" spans="1:8" ht="18" x14ac:dyDescent="0.35">
      <c r="A353" s="325"/>
      <c r="B353" s="579" t="s">
        <v>123</v>
      </c>
      <c r="C353" s="25" t="s">
        <v>224</v>
      </c>
      <c r="D353" s="26" t="s">
        <v>45</v>
      </c>
      <c r="E353" s="690" t="s">
        <v>39</v>
      </c>
      <c r="F353" s="691" t="s">
        <v>734</v>
      </c>
      <c r="G353" s="10" t="s">
        <v>124</v>
      </c>
      <c r="H353" s="215">
        <f>'прил9 (ведом 23)'!M338</f>
        <v>10929.4</v>
      </c>
    </row>
    <row r="354" spans="1:8" ht="36" x14ac:dyDescent="0.35">
      <c r="A354" s="325"/>
      <c r="B354" s="492" t="s">
        <v>349</v>
      </c>
      <c r="C354" s="352" t="s">
        <v>224</v>
      </c>
      <c r="D354" s="353" t="s">
        <v>45</v>
      </c>
      <c r="E354" s="207" t="s">
        <v>63</v>
      </c>
      <c r="F354" s="208" t="s">
        <v>44</v>
      </c>
      <c r="G354" s="28"/>
      <c r="H354" s="215">
        <f>H355</f>
        <v>3133.9</v>
      </c>
    </row>
    <row r="355" spans="1:8" ht="54" x14ac:dyDescent="0.35">
      <c r="A355" s="325"/>
      <c r="B355" s="492" t="s">
        <v>350</v>
      </c>
      <c r="C355" s="352" t="s">
        <v>224</v>
      </c>
      <c r="D355" s="353" t="s">
        <v>45</v>
      </c>
      <c r="E355" s="207" t="s">
        <v>63</v>
      </c>
      <c r="F355" s="208" t="s">
        <v>105</v>
      </c>
      <c r="G355" s="28"/>
      <c r="H355" s="215">
        <f>H356</f>
        <v>3133.9</v>
      </c>
    </row>
    <row r="356" spans="1:8" ht="36" x14ac:dyDescent="0.35">
      <c r="A356" s="325"/>
      <c r="B356" s="492" t="s">
        <v>55</v>
      </c>
      <c r="C356" s="352" t="s">
        <v>224</v>
      </c>
      <c r="D356" s="353" t="s">
        <v>45</v>
      </c>
      <c r="E356" s="207" t="s">
        <v>63</v>
      </c>
      <c r="F356" s="208" t="s">
        <v>105</v>
      </c>
      <c r="G356" s="28" t="s">
        <v>56</v>
      </c>
      <c r="H356" s="215">
        <f>'прил9 (ведом 23)'!M315</f>
        <v>3133.9</v>
      </c>
    </row>
    <row r="357" spans="1:8" ht="54" x14ac:dyDescent="0.35">
      <c r="A357" s="325"/>
      <c r="B357" s="579" t="s">
        <v>646</v>
      </c>
      <c r="C357" s="25" t="s">
        <v>224</v>
      </c>
      <c r="D357" s="26" t="s">
        <v>45</v>
      </c>
      <c r="E357" s="690" t="s">
        <v>52</v>
      </c>
      <c r="F357" s="691" t="s">
        <v>44</v>
      </c>
      <c r="G357" s="10"/>
      <c r="H357" s="215">
        <f>H358</f>
        <v>726.2</v>
      </c>
    </row>
    <row r="358" spans="1:8" ht="36" x14ac:dyDescent="0.35">
      <c r="A358" s="325"/>
      <c r="B358" s="579" t="s">
        <v>645</v>
      </c>
      <c r="C358" s="25" t="s">
        <v>224</v>
      </c>
      <c r="D358" s="26" t="s">
        <v>45</v>
      </c>
      <c r="E358" s="690" t="s">
        <v>52</v>
      </c>
      <c r="F358" s="691" t="s">
        <v>647</v>
      </c>
      <c r="G358" s="10"/>
      <c r="H358" s="215">
        <f>H359</f>
        <v>726.2</v>
      </c>
    </row>
    <row r="359" spans="1:8" ht="90" x14ac:dyDescent="0.35">
      <c r="A359" s="325"/>
      <c r="B359" s="579" t="s">
        <v>49</v>
      </c>
      <c r="C359" s="25" t="s">
        <v>224</v>
      </c>
      <c r="D359" s="26" t="s">
        <v>45</v>
      </c>
      <c r="E359" s="690" t="s">
        <v>52</v>
      </c>
      <c r="F359" s="691" t="s">
        <v>647</v>
      </c>
      <c r="G359" s="10" t="s">
        <v>50</v>
      </c>
      <c r="H359" s="215">
        <f>'прил9 (ведом 23)'!M306</f>
        <v>726.2</v>
      </c>
    </row>
    <row r="360" spans="1:8" ht="36" x14ac:dyDescent="0.35">
      <c r="A360" s="325"/>
      <c r="B360" s="493" t="s">
        <v>465</v>
      </c>
      <c r="C360" s="352" t="s">
        <v>224</v>
      </c>
      <c r="D360" s="353" t="s">
        <v>45</v>
      </c>
      <c r="E360" s="207" t="s">
        <v>65</v>
      </c>
      <c r="F360" s="208" t="s">
        <v>44</v>
      </c>
      <c r="G360" s="28"/>
      <c r="H360" s="215">
        <f>H361</f>
        <v>14.399999999999999</v>
      </c>
    </row>
    <row r="361" spans="1:8" ht="18" x14ac:dyDescent="0.35">
      <c r="A361" s="325"/>
      <c r="B361" s="493" t="s">
        <v>463</v>
      </c>
      <c r="C361" s="352" t="s">
        <v>224</v>
      </c>
      <c r="D361" s="353" t="s">
        <v>45</v>
      </c>
      <c r="E361" s="207" t="s">
        <v>65</v>
      </c>
      <c r="F361" s="208" t="s">
        <v>464</v>
      </c>
      <c r="G361" s="28"/>
      <c r="H361" s="215">
        <f>H362</f>
        <v>14.399999999999999</v>
      </c>
    </row>
    <row r="362" spans="1:8" ht="36" x14ac:dyDescent="0.35">
      <c r="A362" s="325"/>
      <c r="B362" s="493" t="s">
        <v>55</v>
      </c>
      <c r="C362" s="352" t="s">
        <v>224</v>
      </c>
      <c r="D362" s="353" t="s">
        <v>45</v>
      </c>
      <c r="E362" s="207" t="s">
        <v>65</v>
      </c>
      <c r="F362" s="208" t="s">
        <v>464</v>
      </c>
      <c r="G362" s="28" t="s">
        <v>56</v>
      </c>
      <c r="H362" s="215">
        <f>'прил9 (ведом 23)'!M318</f>
        <v>14.399999999999999</v>
      </c>
    </row>
    <row r="363" spans="1:8" ht="18" x14ac:dyDescent="0.35">
      <c r="A363" s="325"/>
      <c r="B363" s="492"/>
      <c r="C363" s="353"/>
      <c r="D363" s="353"/>
      <c r="E363" s="353"/>
      <c r="F363" s="354"/>
      <c r="G363" s="28"/>
      <c r="H363" s="215"/>
    </row>
    <row r="364" spans="1:8" s="335" customFormat="1" ht="52.2" x14ac:dyDescent="0.3">
      <c r="A364" s="331">
        <v>7</v>
      </c>
      <c r="B364" s="514" t="s">
        <v>225</v>
      </c>
      <c r="C364" s="355" t="s">
        <v>226</v>
      </c>
      <c r="D364" s="341" t="s">
        <v>42</v>
      </c>
      <c r="E364" s="341" t="s">
        <v>43</v>
      </c>
      <c r="F364" s="342" t="s">
        <v>44</v>
      </c>
      <c r="G364" s="356"/>
      <c r="H364" s="252">
        <f>H365+H374+H396</f>
        <v>48803.181060000003</v>
      </c>
    </row>
    <row r="365" spans="1:8" ht="36" x14ac:dyDescent="0.35">
      <c r="A365" s="350"/>
      <c r="B365" s="515" t="s">
        <v>227</v>
      </c>
      <c r="C365" s="399" t="s">
        <v>226</v>
      </c>
      <c r="D365" s="364" t="s">
        <v>45</v>
      </c>
      <c r="E365" s="364" t="s">
        <v>43</v>
      </c>
      <c r="F365" s="365" t="s">
        <v>44</v>
      </c>
      <c r="G365" s="685"/>
      <c r="H365" s="215">
        <f>H366+H371</f>
        <v>3919.0430000000001</v>
      </c>
    </row>
    <row r="366" spans="1:8" ht="72" x14ac:dyDescent="0.35">
      <c r="A366" s="350"/>
      <c r="B366" s="515" t="s">
        <v>296</v>
      </c>
      <c r="C366" s="377" t="s">
        <v>226</v>
      </c>
      <c r="D366" s="351" t="s">
        <v>45</v>
      </c>
      <c r="E366" s="351" t="s">
        <v>37</v>
      </c>
      <c r="F366" s="361" t="s">
        <v>44</v>
      </c>
      <c r="G366" s="362"/>
      <c r="H366" s="215">
        <f>H367+H369</f>
        <v>2099.3320000000003</v>
      </c>
    </row>
    <row r="367" spans="1:8" ht="54" x14ac:dyDescent="0.35">
      <c r="A367" s="350"/>
      <c r="B367" s="515" t="s">
        <v>228</v>
      </c>
      <c r="C367" s="377" t="s">
        <v>226</v>
      </c>
      <c r="D367" s="351" t="s">
        <v>45</v>
      </c>
      <c r="E367" s="351" t="s">
        <v>37</v>
      </c>
      <c r="F367" s="361" t="s">
        <v>297</v>
      </c>
      <c r="G367" s="362"/>
      <c r="H367" s="215">
        <f>H368</f>
        <v>1021.1320000000001</v>
      </c>
    </row>
    <row r="368" spans="1:8" ht="36" x14ac:dyDescent="0.35">
      <c r="A368" s="350"/>
      <c r="B368" s="492" t="s">
        <v>55</v>
      </c>
      <c r="C368" s="377" t="s">
        <v>226</v>
      </c>
      <c r="D368" s="351" t="s">
        <v>45</v>
      </c>
      <c r="E368" s="351" t="s">
        <v>37</v>
      </c>
      <c r="F368" s="361" t="s">
        <v>297</v>
      </c>
      <c r="G368" s="362" t="s">
        <v>56</v>
      </c>
      <c r="H368" s="215">
        <f>'прил9 (ведом 23)'!M365</f>
        <v>1021.1320000000001</v>
      </c>
    </row>
    <row r="369" spans="1:8" ht="25.5" customHeight="1" x14ac:dyDescent="0.35">
      <c r="A369" s="350"/>
      <c r="B369" s="516" t="s">
        <v>370</v>
      </c>
      <c r="C369" s="343" t="s">
        <v>226</v>
      </c>
      <c r="D369" s="351" t="s">
        <v>45</v>
      </c>
      <c r="E369" s="351" t="s">
        <v>37</v>
      </c>
      <c r="F369" s="361" t="s">
        <v>369</v>
      </c>
      <c r="G369" s="362"/>
      <c r="H369" s="215">
        <f>H370</f>
        <v>1078.2</v>
      </c>
    </row>
    <row r="370" spans="1:8" ht="36" x14ac:dyDescent="0.35">
      <c r="A370" s="350"/>
      <c r="B370" s="493" t="s">
        <v>55</v>
      </c>
      <c r="C370" s="343" t="s">
        <v>226</v>
      </c>
      <c r="D370" s="351" t="s">
        <v>45</v>
      </c>
      <c r="E370" s="351" t="s">
        <v>37</v>
      </c>
      <c r="F370" s="361" t="s">
        <v>369</v>
      </c>
      <c r="G370" s="362" t="s">
        <v>56</v>
      </c>
      <c r="H370" s="215">
        <f>'прил9 (ведом 23)'!M417</f>
        <v>1078.2</v>
      </c>
    </row>
    <row r="371" spans="1:8" ht="36" x14ac:dyDescent="0.35">
      <c r="A371" s="350"/>
      <c r="B371" s="492" t="s">
        <v>336</v>
      </c>
      <c r="C371" s="377" t="s">
        <v>226</v>
      </c>
      <c r="D371" s="351" t="s">
        <v>45</v>
      </c>
      <c r="E371" s="351" t="s">
        <v>39</v>
      </c>
      <c r="F371" s="361" t="s">
        <v>44</v>
      </c>
      <c r="G371" s="362"/>
      <c r="H371" s="215">
        <f>H372</f>
        <v>1819.7109999999998</v>
      </c>
    </row>
    <row r="372" spans="1:8" ht="36" x14ac:dyDescent="0.35">
      <c r="A372" s="350"/>
      <c r="B372" s="492" t="s">
        <v>335</v>
      </c>
      <c r="C372" s="377" t="s">
        <v>226</v>
      </c>
      <c r="D372" s="351" t="s">
        <v>45</v>
      </c>
      <c r="E372" s="351" t="s">
        <v>39</v>
      </c>
      <c r="F372" s="361" t="s">
        <v>334</v>
      </c>
      <c r="G372" s="362"/>
      <c r="H372" s="215">
        <f>SUM(H373:H373)</f>
        <v>1819.7109999999998</v>
      </c>
    </row>
    <row r="373" spans="1:8" ht="36" x14ac:dyDescent="0.35">
      <c r="A373" s="350"/>
      <c r="B373" s="492" t="s">
        <v>55</v>
      </c>
      <c r="C373" s="377" t="s">
        <v>226</v>
      </c>
      <c r="D373" s="351" t="s">
        <v>45</v>
      </c>
      <c r="E373" s="351" t="s">
        <v>39</v>
      </c>
      <c r="F373" s="361" t="s">
        <v>334</v>
      </c>
      <c r="G373" s="362" t="s">
        <v>56</v>
      </c>
      <c r="H373" s="215">
        <f>'прил9 (ведом 23)'!M368</f>
        <v>1819.7109999999998</v>
      </c>
    </row>
    <row r="374" spans="1:8" ht="36" x14ac:dyDescent="0.35">
      <c r="A374" s="350"/>
      <c r="B374" s="515" t="s">
        <v>229</v>
      </c>
      <c r="C374" s="343" t="s">
        <v>226</v>
      </c>
      <c r="D374" s="351" t="s">
        <v>89</v>
      </c>
      <c r="E374" s="351" t="s">
        <v>43</v>
      </c>
      <c r="F374" s="361" t="s">
        <v>44</v>
      </c>
      <c r="G374" s="362"/>
      <c r="H374" s="215">
        <f>H375+H390+H393</f>
        <v>27616.528999999999</v>
      </c>
    </row>
    <row r="375" spans="1:8" ht="72" x14ac:dyDescent="0.35">
      <c r="A375" s="350"/>
      <c r="B375" s="515" t="s">
        <v>300</v>
      </c>
      <c r="C375" s="343" t="s">
        <v>226</v>
      </c>
      <c r="D375" s="351" t="s">
        <v>89</v>
      </c>
      <c r="E375" s="351" t="s">
        <v>37</v>
      </c>
      <c r="F375" s="361" t="s">
        <v>44</v>
      </c>
      <c r="G375" s="362"/>
      <c r="H375" s="215">
        <f>H376+H380+H384+H386+H388</f>
        <v>26536.9</v>
      </c>
    </row>
    <row r="376" spans="1:8" ht="36" x14ac:dyDescent="0.35">
      <c r="A376" s="350"/>
      <c r="B376" s="515" t="s">
        <v>47</v>
      </c>
      <c r="C376" s="343" t="s">
        <v>226</v>
      </c>
      <c r="D376" s="351" t="s">
        <v>89</v>
      </c>
      <c r="E376" s="351" t="s">
        <v>37</v>
      </c>
      <c r="F376" s="361" t="s">
        <v>48</v>
      </c>
      <c r="G376" s="362"/>
      <c r="H376" s="215">
        <f>SUM(H377:H379)</f>
        <v>15691.6</v>
      </c>
    </row>
    <row r="377" spans="1:8" ht="90" x14ac:dyDescent="0.35">
      <c r="A377" s="350"/>
      <c r="B377" s="515" t="s">
        <v>49</v>
      </c>
      <c r="C377" s="343" t="s">
        <v>226</v>
      </c>
      <c r="D377" s="351" t="s">
        <v>89</v>
      </c>
      <c r="E377" s="351" t="s">
        <v>37</v>
      </c>
      <c r="F377" s="361" t="s">
        <v>48</v>
      </c>
      <c r="G377" s="362" t="s">
        <v>50</v>
      </c>
      <c r="H377" s="215">
        <f>'прил9 (ведом 23)'!M372</f>
        <v>15338.4</v>
      </c>
    </row>
    <row r="378" spans="1:8" ht="36" x14ac:dyDescent="0.35">
      <c r="A378" s="350"/>
      <c r="B378" s="492" t="s">
        <v>55</v>
      </c>
      <c r="C378" s="343" t="s">
        <v>226</v>
      </c>
      <c r="D378" s="351" t="s">
        <v>89</v>
      </c>
      <c r="E378" s="351" t="s">
        <v>37</v>
      </c>
      <c r="F378" s="361" t="s">
        <v>48</v>
      </c>
      <c r="G378" s="362" t="s">
        <v>56</v>
      </c>
      <c r="H378" s="215">
        <f>'прил9 (ведом 23)'!M373</f>
        <v>351.065</v>
      </c>
    </row>
    <row r="379" spans="1:8" ht="18" x14ac:dyDescent="0.35">
      <c r="A379" s="350"/>
      <c r="B379" s="515" t="s">
        <v>57</v>
      </c>
      <c r="C379" s="343" t="s">
        <v>226</v>
      </c>
      <c r="D379" s="351" t="s">
        <v>89</v>
      </c>
      <c r="E379" s="351" t="s">
        <v>37</v>
      </c>
      <c r="F379" s="361" t="s">
        <v>48</v>
      </c>
      <c r="G379" s="362" t="s">
        <v>58</v>
      </c>
      <c r="H379" s="215">
        <f>'прил9 (ведом 23)'!M374</f>
        <v>2.1349999999999998</v>
      </c>
    </row>
    <row r="380" spans="1:8" ht="36" x14ac:dyDescent="0.35">
      <c r="A380" s="350"/>
      <c r="B380" s="492" t="s">
        <v>461</v>
      </c>
      <c r="C380" s="343" t="s">
        <v>226</v>
      </c>
      <c r="D380" s="351" t="s">
        <v>89</v>
      </c>
      <c r="E380" s="351" t="s">
        <v>37</v>
      </c>
      <c r="F380" s="361" t="s">
        <v>91</v>
      </c>
      <c r="G380" s="362"/>
      <c r="H380" s="215">
        <f>SUM(H381:H383)</f>
        <v>10116.800000000001</v>
      </c>
    </row>
    <row r="381" spans="1:8" ht="90" x14ac:dyDescent="0.35">
      <c r="A381" s="350"/>
      <c r="B381" s="515" t="s">
        <v>49</v>
      </c>
      <c r="C381" s="343" t="s">
        <v>226</v>
      </c>
      <c r="D381" s="351" t="s">
        <v>89</v>
      </c>
      <c r="E381" s="351" t="s">
        <v>37</v>
      </c>
      <c r="F381" s="361" t="s">
        <v>91</v>
      </c>
      <c r="G381" s="362" t="s">
        <v>50</v>
      </c>
      <c r="H381" s="215">
        <f>'прил9 (ведом 23)'!M376</f>
        <v>9433.9</v>
      </c>
    </row>
    <row r="382" spans="1:8" ht="36" x14ac:dyDescent="0.35">
      <c r="A382" s="350"/>
      <c r="B382" s="492" t="s">
        <v>55</v>
      </c>
      <c r="C382" s="363" t="s">
        <v>226</v>
      </c>
      <c r="D382" s="364" t="s">
        <v>89</v>
      </c>
      <c r="E382" s="364" t="s">
        <v>37</v>
      </c>
      <c r="F382" s="365" t="s">
        <v>91</v>
      </c>
      <c r="G382" s="362" t="s">
        <v>56</v>
      </c>
      <c r="H382" s="215">
        <f>'прил9 (ведом 23)'!M377</f>
        <v>660.19999999999993</v>
      </c>
    </row>
    <row r="383" spans="1:8" ht="18" x14ac:dyDescent="0.35">
      <c r="A383" s="350"/>
      <c r="B383" s="515" t="s">
        <v>57</v>
      </c>
      <c r="C383" s="343" t="s">
        <v>226</v>
      </c>
      <c r="D383" s="351" t="s">
        <v>89</v>
      </c>
      <c r="E383" s="351" t="s">
        <v>37</v>
      </c>
      <c r="F383" s="361" t="s">
        <v>91</v>
      </c>
      <c r="G383" s="362" t="s">
        <v>58</v>
      </c>
      <c r="H383" s="215">
        <f>'прил9 (ведом 23)'!M378</f>
        <v>22.7</v>
      </c>
    </row>
    <row r="384" spans="1:8" ht="36" x14ac:dyDescent="0.35">
      <c r="A384" s="350"/>
      <c r="B384" s="493" t="s">
        <v>529</v>
      </c>
      <c r="C384" s="366" t="s">
        <v>226</v>
      </c>
      <c r="D384" s="337" t="s">
        <v>89</v>
      </c>
      <c r="E384" s="337" t="s">
        <v>37</v>
      </c>
      <c r="F384" s="360" t="s">
        <v>528</v>
      </c>
      <c r="G384" s="339"/>
      <c r="H384" s="215">
        <f>H385</f>
        <v>7.2</v>
      </c>
    </row>
    <row r="385" spans="1:8" ht="36" x14ac:dyDescent="0.35">
      <c r="A385" s="350"/>
      <c r="B385" s="493" t="s">
        <v>55</v>
      </c>
      <c r="C385" s="366" t="s">
        <v>226</v>
      </c>
      <c r="D385" s="337" t="s">
        <v>89</v>
      </c>
      <c r="E385" s="337" t="s">
        <v>37</v>
      </c>
      <c r="F385" s="360" t="s">
        <v>528</v>
      </c>
      <c r="G385" s="339" t="s">
        <v>56</v>
      </c>
      <c r="H385" s="215">
        <f>'прил9 (ведом 23)'!M453</f>
        <v>7.2</v>
      </c>
    </row>
    <row r="386" spans="1:8" ht="54" x14ac:dyDescent="0.35">
      <c r="A386" s="350"/>
      <c r="B386" s="493" t="s">
        <v>352</v>
      </c>
      <c r="C386" s="343" t="s">
        <v>226</v>
      </c>
      <c r="D386" s="351" t="s">
        <v>89</v>
      </c>
      <c r="E386" s="351" t="s">
        <v>37</v>
      </c>
      <c r="F386" s="361" t="s">
        <v>351</v>
      </c>
      <c r="G386" s="362"/>
      <c r="H386" s="215">
        <f>H387</f>
        <v>401.29999999999995</v>
      </c>
    </row>
    <row r="387" spans="1:8" ht="36" x14ac:dyDescent="0.35">
      <c r="A387" s="350"/>
      <c r="B387" s="493" t="s">
        <v>55</v>
      </c>
      <c r="C387" s="343" t="s">
        <v>226</v>
      </c>
      <c r="D387" s="351" t="s">
        <v>89</v>
      </c>
      <c r="E387" s="351" t="s">
        <v>37</v>
      </c>
      <c r="F387" s="361" t="s">
        <v>351</v>
      </c>
      <c r="G387" s="362" t="s">
        <v>56</v>
      </c>
      <c r="H387" s="215">
        <f>'прил9 (ведом 23)'!M380</f>
        <v>401.29999999999995</v>
      </c>
    </row>
    <row r="388" spans="1:8" ht="54" x14ac:dyDescent="0.35">
      <c r="A388" s="350"/>
      <c r="B388" s="616" t="s">
        <v>378</v>
      </c>
      <c r="C388" s="136" t="s">
        <v>226</v>
      </c>
      <c r="D388" s="83" t="s">
        <v>89</v>
      </c>
      <c r="E388" s="83" t="s">
        <v>37</v>
      </c>
      <c r="F388" s="134" t="s">
        <v>377</v>
      </c>
      <c r="G388" s="578"/>
      <c r="H388" s="403">
        <f>H389</f>
        <v>320</v>
      </c>
    </row>
    <row r="389" spans="1:8" ht="36" x14ac:dyDescent="0.35">
      <c r="A389" s="350"/>
      <c r="B389" s="616" t="s">
        <v>55</v>
      </c>
      <c r="C389" s="136" t="s">
        <v>226</v>
      </c>
      <c r="D389" s="83" t="s">
        <v>89</v>
      </c>
      <c r="E389" s="83" t="s">
        <v>37</v>
      </c>
      <c r="F389" s="267" t="s">
        <v>377</v>
      </c>
      <c r="G389" s="85" t="s">
        <v>56</v>
      </c>
      <c r="H389" s="403">
        <f>'прил9 (ведом 23)'!M382</f>
        <v>320</v>
      </c>
    </row>
    <row r="390" spans="1:8" ht="36" x14ac:dyDescent="0.35">
      <c r="A390" s="350"/>
      <c r="B390" s="517" t="s">
        <v>349</v>
      </c>
      <c r="C390" s="400" t="s">
        <v>226</v>
      </c>
      <c r="D390" s="401" t="s">
        <v>89</v>
      </c>
      <c r="E390" s="401" t="s">
        <v>39</v>
      </c>
      <c r="F390" s="402" t="s">
        <v>44</v>
      </c>
      <c r="G390" s="370"/>
      <c r="H390" s="403">
        <f>H391</f>
        <v>989.09999999999991</v>
      </c>
    </row>
    <row r="391" spans="1:8" ht="54" x14ac:dyDescent="0.35">
      <c r="A391" s="350"/>
      <c r="B391" s="518" t="s">
        <v>350</v>
      </c>
      <c r="C391" s="366" t="s">
        <v>226</v>
      </c>
      <c r="D391" s="368" t="s">
        <v>89</v>
      </c>
      <c r="E391" s="368" t="s">
        <v>39</v>
      </c>
      <c r="F391" s="369" t="s">
        <v>105</v>
      </c>
      <c r="G391" s="372"/>
      <c r="H391" s="215">
        <f>H392</f>
        <v>989.09999999999991</v>
      </c>
    </row>
    <row r="392" spans="1:8" ht="36" x14ac:dyDescent="0.35">
      <c r="A392" s="350"/>
      <c r="B392" s="519" t="s">
        <v>55</v>
      </c>
      <c r="C392" s="404" t="s">
        <v>226</v>
      </c>
      <c r="D392" s="368" t="s">
        <v>89</v>
      </c>
      <c r="E392" s="368" t="s">
        <v>39</v>
      </c>
      <c r="F392" s="369" t="s">
        <v>105</v>
      </c>
      <c r="G392" s="372" t="s">
        <v>56</v>
      </c>
      <c r="H392" s="215">
        <f>'прил9 (ведом 23)'!M385</f>
        <v>989.09999999999991</v>
      </c>
    </row>
    <row r="393" spans="1:8" ht="18" x14ac:dyDescent="0.35">
      <c r="A393" s="350"/>
      <c r="B393" s="515" t="s">
        <v>372</v>
      </c>
      <c r="C393" s="376" t="s">
        <v>226</v>
      </c>
      <c r="D393" s="373" t="s">
        <v>89</v>
      </c>
      <c r="E393" s="405" t="s">
        <v>63</v>
      </c>
      <c r="F393" s="406" t="s">
        <v>44</v>
      </c>
      <c r="G393" s="407"/>
      <c r="H393" s="215">
        <f>H394</f>
        <v>90.528999999999982</v>
      </c>
    </row>
    <row r="394" spans="1:8" ht="36" x14ac:dyDescent="0.35">
      <c r="A394" s="350"/>
      <c r="B394" s="515" t="s">
        <v>335</v>
      </c>
      <c r="C394" s="376" t="s">
        <v>226</v>
      </c>
      <c r="D394" s="373" t="s">
        <v>89</v>
      </c>
      <c r="E394" s="408" t="s">
        <v>63</v>
      </c>
      <c r="F394" s="409" t="s">
        <v>334</v>
      </c>
      <c r="G394" s="407"/>
      <c r="H394" s="215">
        <f>H395</f>
        <v>90.528999999999982</v>
      </c>
    </row>
    <row r="395" spans="1:8" ht="18" x14ac:dyDescent="0.35">
      <c r="A395" s="350"/>
      <c r="B395" s="516" t="s">
        <v>57</v>
      </c>
      <c r="C395" s="343" t="s">
        <v>226</v>
      </c>
      <c r="D395" s="405" t="s">
        <v>89</v>
      </c>
      <c r="E395" s="405" t="s">
        <v>63</v>
      </c>
      <c r="F395" s="406" t="s">
        <v>334</v>
      </c>
      <c r="G395" s="407" t="s">
        <v>58</v>
      </c>
      <c r="H395" s="215">
        <f>'прил9 (ведом 23)'!M388</f>
        <v>90.528999999999982</v>
      </c>
    </row>
    <row r="396" spans="1:8" ht="18" x14ac:dyDescent="0.35">
      <c r="A396" s="350"/>
      <c r="B396" s="520" t="s">
        <v>337</v>
      </c>
      <c r="C396" s="366" t="s">
        <v>226</v>
      </c>
      <c r="D396" s="368" t="s">
        <v>30</v>
      </c>
      <c r="E396" s="368" t="s">
        <v>43</v>
      </c>
      <c r="F396" s="369" t="s">
        <v>44</v>
      </c>
      <c r="G396" s="407"/>
      <c r="H396" s="215">
        <f>H397</f>
        <v>17267.609059999999</v>
      </c>
    </row>
    <row r="397" spans="1:8" ht="18" x14ac:dyDescent="0.35">
      <c r="A397" s="350"/>
      <c r="B397" s="520" t="s">
        <v>372</v>
      </c>
      <c r="C397" s="366" t="s">
        <v>226</v>
      </c>
      <c r="D397" s="368" t="s">
        <v>30</v>
      </c>
      <c r="E397" s="368" t="s">
        <v>226</v>
      </c>
      <c r="F397" s="369" t="s">
        <v>44</v>
      </c>
      <c r="G397" s="407"/>
      <c r="H397" s="215">
        <f>H398</f>
        <v>17267.609059999999</v>
      </c>
    </row>
    <row r="398" spans="1:8" ht="36" x14ac:dyDescent="0.35">
      <c r="A398" s="350"/>
      <c r="B398" s="521" t="s">
        <v>335</v>
      </c>
      <c r="C398" s="366" t="s">
        <v>226</v>
      </c>
      <c r="D398" s="368" t="s">
        <v>30</v>
      </c>
      <c r="E398" s="368" t="s">
        <v>226</v>
      </c>
      <c r="F398" s="369" t="s">
        <v>334</v>
      </c>
      <c r="G398" s="407"/>
      <c r="H398" s="215">
        <f>H399+H400+H401</f>
        <v>17267.609059999999</v>
      </c>
    </row>
    <row r="399" spans="1:8" ht="36" x14ac:dyDescent="0.35">
      <c r="A399" s="350"/>
      <c r="B399" s="519" t="s">
        <v>55</v>
      </c>
      <c r="C399" s="366" t="s">
        <v>226</v>
      </c>
      <c r="D399" s="368" t="s">
        <v>30</v>
      </c>
      <c r="E399" s="368" t="s">
        <v>226</v>
      </c>
      <c r="F399" s="369" t="s">
        <v>334</v>
      </c>
      <c r="G399" s="613" t="s">
        <v>56</v>
      </c>
      <c r="H399" s="215">
        <f>'прил9 (ведом 23)'!M392+'прил9 (ведом 23)'!M421</f>
        <v>3687.4650000000001</v>
      </c>
    </row>
    <row r="400" spans="1:8" ht="36" x14ac:dyDescent="0.35">
      <c r="A400" s="350"/>
      <c r="B400" s="599" t="s">
        <v>203</v>
      </c>
      <c r="C400" s="366" t="s">
        <v>226</v>
      </c>
      <c r="D400" s="368" t="s">
        <v>30</v>
      </c>
      <c r="E400" s="368" t="s">
        <v>226</v>
      </c>
      <c r="F400" s="369" t="s">
        <v>334</v>
      </c>
      <c r="G400" s="484" t="s">
        <v>204</v>
      </c>
      <c r="H400" s="215">
        <f>'прил9 (ведом 23)'!M393</f>
        <v>13347.057059999999</v>
      </c>
    </row>
    <row r="401" spans="1:8" ht="18" x14ac:dyDescent="0.35">
      <c r="A401" s="350"/>
      <c r="B401" s="522" t="s">
        <v>57</v>
      </c>
      <c r="C401" s="366" t="s">
        <v>226</v>
      </c>
      <c r="D401" s="368" t="s">
        <v>30</v>
      </c>
      <c r="E401" s="368" t="s">
        <v>226</v>
      </c>
      <c r="F401" s="369" t="s">
        <v>334</v>
      </c>
      <c r="G401" s="407" t="s">
        <v>58</v>
      </c>
      <c r="H401" s="215">
        <f>'прил9 (ведом 23)'!M394</f>
        <v>233.08699999999999</v>
      </c>
    </row>
    <row r="402" spans="1:8" ht="18" x14ac:dyDescent="0.35">
      <c r="A402" s="350"/>
      <c r="B402" s="499"/>
      <c r="C402" s="351"/>
      <c r="D402" s="683"/>
      <c r="E402" s="683"/>
      <c r="F402" s="684"/>
      <c r="G402" s="236"/>
      <c r="H402" s="215"/>
    </row>
    <row r="403" spans="1:8" s="335" customFormat="1" ht="52.2" x14ac:dyDescent="0.3">
      <c r="A403" s="340">
        <v>8</v>
      </c>
      <c r="B403" s="514" t="s">
        <v>294</v>
      </c>
      <c r="C403" s="341" t="s">
        <v>79</v>
      </c>
      <c r="D403" s="341" t="s">
        <v>42</v>
      </c>
      <c r="E403" s="341" t="s">
        <v>43</v>
      </c>
      <c r="F403" s="342" t="s">
        <v>44</v>
      </c>
      <c r="G403" s="334"/>
      <c r="H403" s="252">
        <f>H404</f>
        <v>154016.70000000001</v>
      </c>
    </row>
    <row r="404" spans="1:8" ht="18" x14ac:dyDescent="0.35">
      <c r="A404" s="325"/>
      <c r="B404" s="492" t="s">
        <v>337</v>
      </c>
      <c r="C404" s="377" t="s">
        <v>79</v>
      </c>
      <c r="D404" s="351" t="s">
        <v>45</v>
      </c>
      <c r="E404" s="351" t="s">
        <v>43</v>
      </c>
      <c r="F404" s="208" t="s">
        <v>44</v>
      </c>
      <c r="G404" s="236"/>
      <c r="H404" s="215">
        <f>H405+H418+H424+H434+H437+H440</f>
        <v>154016.70000000001</v>
      </c>
    </row>
    <row r="405" spans="1:8" ht="36" x14ac:dyDescent="0.35">
      <c r="A405" s="325"/>
      <c r="B405" s="492" t="s">
        <v>284</v>
      </c>
      <c r="C405" s="206" t="s">
        <v>79</v>
      </c>
      <c r="D405" s="207" t="s">
        <v>45</v>
      </c>
      <c r="E405" s="207" t="s">
        <v>37</v>
      </c>
      <c r="F405" s="208" t="s">
        <v>44</v>
      </c>
      <c r="G405" s="236"/>
      <c r="H405" s="215">
        <f>H406+H409+H412+H415</f>
        <v>59821.3</v>
      </c>
    </row>
    <row r="406" spans="1:8" ht="126" x14ac:dyDescent="0.35">
      <c r="A406" s="325"/>
      <c r="B406" s="523" t="s">
        <v>355</v>
      </c>
      <c r="C406" s="206" t="s">
        <v>79</v>
      </c>
      <c r="D406" s="207" t="s">
        <v>45</v>
      </c>
      <c r="E406" s="207" t="s">
        <v>37</v>
      </c>
      <c r="F406" s="208" t="s">
        <v>538</v>
      </c>
      <c r="G406" s="28"/>
      <c r="H406" s="215">
        <f>SUM(H407:H408)</f>
        <v>35725.5</v>
      </c>
    </row>
    <row r="407" spans="1:8" ht="36" x14ac:dyDescent="0.35">
      <c r="A407" s="325"/>
      <c r="B407" s="524" t="s">
        <v>55</v>
      </c>
      <c r="C407" s="206" t="s">
        <v>79</v>
      </c>
      <c r="D407" s="207" t="s">
        <v>45</v>
      </c>
      <c r="E407" s="207" t="s">
        <v>37</v>
      </c>
      <c r="F407" s="208" t="s">
        <v>538</v>
      </c>
      <c r="G407" s="28" t="s">
        <v>56</v>
      </c>
      <c r="H407" s="215">
        <f>'прил9 (ведом 23)'!M862</f>
        <v>178.6</v>
      </c>
    </row>
    <row r="408" spans="1:8" ht="18" x14ac:dyDescent="0.35">
      <c r="A408" s="325"/>
      <c r="B408" s="492" t="s">
        <v>120</v>
      </c>
      <c r="C408" s="206" t="s">
        <v>79</v>
      </c>
      <c r="D408" s="207" t="s">
        <v>45</v>
      </c>
      <c r="E408" s="207" t="s">
        <v>37</v>
      </c>
      <c r="F408" s="208" t="s">
        <v>538</v>
      </c>
      <c r="G408" s="28" t="s">
        <v>121</v>
      </c>
      <c r="H408" s="215">
        <f>'прил9 (ведом 23)'!M863</f>
        <v>35546.9</v>
      </c>
    </row>
    <row r="409" spans="1:8" ht="90" x14ac:dyDescent="0.35">
      <c r="A409" s="325"/>
      <c r="B409" s="492" t="s">
        <v>357</v>
      </c>
      <c r="C409" s="206" t="s">
        <v>79</v>
      </c>
      <c r="D409" s="207" t="s">
        <v>45</v>
      </c>
      <c r="E409" s="207" t="s">
        <v>37</v>
      </c>
      <c r="F409" s="208" t="s">
        <v>540</v>
      </c>
      <c r="G409" s="28"/>
      <c r="H409" s="215">
        <f>SUM(H410:H411)</f>
        <v>137.69999999999996</v>
      </c>
    </row>
    <row r="410" spans="1:8" ht="36" x14ac:dyDescent="0.35">
      <c r="A410" s="325"/>
      <c r="B410" s="492" t="s">
        <v>55</v>
      </c>
      <c r="C410" s="206" t="s">
        <v>79</v>
      </c>
      <c r="D410" s="207" t="s">
        <v>45</v>
      </c>
      <c r="E410" s="207" t="s">
        <v>37</v>
      </c>
      <c r="F410" s="208" t="s">
        <v>540</v>
      </c>
      <c r="G410" s="28" t="s">
        <v>56</v>
      </c>
      <c r="H410" s="215">
        <f>'прил9 (ведом 23)'!M865</f>
        <v>0.7</v>
      </c>
    </row>
    <row r="411" spans="1:8" ht="18" x14ac:dyDescent="0.35">
      <c r="A411" s="325"/>
      <c r="B411" s="492" t="s">
        <v>120</v>
      </c>
      <c r="C411" s="206" t="s">
        <v>79</v>
      </c>
      <c r="D411" s="207" t="s">
        <v>45</v>
      </c>
      <c r="E411" s="207" t="s">
        <v>37</v>
      </c>
      <c r="F411" s="208" t="s">
        <v>540</v>
      </c>
      <c r="G411" s="28" t="s">
        <v>121</v>
      </c>
      <c r="H411" s="215">
        <f>'прил9 (ведом 23)'!M866</f>
        <v>136.99999999999997</v>
      </c>
    </row>
    <row r="412" spans="1:8" ht="90" x14ac:dyDescent="0.35">
      <c r="A412" s="325"/>
      <c r="B412" s="492" t="s">
        <v>356</v>
      </c>
      <c r="C412" s="206" t="s">
        <v>79</v>
      </c>
      <c r="D412" s="207" t="s">
        <v>45</v>
      </c>
      <c r="E412" s="207" t="s">
        <v>37</v>
      </c>
      <c r="F412" s="208" t="s">
        <v>539</v>
      </c>
      <c r="G412" s="28"/>
      <c r="H412" s="215">
        <f>SUM(H413:H414)</f>
        <v>23611.300000000003</v>
      </c>
    </row>
    <row r="413" spans="1:8" ht="36" x14ac:dyDescent="0.35">
      <c r="A413" s="325"/>
      <c r="B413" s="524" t="s">
        <v>55</v>
      </c>
      <c r="C413" s="206" t="s">
        <v>79</v>
      </c>
      <c r="D413" s="207" t="s">
        <v>45</v>
      </c>
      <c r="E413" s="207" t="s">
        <v>37</v>
      </c>
      <c r="F413" s="208" t="s">
        <v>539</v>
      </c>
      <c r="G413" s="28" t="s">
        <v>56</v>
      </c>
      <c r="H413" s="215">
        <f>'прил9 (ведом 23)'!M870</f>
        <v>118.19999999999999</v>
      </c>
    </row>
    <row r="414" spans="1:8" ht="18" x14ac:dyDescent="0.35">
      <c r="A414" s="325"/>
      <c r="B414" s="492" t="s">
        <v>120</v>
      </c>
      <c r="C414" s="206" t="s">
        <v>79</v>
      </c>
      <c r="D414" s="207" t="s">
        <v>45</v>
      </c>
      <c r="E414" s="207" t="s">
        <v>37</v>
      </c>
      <c r="F414" s="208" t="s">
        <v>539</v>
      </c>
      <c r="G414" s="28" t="s">
        <v>121</v>
      </c>
      <c r="H414" s="215">
        <f>'прил9 (ведом 23)'!M871</f>
        <v>23493.100000000002</v>
      </c>
    </row>
    <row r="415" spans="1:8" ht="108" x14ac:dyDescent="0.35">
      <c r="A415" s="325"/>
      <c r="B415" s="492" t="s">
        <v>363</v>
      </c>
      <c r="C415" s="206" t="s">
        <v>79</v>
      </c>
      <c r="D415" s="207" t="s">
        <v>45</v>
      </c>
      <c r="E415" s="207" t="s">
        <v>37</v>
      </c>
      <c r="F415" s="208" t="s">
        <v>541</v>
      </c>
      <c r="G415" s="28"/>
      <c r="H415" s="215">
        <f>SUM(H416:H417)</f>
        <v>346.8</v>
      </c>
    </row>
    <row r="416" spans="1:8" ht="36" x14ac:dyDescent="0.35">
      <c r="A416" s="325"/>
      <c r="B416" s="492" t="s">
        <v>55</v>
      </c>
      <c r="C416" s="206" t="s">
        <v>79</v>
      </c>
      <c r="D416" s="207" t="s">
        <v>45</v>
      </c>
      <c r="E416" s="207" t="s">
        <v>37</v>
      </c>
      <c r="F416" s="208" t="s">
        <v>541</v>
      </c>
      <c r="G416" s="28" t="s">
        <v>56</v>
      </c>
      <c r="H416" s="215">
        <f>'прил9 (ведом 23)'!M873</f>
        <v>1.7</v>
      </c>
    </row>
    <row r="417" spans="1:8" ht="18" x14ac:dyDescent="0.35">
      <c r="A417" s="325"/>
      <c r="B417" s="492" t="s">
        <v>120</v>
      </c>
      <c r="C417" s="206" t="s">
        <v>79</v>
      </c>
      <c r="D417" s="207" t="s">
        <v>45</v>
      </c>
      <c r="E417" s="207" t="s">
        <v>37</v>
      </c>
      <c r="F417" s="208" t="s">
        <v>541</v>
      </c>
      <c r="G417" s="28" t="s">
        <v>121</v>
      </c>
      <c r="H417" s="215">
        <f>'прил9 (ведом 23)'!M874</f>
        <v>345.1</v>
      </c>
    </row>
    <row r="418" spans="1:8" ht="72" x14ac:dyDescent="0.35">
      <c r="A418" s="325"/>
      <c r="B418" s="525" t="s">
        <v>299</v>
      </c>
      <c r="C418" s="379" t="s">
        <v>79</v>
      </c>
      <c r="D418" s="380" t="s">
        <v>45</v>
      </c>
      <c r="E418" s="380" t="s">
        <v>39</v>
      </c>
      <c r="F418" s="381" t="s">
        <v>44</v>
      </c>
      <c r="G418" s="382"/>
      <c r="H418" s="215">
        <f>H419+H421</f>
        <v>81917.8</v>
      </c>
    </row>
    <row r="419" spans="1:8" ht="162" x14ac:dyDescent="0.35">
      <c r="A419" s="325"/>
      <c r="B419" s="496" t="s">
        <v>715</v>
      </c>
      <c r="C419" s="467" t="s">
        <v>79</v>
      </c>
      <c r="D419" s="468" t="s">
        <v>45</v>
      </c>
      <c r="E419" s="468" t="s">
        <v>39</v>
      </c>
      <c r="F419" s="469" t="s">
        <v>589</v>
      </c>
      <c r="G419" s="470"/>
      <c r="H419" s="215">
        <f>H420</f>
        <v>5.2</v>
      </c>
    </row>
    <row r="420" spans="1:8" ht="18" x14ac:dyDescent="0.35">
      <c r="A420" s="325"/>
      <c r="B420" s="496" t="s">
        <v>120</v>
      </c>
      <c r="C420" s="467" t="s">
        <v>79</v>
      </c>
      <c r="D420" s="468" t="s">
        <v>45</v>
      </c>
      <c r="E420" s="468" t="s">
        <v>39</v>
      </c>
      <c r="F420" s="469" t="s">
        <v>589</v>
      </c>
      <c r="G420" s="470" t="s">
        <v>121</v>
      </c>
      <c r="H420" s="215">
        <f>'прил9 (ведом 23)'!M877</f>
        <v>5.2</v>
      </c>
    </row>
    <row r="421" spans="1:8" ht="90" x14ac:dyDescent="0.35">
      <c r="A421" s="325"/>
      <c r="B421" s="522" t="s">
        <v>414</v>
      </c>
      <c r="C421" s="410" t="s">
        <v>79</v>
      </c>
      <c r="D421" s="411" t="s">
        <v>45</v>
      </c>
      <c r="E421" s="411" t="s">
        <v>39</v>
      </c>
      <c r="F421" s="412" t="s">
        <v>415</v>
      </c>
      <c r="G421" s="413"/>
      <c r="H421" s="215">
        <f>H423+H422</f>
        <v>81912.600000000006</v>
      </c>
    </row>
    <row r="422" spans="1:8" ht="36" x14ac:dyDescent="0.35">
      <c r="A422" s="325"/>
      <c r="B422" s="492" t="s">
        <v>55</v>
      </c>
      <c r="C422" s="410" t="s">
        <v>79</v>
      </c>
      <c r="D422" s="411" t="s">
        <v>45</v>
      </c>
      <c r="E422" s="411" t="s">
        <v>39</v>
      </c>
      <c r="F422" s="412" t="s">
        <v>415</v>
      </c>
      <c r="G422" s="413" t="s">
        <v>56</v>
      </c>
      <c r="H422" s="215">
        <f>'прил9 (ведом 23)'!M399</f>
        <v>81.324029999999993</v>
      </c>
    </row>
    <row r="423" spans="1:8" ht="36" x14ac:dyDescent="0.35">
      <c r="A423" s="325"/>
      <c r="B423" s="522" t="s">
        <v>203</v>
      </c>
      <c r="C423" s="336" t="s">
        <v>79</v>
      </c>
      <c r="D423" s="337" t="s">
        <v>45</v>
      </c>
      <c r="E423" s="337" t="s">
        <v>39</v>
      </c>
      <c r="F423" s="338" t="s">
        <v>415</v>
      </c>
      <c r="G423" s="339" t="s">
        <v>204</v>
      </c>
      <c r="H423" s="215">
        <f>'прил9 (ведом 23)'!M460</f>
        <v>81831.275970000002</v>
      </c>
    </row>
    <row r="424" spans="1:8" ht="36" x14ac:dyDescent="0.35">
      <c r="A424" s="325"/>
      <c r="B424" s="492" t="s">
        <v>229</v>
      </c>
      <c r="C424" s="206" t="s">
        <v>79</v>
      </c>
      <c r="D424" s="207" t="s">
        <v>45</v>
      </c>
      <c r="E424" s="207" t="s">
        <v>63</v>
      </c>
      <c r="F424" s="208" t="s">
        <v>44</v>
      </c>
      <c r="G424" s="28"/>
      <c r="H424" s="215">
        <f>H425+H428+H431</f>
        <v>8703</v>
      </c>
    </row>
    <row r="425" spans="1:8" ht="234" x14ac:dyDescent="0.35">
      <c r="A425" s="325"/>
      <c r="B425" s="492" t="s">
        <v>232</v>
      </c>
      <c r="C425" s="206" t="s">
        <v>79</v>
      </c>
      <c r="D425" s="207" t="s">
        <v>45</v>
      </c>
      <c r="E425" s="207" t="s">
        <v>63</v>
      </c>
      <c r="F425" s="208" t="s">
        <v>542</v>
      </c>
      <c r="G425" s="28"/>
      <c r="H425" s="215">
        <f>SUM(H426:H427)</f>
        <v>992.6</v>
      </c>
    </row>
    <row r="426" spans="1:8" ht="90" x14ac:dyDescent="0.35">
      <c r="A426" s="325"/>
      <c r="B426" s="492" t="s">
        <v>49</v>
      </c>
      <c r="C426" s="206" t="s">
        <v>79</v>
      </c>
      <c r="D426" s="207" t="s">
        <v>45</v>
      </c>
      <c r="E426" s="207" t="s">
        <v>63</v>
      </c>
      <c r="F426" s="208" t="s">
        <v>542</v>
      </c>
      <c r="G426" s="28" t="s">
        <v>50</v>
      </c>
      <c r="H426" s="215">
        <f>'прил9 (ведом 23)'!M883</f>
        <v>830.6</v>
      </c>
    </row>
    <row r="427" spans="1:8" ht="36" x14ac:dyDescent="0.35">
      <c r="A427" s="325"/>
      <c r="B427" s="492" t="s">
        <v>55</v>
      </c>
      <c r="C427" s="206" t="s">
        <v>79</v>
      </c>
      <c r="D427" s="207" t="s">
        <v>45</v>
      </c>
      <c r="E427" s="207" t="s">
        <v>63</v>
      </c>
      <c r="F427" s="208" t="s">
        <v>542</v>
      </c>
      <c r="G427" s="28" t="s">
        <v>56</v>
      </c>
      <c r="H427" s="215">
        <f>'прил9 (ведом 23)'!M884</f>
        <v>162</v>
      </c>
    </row>
    <row r="428" spans="1:8" ht="90" x14ac:dyDescent="0.35">
      <c r="A428" s="325"/>
      <c r="B428" s="490" t="s">
        <v>456</v>
      </c>
      <c r="C428" s="206" t="s">
        <v>79</v>
      </c>
      <c r="D428" s="207" t="s">
        <v>45</v>
      </c>
      <c r="E428" s="207" t="s">
        <v>63</v>
      </c>
      <c r="F428" s="208" t="s">
        <v>536</v>
      </c>
      <c r="G428" s="28"/>
      <c r="H428" s="215">
        <f>SUM(H429:H430)</f>
        <v>730</v>
      </c>
    </row>
    <row r="429" spans="1:8" ht="90" x14ac:dyDescent="0.35">
      <c r="A429" s="325"/>
      <c r="B429" s="492" t="s">
        <v>49</v>
      </c>
      <c r="C429" s="206" t="s">
        <v>79</v>
      </c>
      <c r="D429" s="207" t="s">
        <v>45</v>
      </c>
      <c r="E429" s="207" t="s">
        <v>63</v>
      </c>
      <c r="F429" s="208" t="s">
        <v>536</v>
      </c>
      <c r="G429" s="28" t="s">
        <v>50</v>
      </c>
      <c r="H429" s="215">
        <f>'прил9 (ведом 23)'!M886</f>
        <v>716.6</v>
      </c>
    </row>
    <row r="430" spans="1:8" ht="36" x14ac:dyDescent="0.35">
      <c r="A430" s="325"/>
      <c r="B430" s="492" t="s">
        <v>55</v>
      </c>
      <c r="C430" s="206" t="s">
        <v>79</v>
      </c>
      <c r="D430" s="207" t="s">
        <v>45</v>
      </c>
      <c r="E430" s="207" t="s">
        <v>63</v>
      </c>
      <c r="F430" s="208" t="s">
        <v>536</v>
      </c>
      <c r="G430" s="28" t="s">
        <v>56</v>
      </c>
      <c r="H430" s="215">
        <f>'прил9 (ведом 23)'!M887</f>
        <v>13.400000000000006</v>
      </c>
    </row>
    <row r="431" spans="1:8" ht="72" x14ac:dyDescent="0.35">
      <c r="A431" s="325"/>
      <c r="B431" s="492" t="s">
        <v>231</v>
      </c>
      <c r="C431" s="206" t="s">
        <v>79</v>
      </c>
      <c r="D431" s="207" t="s">
        <v>45</v>
      </c>
      <c r="E431" s="207" t="s">
        <v>63</v>
      </c>
      <c r="F431" s="208" t="s">
        <v>537</v>
      </c>
      <c r="G431" s="28"/>
      <c r="H431" s="215">
        <f>H432+H433</f>
        <v>6980.4</v>
      </c>
    </row>
    <row r="432" spans="1:8" ht="90" x14ac:dyDescent="0.35">
      <c r="A432" s="325"/>
      <c r="B432" s="492" t="s">
        <v>49</v>
      </c>
      <c r="C432" s="206" t="s">
        <v>79</v>
      </c>
      <c r="D432" s="207" t="s">
        <v>45</v>
      </c>
      <c r="E432" s="207" t="s">
        <v>63</v>
      </c>
      <c r="F432" s="208" t="s">
        <v>537</v>
      </c>
      <c r="G432" s="28" t="s">
        <v>50</v>
      </c>
      <c r="H432" s="215">
        <f>'прил9 (ведом 23)'!M889</f>
        <v>6741.4</v>
      </c>
    </row>
    <row r="433" spans="1:8" ht="36" x14ac:dyDescent="0.35">
      <c r="A433" s="325"/>
      <c r="B433" s="492" t="s">
        <v>55</v>
      </c>
      <c r="C433" s="423" t="s">
        <v>79</v>
      </c>
      <c r="D433" s="424" t="s">
        <v>45</v>
      </c>
      <c r="E433" s="424" t="s">
        <v>63</v>
      </c>
      <c r="F433" s="425" t="s">
        <v>537</v>
      </c>
      <c r="G433" s="28" t="s">
        <v>56</v>
      </c>
      <c r="H433" s="215">
        <f>'прил9 (ведом 23)'!M890</f>
        <v>239</v>
      </c>
    </row>
    <row r="434" spans="1:8" ht="72" x14ac:dyDescent="0.35">
      <c r="A434" s="350"/>
      <c r="B434" s="508" t="s">
        <v>445</v>
      </c>
      <c r="C434" s="206" t="s">
        <v>79</v>
      </c>
      <c r="D434" s="207" t="s">
        <v>45</v>
      </c>
      <c r="E434" s="207" t="s">
        <v>52</v>
      </c>
      <c r="F434" s="208" t="s">
        <v>44</v>
      </c>
      <c r="G434" s="28"/>
      <c r="H434" s="215">
        <f>H435</f>
        <v>1504.6</v>
      </c>
    </row>
    <row r="435" spans="1:8" ht="72" x14ac:dyDescent="0.35">
      <c r="A435" s="350"/>
      <c r="B435" s="508" t="s">
        <v>440</v>
      </c>
      <c r="C435" s="206" t="s">
        <v>79</v>
      </c>
      <c r="D435" s="207" t="s">
        <v>45</v>
      </c>
      <c r="E435" s="207" t="s">
        <v>52</v>
      </c>
      <c r="F435" s="208" t="s">
        <v>354</v>
      </c>
      <c r="G435" s="28"/>
      <c r="H435" s="215">
        <f>H436</f>
        <v>1504.6</v>
      </c>
    </row>
    <row r="436" spans="1:8" ht="18" x14ac:dyDescent="0.35">
      <c r="A436" s="350"/>
      <c r="B436" s="495" t="s">
        <v>120</v>
      </c>
      <c r="C436" s="206" t="s">
        <v>79</v>
      </c>
      <c r="D436" s="207" t="s">
        <v>45</v>
      </c>
      <c r="E436" s="207" t="s">
        <v>52</v>
      </c>
      <c r="F436" s="208" t="s">
        <v>354</v>
      </c>
      <c r="G436" s="28" t="s">
        <v>121</v>
      </c>
      <c r="H436" s="215">
        <f>'прил9 (ведом 23)'!M206</f>
        <v>1504.6</v>
      </c>
    </row>
    <row r="437" spans="1:8" ht="36" x14ac:dyDescent="0.35">
      <c r="A437" s="350"/>
      <c r="B437" s="496" t="s">
        <v>713</v>
      </c>
      <c r="C437" s="689" t="s">
        <v>79</v>
      </c>
      <c r="D437" s="690" t="s">
        <v>45</v>
      </c>
      <c r="E437" s="690" t="s">
        <v>65</v>
      </c>
      <c r="F437" s="691" t="s">
        <v>44</v>
      </c>
      <c r="G437" s="10"/>
      <c r="H437" s="215">
        <f>H438</f>
        <v>1150</v>
      </c>
    </row>
    <row r="438" spans="1:8" ht="54" x14ac:dyDescent="0.35">
      <c r="A438" s="350"/>
      <c r="B438" s="496" t="s">
        <v>714</v>
      </c>
      <c r="C438" s="689" t="s">
        <v>79</v>
      </c>
      <c r="D438" s="690" t="s">
        <v>45</v>
      </c>
      <c r="E438" s="690" t="s">
        <v>65</v>
      </c>
      <c r="F438" s="691" t="s">
        <v>712</v>
      </c>
      <c r="G438" s="10"/>
      <c r="H438" s="215">
        <f>H439</f>
        <v>1150</v>
      </c>
    </row>
    <row r="439" spans="1:8" ht="18" x14ac:dyDescent="0.35">
      <c r="A439" s="350"/>
      <c r="B439" s="495" t="s">
        <v>120</v>
      </c>
      <c r="C439" s="689" t="s">
        <v>79</v>
      </c>
      <c r="D439" s="690" t="s">
        <v>45</v>
      </c>
      <c r="E439" s="690" t="s">
        <v>65</v>
      </c>
      <c r="F439" s="691" t="s">
        <v>712</v>
      </c>
      <c r="G439" s="10" t="s">
        <v>121</v>
      </c>
      <c r="H439" s="215">
        <f>'прил9 (ведом 23)'!M212</f>
        <v>1150</v>
      </c>
    </row>
    <row r="440" spans="1:8" ht="36" x14ac:dyDescent="0.35">
      <c r="A440" s="350"/>
      <c r="B440" s="496" t="s">
        <v>717</v>
      </c>
      <c r="C440" s="689" t="s">
        <v>79</v>
      </c>
      <c r="D440" s="690" t="s">
        <v>45</v>
      </c>
      <c r="E440" s="690" t="s">
        <v>224</v>
      </c>
      <c r="F440" s="691" t="s">
        <v>44</v>
      </c>
      <c r="G440" s="10"/>
      <c r="H440" s="215">
        <f>H441</f>
        <v>920</v>
      </c>
    </row>
    <row r="441" spans="1:8" ht="54" x14ac:dyDescent="0.35">
      <c r="A441" s="350"/>
      <c r="B441" s="496" t="s">
        <v>718</v>
      </c>
      <c r="C441" s="689" t="s">
        <v>79</v>
      </c>
      <c r="D441" s="690" t="s">
        <v>45</v>
      </c>
      <c r="E441" s="690" t="s">
        <v>224</v>
      </c>
      <c r="F441" s="691" t="s">
        <v>716</v>
      </c>
      <c r="G441" s="10"/>
      <c r="H441" s="215">
        <f>H442</f>
        <v>920</v>
      </c>
    </row>
    <row r="442" spans="1:8" ht="18" x14ac:dyDescent="0.35">
      <c r="A442" s="350"/>
      <c r="B442" s="503" t="s">
        <v>120</v>
      </c>
      <c r="C442" s="689" t="s">
        <v>79</v>
      </c>
      <c r="D442" s="690" t="s">
        <v>45</v>
      </c>
      <c r="E442" s="690" t="s">
        <v>224</v>
      </c>
      <c r="F442" s="691" t="s">
        <v>716</v>
      </c>
      <c r="G442" s="10" t="s">
        <v>121</v>
      </c>
      <c r="H442" s="215">
        <f>'прил9 (ведом 23)'!M655</f>
        <v>920</v>
      </c>
    </row>
    <row r="443" spans="1:8" ht="18" x14ac:dyDescent="0.35">
      <c r="A443" s="350"/>
      <c r="B443" s="503"/>
      <c r="C443" s="690"/>
      <c r="D443" s="690"/>
      <c r="E443" s="690"/>
      <c r="F443" s="691"/>
      <c r="G443" s="10"/>
      <c r="H443" s="215"/>
    </row>
    <row r="444" spans="1:8" ht="69.599999999999994" x14ac:dyDescent="0.3">
      <c r="A444" s="340">
        <v>9</v>
      </c>
      <c r="B444" s="504" t="s">
        <v>330</v>
      </c>
      <c r="C444" s="341" t="s">
        <v>104</v>
      </c>
      <c r="D444" s="341" t="s">
        <v>42</v>
      </c>
      <c r="E444" s="341" t="s">
        <v>43</v>
      </c>
      <c r="F444" s="342" t="s">
        <v>44</v>
      </c>
      <c r="G444" s="383"/>
      <c r="H444" s="252">
        <f>H445+H451+H455</f>
        <v>113962.6</v>
      </c>
    </row>
    <row r="445" spans="1:8" ht="36" x14ac:dyDescent="0.35">
      <c r="A445" s="340"/>
      <c r="B445" s="492" t="s">
        <v>332</v>
      </c>
      <c r="C445" s="206" t="s">
        <v>104</v>
      </c>
      <c r="D445" s="207" t="s">
        <v>45</v>
      </c>
      <c r="E445" s="207" t="s">
        <v>43</v>
      </c>
      <c r="F445" s="208" t="s">
        <v>44</v>
      </c>
      <c r="G445" s="28"/>
      <c r="H445" s="215">
        <f>H446</f>
        <v>46145.1</v>
      </c>
    </row>
    <row r="446" spans="1:8" ht="54" x14ac:dyDescent="0.35">
      <c r="A446" s="340"/>
      <c r="B446" s="493" t="s">
        <v>371</v>
      </c>
      <c r="C446" s="206" t="s">
        <v>104</v>
      </c>
      <c r="D446" s="207" t="s">
        <v>45</v>
      </c>
      <c r="E446" s="207" t="s">
        <v>37</v>
      </c>
      <c r="F446" s="208" t="s">
        <v>44</v>
      </c>
      <c r="G446" s="28"/>
      <c r="H446" s="215">
        <f>H447+H449</f>
        <v>46145.1</v>
      </c>
    </row>
    <row r="447" spans="1:8" ht="54" x14ac:dyDescent="0.35">
      <c r="A447" s="340"/>
      <c r="B447" s="551" t="s">
        <v>783</v>
      </c>
      <c r="C447" s="82" t="s">
        <v>104</v>
      </c>
      <c r="D447" s="83" t="s">
        <v>45</v>
      </c>
      <c r="E447" s="83" t="s">
        <v>37</v>
      </c>
      <c r="F447" s="104" t="s">
        <v>782</v>
      </c>
      <c r="G447" s="85"/>
      <c r="H447" s="215">
        <f>H448</f>
        <v>30</v>
      </c>
    </row>
    <row r="448" spans="1:8" ht="36" x14ac:dyDescent="0.35">
      <c r="A448" s="340"/>
      <c r="B448" s="551" t="s">
        <v>203</v>
      </c>
      <c r="C448" s="82" t="s">
        <v>104</v>
      </c>
      <c r="D448" s="83" t="s">
        <v>45</v>
      </c>
      <c r="E448" s="83" t="s">
        <v>37</v>
      </c>
      <c r="F448" s="104" t="s">
        <v>782</v>
      </c>
      <c r="G448" s="85" t="s">
        <v>204</v>
      </c>
      <c r="H448" s="215">
        <f>'прил9 (ведом 23)'!M428</f>
        <v>30</v>
      </c>
    </row>
    <row r="449" spans="1:8" ht="54" x14ac:dyDescent="0.35">
      <c r="A449" s="340"/>
      <c r="B449" s="525" t="s">
        <v>497</v>
      </c>
      <c r="C449" s="336" t="s">
        <v>104</v>
      </c>
      <c r="D449" s="337" t="s">
        <v>45</v>
      </c>
      <c r="E449" s="337" t="s">
        <v>37</v>
      </c>
      <c r="F449" s="338" t="s">
        <v>413</v>
      </c>
      <c r="G449" s="415"/>
      <c r="H449" s="215">
        <f>SUM(H450:H450)</f>
        <v>46115.1</v>
      </c>
    </row>
    <row r="450" spans="1:8" ht="36" x14ac:dyDescent="0.35">
      <c r="A450" s="414"/>
      <c r="B450" s="526" t="s">
        <v>203</v>
      </c>
      <c r="C450" s="357" t="s">
        <v>104</v>
      </c>
      <c r="D450" s="358" t="s">
        <v>45</v>
      </c>
      <c r="E450" s="358" t="s">
        <v>37</v>
      </c>
      <c r="F450" s="475" t="s">
        <v>413</v>
      </c>
      <c r="G450" s="417" t="s">
        <v>204</v>
      </c>
      <c r="H450" s="416">
        <f>'прил9 (ведом 23)'!M430</f>
        <v>46115.1</v>
      </c>
    </row>
    <row r="451" spans="1:8" ht="54" x14ac:dyDescent="0.35">
      <c r="A451" s="414"/>
      <c r="B451" s="579" t="s">
        <v>618</v>
      </c>
      <c r="C451" s="689" t="s">
        <v>104</v>
      </c>
      <c r="D451" s="690" t="s">
        <v>34</v>
      </c>
      <c r="E451" s="690" t="s">
        <v>43</v>
      </c>
      <c r="F451" s="691" t="s">
        <v>44</v>
      </c>
      <c r="G451" s="10"/>
      <c r="H451" s="416">
        <f>H452</f>
        <v>7078.9000000000005</v>
      </c>
    </row>
    <row r="452" spans="1:8" ht="36" x14ac:dyDescent="0.35">
      <c r="A452" s="414"/>
      <c r="B452" s="579" t="s">
        <v>619</v>
      </c>
      <c r="C452" s="689" t="s">
        <v>104</v>
      </c>
      <c r="D452" s="690" t="s">
        <v>34</v>
      </c>
      <c r="E452" s="690" t="s">
        <v>37</v>
      </c>
      <c r="F452" s="691" t="s">
        <v>44</v>
      </c>
      <c r="G452" s="10"/>
      <c r="H452" s="416">
        <f>H453</f>
        <v>7078.9000000000005</v>
      </c>
    </row>
    <row r="453" spans="1:8" ht="36" x14ac:dyDescent="0.35">
      <c r="A453" s="414"/>
      <c r="B453" s="579" t="s">
        <v>620</v>
      </c>
      <c r="C453" s="689" t="s">
        <v>104</v>
      </c>
      <c r="D453" s="690" t="s">
        <v>34</v>
      </c>
      <c r="E453" s="690" t="s">
        <v>37</v>
      </c>
      <c r="F453" s="691" t="s">
        <v>621</v>
      </c>
      <c r="G453" s="10"/>
      <c r="H453" s="416">
        <f>H454</f>
        <v>7078.9000000000005</v>
      </c>
    </row>
    <row r="454" spans="1:8" ht="36" x14ac:dyDescent="0.35">
      <c r="A454" s="414"/>
      <c r="B454" s="579" t="s">
        <v>55</v>
      </c>
      <c r="C454" s="689" t="s">
        <v>104</v>
      </c>
      <c r="D454" s="690" t="s">
        <v>34</v>
      </c>
      <c r="E454" s="690" t="s">
        <v>37</v>
      </c>
      <c r="F454" s="691" t="s">
        <v>621</v>
      </c>
      <c r="G454" s="10" t="s">
        <v>56</v>
      </c>
      <c r="H454" s="416">
        <f>'прил9 (ведом 23)'!M192</f>
        <v>7078.9000000000005</v>
      </c>
    </row>
    <row r="455" spans="1:8" ht="36" x14ac:dyDescent="0.35">
      <c r="A455" s="414"/>
      <c r="B455" s="527" t="s">
        <v>476</v>
      </c>
      <c r="C455" s="689" t="s">
        <v>104</v>
      </c>
      <c r="D455" s="690" t="s">
        <v>477</v>
      </c>
      <c r="E455" s="690" t="s">
        <v>43</v>
      </c>
      <c r="F455" s="691" t="s">
        <v>44</v>
      </c>
      <c r="G455" s="417"/>
      <c r="H455" s="416">
        <f>H456+H459</f>
        <v>60738.600000000006</v>
      </c>
    </row>
    <row r="456" spans="1:8" ht="36" x14ac:dyDescent="0.35">
      <c r="A456" s="414"/>
      <c r="B456" s="579" t="s">
        <v>615</v>
      </c>
      <c r="C456" s="689" t="s">
        <v>104</v>
      </c>
      <c r="D456" s="690" t="s">
        <v>477</v>
      </c>
      <c r="E456" s="690" t="s">
        <v>37</v>
      </c>
      <c r="F456" s="691" t="s">
        <v>44</v>
      </c>
      <c r="G456" s="10"/>
      <c r="H456" s="416">
        <f>H457</f>
        <v>48</v>
      </c>
    </row>
    <row r="457" spans="1:8" ht="54" x14ac:dyDescent="0.35">
      <c r="A457" s="414"/>
      <c r="B457" s="579" t="s">
        <v>616</v>
      </c>
      <c r="C457" s="689" t="s">
        <v>104</v>
      </c>
      <c r="D457" s="690" t="s">
        <v>477</v>
      </c>
      <c r="E457" s="690" t="s">
        <v>37</v>
      </c>
      <c r="F457" s="691" t="s">
        <v>617</v>
      </c>
      <c r="G457" s="10"/>
      <c r="H457" s="416">
        <f>H458</f>
        <v>48</v>
      </c>
    </row>
    <row r="458" spans="1:8" ht="36" x14ac:dyDescent="0.35">
      <c r="A458" s="414"/>
      <c r="B458" s="579" t="s">
        <v>55</v>
      </c>
      <c r="C458" s="689" t="s">
        <v>104</v>
      </c>
      <c r="D458" s="690" t="s">
        <v>477</v>
      </c>
      <c r="E458" s="690" t="s">
        <v>37</v>
      </c>
      <c r="F458" s="691" t="s">
        <v>617</v>
      </c>
      <c r="G458" s="10" t="s">
        <v>56</v>
      </c>
      <c r="H458" s="416">
        <f>'прил9 (ведом 23)'!M61</f>
        <v>48</v>
      </c>
    </row>
    <row r="459" spans="1:8" ht="54" x14ac:dyDescent="0.35">
      <c r="A459" s="414"/>
      <c r="B459" s="496" t="s">
        <v>472</v>
      </c>
      <c r="C459" s="689" t="s">
        <v>104</v>
      </c>
      <c r="D459" s="690" t="s">
        <v>477</v>
      </c>
      <c r="E459" s="690" t="s">
        <v>471</v>
      </c>
      <c r="F459" s="691" t="s">
        <v>44</v>
      </c>
      <c r="G459" s="367"/>
      <c r="H459" s="416">
        <f>H460+H462+H464</f>
        <v>60690.600000000006</v>
      </c>
    </row>
    <row r="460" spans="1:8" ht="90" x14ac:dyDescent="0.35">
      <c r="A460" s="414"/>
      <c r="B460" s="579" t="s">
        <v>473</v>
      </c>
      <c r="C460" s="689" t="s">
        <v>104</v>
      </c>
      <c r="D460" s="690" t="s">
        <v>477</v>
      </c>
      <c r="E460" s="690" t="s">
        <v>471</v>
      </c>
      <c r="F460" s="691" t="s">
        <v>612</v>
      </c>
      <c r="G460" s="10"/>
      <c r="H460" s="416">
        <f>H461</f>
        <v>20989.9</v>
      </c>
    </row>
    <row r="461" spans="1:8" ht="36" x14ac:dyDescent="0.35">
      <c r="A461" s="414"/>
      <c r="B461" s="579" t="s">
        <v>203</v>
      </c>
      <c r="C461" s="689" t="s">
        <v>104</v>
      </c>
      <c r="D461" s="690" t="s">
        <v>477</v>
      </c>
      <c r="E461" s="690" t="s">
        <v>471</v>
      </c>
      <c r="F461" s="691" t="s">
        <v>612</v>
      </c>
      <c r="G461" s="10" t="s">
        <v>204</v>
      </c>
      <c r="H461" s="416">
        <f>'прил9 (ведом 23)'!M182</f>
        <v>20989.9</v>
      </c>
    </row>
    <row r="462" spans="1:8" ht="90" x14ac:dyDescent="0.35">
      <c r="A462" s="414"/>
      <c r="B462" s="579" t="s">
        <v>473</v>
      </c>
      <c r="C462" s="689" t="s">
        <v>104</v>
      </c>
      <c r="D462" s="690" t="s">
        <v>477</v>
      </c>
      <c r="E462" s="690" t="s">
        <v>471</v>
      </c>
      <c r="F462" s="691" t="s">
        <v>611</v>
      </c>
      <c r="G462" s="10"/>
      <c r="H462" s="416">
        <f>H463</f>
        <v>36665.9</v>
      </c>
    </row>
    <row r="463" spans="1:8" ht="36" x14ac:dyDescent="0.35">
      <c r="A463" s="414"/>
      <c r="B463" s="580" t="s">
        <v>203</v>
      </c>
      <c r="C463" s="689" t="s">
        <v>104</v>
      </c>
      <c r="D463" s="690" t="s">
        <v>477</v>
      </c>
      <c r="E463" s="690" t="s">
        <v>471</v>
      </c>
      <c r="F463" s="691" t="s">
        <v>611</v>
      </c>
      <c r="G463" s="10" t="s">
        <v>204</v>
      </c>
      <c r="H463" s="416">
        <f>'прил9 (ведом 23)'!M184</f>
        <v>36665.9</v>
      </c>
    </row>
    <row r="464" spans="1:8" ht="90" x14ac:dyDescent="0.35">
      <c r="A464" s="414"/>
      <c r="B464" s="579" t="s">
        <v>473</v>
      </c>
      <c r="C464" s="689" t="s">
        <v>104</v>
      </c>
      <c r="D464" s="690" t="s">
        <v>477</v>
      </c>
      <c r="E464" s="690" t="s">
        <v>471</v>
      </c>
      <c r="F464" s="691" t="s">
        <v>515</v>
      </c>
      <c r="G464" s="10"/>
      <c r="H464" s="416">
        <f>H465</f>
        <v>3034.8</v>
      </c>
    </row>
    <row r="465" spans="1:8" ht="36" x14ac:dyDescent="0.35">
      <c r="A465" s="414"/>
      <c r="B465" s="579" t="s">
        <v>203</v>
      </c>
      <c r="C465" s="689" t="s">
        <v>104</v>
      </c>
      <c r="D465" s="690" t="s">
        <v>477</v>
      </c>
      <c r="E465" s="690" t="s">
        <v>471</v>
      </c>
      <c r="F465" s="691" t="s">
        <v>515</v>
      </c>
      <c r="G465" s="10" t="s">
        <v>204</v>
      </c>
      <c r="H465" s="416">
        <f>'прил9 (ведом 23)'!M186</f>
        <v>3034.8</v>
      </c>
    </row>
    <row r="466" spans="1:8" ht="18" x14ac:dyDescent="0.35">
      <c r="A466" s="414"/>
      <c r="B466" s="493"/>
      <c r="C466" s="207"/>
      <c r="D466" s="207"/>
      <c r="E466" s="207"/>
      <c r="F466" s="208"/>
      <c r="G466" s="28"/>
      <c r="H466" s="416"/>
    </row>
    <row r="467" spans="1:8" s="335" customFormat="1" ht="52.2" x14ac:dyDescent="0.3">
      <c r="A467" s="340">
        <v>10</v>
      </c>
      <c r="B467" s="504" t="s">
        <v>94</v>
      </c>
      <c r="C467" s="341" t="s">
        <v>67</v>
      </c>
      <c r="D467" s="341" t="s">
        <v>42</v>
      </c>
      <c r="E467" s="341" t="s">
        <v>43</v>
      </c>
      <c r="F467" s="342" t="s">
        <v>44</v>
      </c>
      <c r="G467" s="383"/>
      <c r="H467" s="252">
        <f>H468</f>
        <v>14369.400000000001</v>
      </c>
    </row>
    <row r="468" spans="1:8" ht="18" x14ac:dyDescent="0.35">
      <c r="A468" s="325"/>
      <c r="B468" s="492" t="s">
        <v>337</v>
      </c>
      <c r="C468" s="206" t="s">
        <v>67</v>
      </c>
      <c r="D468" s="207" t="s">
        <v>45</v>
      </c>
      <c r="E468" s="207" t="s">
        <v>43</v>
      </c>
      <c r="F468" s="208" t="s">
        <v>44</v>
      </c>
      <c r="G468" s="346"/>
      <c r="H468" s="215">
        <f>H469+H472</f>
        <v>14369.400000000001</v>
      </c>
    </row>
    <row r="469" spans="1:8" ht="36" x14ac:dyDescent="0.35">
      <c r="A469" s="325"/>
      <c r="B469" s="492" t="s">
        <v>95</v>
      </c>
      <c r="C469" s="206" t="s">
        <v>67</v>
      </c>
      <c r="D469" s="207" t="s">
        <v>45</v>
      </c>
      <c r="E469" s="207" t="s">
        <v>37</v>
      </c>
      <c r="F469" s="208" t="s">
        <v>44</v>
      </c>
      <c r="G469" s="346"/>
      <c r="H469" s="215">
        <f>H470</f>
        <v>11070.6</v>
      </c>
    </row>
    <row r="470" spans="1:8" ht="54" x14ac:dyDescent="0.35">
      <c r="A470" s="325"/>
      <c r="B470" s="528" t="s">
        <v>407</v>
      </c>
      <c r="C470" s="206" t="s">
        <v>67</v>
      </c>
      <c r="D470" s="207" t="s">
        <v>45</v>
      </c>
      <c r="E470" s="207" t="s">
        <v>37</v>
      </c>
      <c r="F470" s="208" t="s">
        <v>61</v>
      </c>
      <c r="G470" s="28"/>
      <c r="H470" s="215">
        <f>H471</f>
        <v>11070.6</v>
      </c>
    </row>
    <row r="471" spans="1:8" ht="18" x14ac:dyDescent="0.35">
      <c r="A471" s="325"/>
      <c r="B471" s="492" t="s">
        <v>57</v>
      </c>
      <c r="C471" s="206" t="s">
        <v>67</v>
      </c>
      <c r="D471" s="207" t="s">
        <v>45</v>
      </c>
      <c r="E471" s="207" t="s">
        <v>37</v>
      </c>
      <c r="F471" s="208" t="s">
        <v>61</v>
      </c>
      <c r="G471" s="28" t="s">
        <v>58</v>
      </c>
      <c r="H471" s="215">
        <f>'прил9 (ведом 23)'!M137</f>
        <v>11070.6</v>
      </c>
    </row>
    <row r="472" spans="1:8" ht="54" x14ac:dyDescent="0.35">
      <c r="A472" s="325"/>
      <c r="B472" s="492" t="s">
        <v>96</v>
      </c>
      <c r="C472" s="206" t="s">
        <v>67</v>
      </c>
      <c r="D472" s="207" t="s">
        <v>45</v>
      </c>
      <c r="E472" s="207" t="s">
        <v>39</v>
      </c>
      <c r="F472" s="208" t="s">
        <v>44</v>
      </c>
      <c r="G472" s="28"/>
      <c r="H472" s="215">
        <f>H473</f>
        <v>3298.8</v>
      </c>
    </row>
    <row r="473" spans="1:8" ht="162" x14ac:dyDescent="0.35">
      <c r="A473" s="325"/>
      <c r="B473" s="493" t="s">
        <v>522</v>
      </c>
      <c r="C473" s="206" t="s">
        <v>67</v>
      </c>
      <c r="D473" s="207" t="s">
        <v>45</v>
      </c>
      <c r="E473" s="207" t="s">
        <v>39</v>
      </c>
      <c r="F473" s="208" t="s">
        <v>97</v>
      </c>
      <c r="G473" s="28"/>
      <c r="H473" s="215">
        <f>H474</f>
        <v>3298.8</v>
      </c>
    </row>
    <row r="474" spans="1:8" ht="36" x14ac:dyDescent="0.35">
      <c r="A474" s="325"/>
      <c r="B474" s="492" t="s">
        <v>55</v>
      </c>
      <c r="C474" s="206" t="s">
        <v>67</v>
      </c>
      <c r="D474" s="207" t="s">
        <v>45</v>
      </c>
      <c r="E474" s="207" t="s">
        <v>39</v>
      </c>
      <c r="F474" s="208" t="s">
        <v>97</v>
      </c>
      <c r="G474" s="28" t="s">
        <v>56</v>
      </c>
      <c r="H474" s="215">
        <f>'прил9 (ведом 23)'!M140</f>
        <v>3298.8</v>
      </c>
    </row>
    <row r="475" spans="1:8" ht="18" x14ac:dyDescent="0.35">
      <c r="A475" s="325"/>
      <c r="B475" s="499"/>
      <c r="C475" s="683"/>
      <c r="D475" s="683"/>
      <c r="E475" s="683"/>
      <c r="F475" s="684"/>
      <c r="G475" s="236"/>
      <c r="H475" s="215"/>
    </row>
    <row r="476" spans="1:8" s="335" customFormat="1" ht="52.2" x14ac:dyDescent="0.3">
      <c r="A476" s="340">
        <v>11</v>
      </c>
      <c r="B476" s="504" t="s">
        <v>99</v>
      </c>
      <c r="C476" s="341" t="s">
        <v>100</v>
      </c>
      <c r="D476" s="341" t="s">
        <v>42</v>
      </c>
      <c r="E476" s="341" t="s">
        <v>43</v>
      </c>
      <c r="F476" s="342" t="s">
        <v>44</v>
      </c>
      <c r="G476" s="334"/>
      <c r="H476" s="252">
        <f>H477</f>
        <v>12364.4156</v>
      </c>
    </row>
    <row r="477" spans="1:8" s="335" customFormat="1" ht="18" x14ac:dyDescent="0.35">
      <c r="A477" s="325"/>
      <c r="B477" s="492" t="s">
        <v>337</v>
      </c>
      <c r="C477" s="206" t="s">
        <v>100</v>
      </c>
      <c r="D477" s="207" t="s">
        <v>45</v>
      </c>
      <c r="E477" s="207" t="s">
        <v>43</v>
      </c>
      <c r="F477" s="208" t="s">
        <v>44</v>
      </c>
      <c r="G477" s="28"/>
      <c r="H477" s="215">
        <f>H478</f>
        <v>12364.4156</v>
      </c>
    </row>
    <row r="478" spans="1:8" s="335" customFormat="1" ht="72" x14ac:dyDescent="0.35">
      <c r="A478" s="325"/>
      <c r="B478" s="492" t="s">
        <v>101</v>
      </c>
      <c r="C478" s="206" t="s">
        <v>100</v>
      </c>
      <c r="D478" s="207" t="s">
        <v>45</v>
      </c>
      <c r="E478" s="207" t="s">
        <v>37</v>
      </c>
      <c r="F478" s="208" t="s">
        <v>44</v>
      </c>
      <c r="G478" s="28"/>
      <c r="H478" s="215">
        <f>H479</f>
        <v>12364.4156</v>
      </c>
    </row>
    <row r="479" spans="1:8" s="335" customFormat="1" ht="72" x14ac:dyDescent="0.35">
      <c r="A479" s="325"/>
      <c r="B479" s="500" t="s">
        <v>102</v>
      </c>
      <c r="C479" s="206" t="s">
        <v>100</v>
      </c>
      <c r="D479" s="207" t="s">
        <v>45</v>
      </c>
      <c r="E479" s="207" t="s">
        <v>37</v>
      </c>
      <c r="F479" s="208" t="s">
        <v>103</v>
      </c>
      <c r="G479" s="28"/>
      <c r="H479" s="215">
        <f>H480</f>
        <v>12364.4156</v>
      </c>
    </row>
    <row r="480" spans="1:8" ht="36" x14ac:dyDescent="0.35">
      <c r="A480" s="325"/>
      <c r="B480" s="492" t="s">
        <v>55</v>
      </c>
      <c r="C480" s="206" t="s">
        <v>100</v>
      </c>
      <c r="D480" s="207" t="s">
        <v>45</v>
      </c>
      <c r="E480" s="207" t="s">
        <v>37</v>
      </c>
      <c r="F480" s="208" t="s">
        <v>103</v>
      </c>
      <c r="G480" s="28" t="s">
        <v>56</v>
      </c>
      <c r="H480" s="215">
        <f>'прил9 (ведом 23)'!M146</f>
        <v>12364.4156</v>
      </c>
    </row>
    <row r="481" spans="1:8" ht="18" x14ac:dyDescent="0.35">
      <c r="A481" s="325"/>
      <c r="B481" s="499"/>
      <c r="C481" s="683"/>
      <c r="D481" s="683"/>
      <c r="E481" s="683"/>
      <c r="F481" s="684"/>
      <c r="G481" s="236"/>
      <c r="H481" s="215"/>
    </row>
    <row r="482" spans="1:8" s="335" customFormat="1" ht="69.599999999999994" x14ac:dyDescent="0.3">
      <c r="A482" s="340">
        <v>12</v>
      </c>
      <c r="B482" s="504" t="s">
        <v>107</v>
      </c>
      <c r="C482" s="341" t="s">
        <v>71</v>
      </c>
      <c r="D482" s="341" t="s">
        <v>42</v>
      </c>
      <c r="E482" s="341" t="s">
        <v>43</v>
      </c>
      <c r="F482" s="342" t="s">
        <v>44</v>
      </c>
      <c r="G482" s="334"/>
      <c r="H482" s="252">
        <f>H483+H487</f>
        <v>233</v>
      </c>
    </row>
    <row r="483" spans="1:8" s="335" customFormat="1" ht="36" x14ac:dyDescent="0.35">
      <c r="A483" s="325"/>
      <c r="B483" s="507" t="s">
        <v>108</v>
      </c>
      <c r="C483" s="206" t="s">
        <v>71</v>
      </c>
      <c r="D483" s="207" t="s">
        <v>45</v>
      </c>
      <c r="E483" s="207" t="s">
        <v>43</v>
      </c>
      <c r="F483" s="208" t="s">
        <v>44</v>
      </c>
      <c r="G483" s="28"/>
      <c r="H483" s="215">
        <f>H484</f>
        <v>115</v>
      </c>
    </row>
    <row r="484" spans="1:8" s="335" customFormat="1" ht="36" x14ac:dyDescent="0.35">
      <c r="A484" s="325"/>
      <c r="B484" s="492" t="s">
        <v>109</v>
      </c>
      <c r="C484" s="206" t="s">
        <v>71</v>
      </c>
      <c r="D484" s="207" t="s">
        <v>45</v>
      </c>
      <c r="E484" s="207" t="s">
        <v>37</v>
      </c>
      <c r="F484" s="208" t="s">
        <v>44</v>
      </c>
      <c r="G484" s="28"/>
      <c r="H484" s="215">
        <f>H485</f>
        <v>115</v>
      </c>
    </row>
    <row r="485" spans="1:8" s="335" customFormat="1" ht="36" x14ac:dyDescent="0.35">
      <c r="A485" s="325"/>
      <c r="B485" s="507" t="s">
        <v>110</v>
      </c>
      <c r="C485" s="206" t="s">
        <v>71</v>
      </c>
      <c r="D485" s="207" t="s">
        <v>45</v>
      </c>
      <c r="E485" s="207" t="s">
        <v>37</v>
      </c>
      <c r="F485" s="208" t="s">
        <v>111</v>
      </c>
      <c r="G485" s="28"/>
      <c r="H485" s="215">
        <f>SUM(H486:H486)</f>
        <v>115</v>
      </c>
    </row>
    <row r="486" spans="1:8" s="335" customFormat="1" ht="36" x14ac:dyDescent="0.35">
      <c r="A486" s="325"/>
      <c r="B486" s="492" t="s">
        <v>55</v>
      </c>
      <c r="C486" s="206" t="s">
        <v>71</v>
      </c>
      <c r="D486" s="207" t="s">
        <v>45</v>
      </c>
      <c r="E486" s="207" t="s">
        <v>37</v>
      </c>
      <c r="F486" s="208" t="s">
        <v>111</v>
      </c>
      <c r="G486" s="28" t="s">
        <v>56</v>
      </c>
      <c r="H486" s="215">
        <f>'прил9 (ведом 23)'!M152</f>
        <v>115</v>
      </c>
    </row>
    <row r="487" spans="1:8" s="335" customFormat="1" ht="36" x14ac:dyDescent="0.35">
      <c r="A487" s="325"/>
      <c r="B487" s="507" t="s">
        <v>112</v>
      </c>
      <c r="C487" s="206" t="s">
        <v>71</v>
      </c>
      <c r="D487" s="207" t="s">
        <v>89</v>
      </c>
      <c r="E487" s="207" t="s">
        <v>43</v>
      </c>
      <c r="F487" s="208" t="s">
        <v>44</v>
      </c>
      <c r="G487" s="28"/>
      <c r="H487" s="215">
        <f>H488</f>
        <v>118</v>
      </c>
    </row>
    <row r="488" spans="1:8" s="335" customFormat="1" ht="36" x14ac:dyDescent="0.35">
      <c r="A488" s="325"/>
      <c r="B488" s="507" t="s">
        <v>113</v>
      </c>
      <c r="C488" s="206" t="s">
        <v>71</v>
      </c>
      <c r="D488" s="207" t="s">
        <v>89</v>
      </c>
      <c r="E488" s="207" t="s">
        <v>37</v>
      </c>
      <c r="F488" s="208" t="s">
        <v>44</v>
      </c>
      <c r="G488" s="28"/>
      <c r="H488" s="215">
        <f>H489</f>
        <v>118</v>
      </c>
    </row>
    <row r="489" spans="1:8" s="335" customFormat="1" ht="72" x14ac:dyDescent="0.35">
      <c r="A489" s="325"/>
      <c r="B489" s="507" t="s">
        <v>114</v>
      </c>
      <c r="C489" s="206" t="s">
        <v>71</v>
      </c>
      <c r="D489" s="207" t="s">
        <v>89</v>
      </c>
      <c r="E489" s="207" t="s">
        <v>37</v>
      </c>
      <c r="F489" s="208" t="s">
        <v>115</v>
      </c>
      <c r="G489" s="28"/>
      <c r="H489" s="215">
        <f>H490</f>
        <v>118</v>
      </c>
    </row>
    <row r="490" spans="1:8" ht="36" x14ac:dyDescent="0.35">
      <c r="A490" s="325"/>
      <c r="B490" s="492" t="s">
        <v>55</v>
      </c>
      <c r="C490" s="206" t="s">
        <v>71</v>
      </c>
      <c r="D490" s="207" t="s">
        <v>89</v>
      </c>
      <c r="E490" s="207" t="s">
        <v>37</v>
      </c>
      <c r="F490" s="208" t="s">
        <v>115</v>
      </c>
      <c r="G490" s="28" t="s">
        <v>56</v>
      </c>
      <c r="H490" s="215">
        <f>'прил9 (ведом 23)'!M156</f>
        <v>118</v>
      </c>
    </row>
    <row r="491" spans="1:8" ht="18" x14ac:dyDescent="0.35">
      <c r="A491" s="325"/>
      <c r="B491" s="499"/>
      <c r="C491" s="683"/>
      <c r="D491" s="683"/>
      <c r="E491" s="683"/>
      <c r="F491" s="684"/>
      <c r="G491" s="236"/>
      <c r="H491" s="215"/>
    </row>
    <row r="492" spans="1:8" s="335" customFormat="1" ht="52.2" x14ac:dyDescent="0.3">
      <c r="A492" s="340">
        <v>13</v>
      </c>
      <c r="B492" s="504" t="s">
        <v>116</v>
      </c>
      <c r="C492" s="341" t="s">
        <v>88</v>
      </c>
      <c r="D492" s="341" t="s">
        <v>42</v>
      </c>
      <c r="E492" s="341" t="s">
        <v>43</v>
      </c>
      <c r="F492" s="342" t="s">
        <v>44</v>
      </c>
      <c r="G492" s="334"/>
      <c r="H492" s="252">
        <f>H493</f>
        <v>54384.5</v>
      </c>
    </row>
    <row r="493" spans="1:8" s="335" customFormat="1" ht="18" x14ac:dyDescent="0.35">
      <c r="A493" s="325"/>
      <c r="B493" s="492" t="s">
        <v>337</v>
      </c>
      <c r="C493" s="206" t="s">
        <v>88</v>
      </c>
      <c r="D493" s="207" t="s">
        <v>45</v>
      </c>
      <c r="E493" s="207" t="s">
        <v>43</v>
      </c>
      <c r="F493" s="208" t="s">
        <v>44</v>
      </c>
      <c r="G493" s="28"/>
      <c r="H493" s="215">
        <f>H494</f>
        <v>54384.5</v>
      </c>
    </row>
    <row r="494" spans="1:8" s="335" customFormat="1" ht="54" x14ac:dyDescent="0.35">
      <c r="A494" s="325"/>
      <c r="B494" s="507" t="s">
        <v>306</v>
      </c>
      <c r="C494" s="206" t="s">
        <v>88</v>
      </c>
      <c r="D494" s="207" t="s">
        <v>45</v>
      </c>
      <c r="E494" s="207" t="s">
        <v>37</v>
      </c>
      <c r="F494" s="208" t="s">
        <v>44</v>
      </c>
      <c r="G494" s="28"/>
      <c r="H494" s="215">
        <f>H495+H497+H499</f>
        <v>54384.5</v>
      </c>
    </row>
    <row r="495" spans="1:8" s="335" customFormat="1" ht="54" x14ac:dyDescent="0.35">
      <c r="A495" s="325"/>
      <c r="B495" s="507" t="s">
        <v>117</v>
      </c>
      <c r="C495" s="206" t="s">
        <v>88</v>
      </c>
      <c r="D495" s="207" t="s">
        <v>45</v>
      </c>
      <c r="E495" s="207" t="s">
        <v>37</v>
      </c>
      <c r="F495" s="208" t="s">
        <v>118</v>
      </c>
      <c r="G495" s="28"/>
      <c r="H495" s="215">
        <f>H496</f>
        <v>1873.4</v>
      </c>
    </row>
    <row r="496" spans="1:8" ht="36" x14ac:dyDescent="0.35">
      <c r="A496" s="325"/>
      <c r="B496" s="492" t="s">
        <v>55</v>
      </c>
      <c r="C496" s="206" t="s">
        <v>88</v>
      </c>
      <c r="D496" s="207" t="s">
        <v>45</v>
      </c>
      <c r="E496" s="207" t="s">
        <v>37</v>
      </c>
      <c r="F496" s="208" t="s">
        <v>118</v>
      </c>
      <c r="G496" s="28" t="s">
        <v>56</v>
      </c>
      <c r="H496" s="215">
        <f>'прил9 (ведом 23)'!M161</f>
        <v>1873.4</v>
      </c>
    </row>
    <row r="497" spans="1:8" ht="72" x14ac:dyDescent="0.35">
      <c r="A497" s="325"/>
      <c r="B497" s="493" t="s">
        <v>523</v>
      </c>
      <c r="C497" s="206" t="s">
        <v>88</v>
      </c>
      <c r="D497" s="207" t="s">
        <v>45</v>
      </c>
      <c r="E497" s="207" t="s">
        <v>37</v>
      </c>
      <c r="F497" s="208" t="s">
        <v>521</v>
      </c>
      <c r="G497" s="28"/>
      <c r="H497" s="215">
        <f>H498</f>
        <v>15802.7</v>
      </c>
    </row>
    <row r="498" spans="1:8" ht="36" x14ac:dyDescent="0.35">
      <c r="A498" s="325"/>
      <c r="B498" s="493" t="s">
        <v>55</v>
      </c>
      <c r="C498" s="206" t="s">
        <v>88</v>
      </c>
      <c r="D498" s="207" t="s">
        <v>45</v>
      </c>
      <c r="E498" s="207" t="s">
        <v>37</v>
      </c>
      <c r="F498" s="208" t="s">
        <v>521</v>
      </c>
      <c r="G498" s="28" t="s">
        <v>56</v>
      </c>
      <c r="H498" s="215">
        <f>'прил9 (ведом 23)'!M163</f>
        <v>15802.7</v>
      </c>
    </row>
    <row r="499" spans="1:8" ht="54" x14ac:dyDescent="0.35">
      <c r="A499" s="325"/>
      <c r="B499" s="493" t="s">
        <v>577</v>
      </c>
      <c r="C499" s="206" t="s">
        <v>88</v>
      </c>
      <c r="D499" s="207" t="s">
        <v>45</v>
      </c>
      <c r="E499" s="207" t="s">
        <v>37</v>
      </c>
      <c r="F499" s="208" t="s">
        <v>576</v>
      </c>
      <c r="G499" s="28"/>
      <c r="H499" s="215">
        <f>H500</f>
        <v>36708.400000000001</v>
      </c>
    </row>
    <row r="500" spans="1:8" ht="36" x14ac:dyDescent="0.35">
      <c r="A500" s="325"/>
      <c r="B500" s="493" t="s">
        <v>55</v>
      </c>
      <c r="C500" s="206" t="s">
        <v>88</v>
      </c>
      <c r="D500" s="207" t="s">
        <v>45</v>
      </c>
      <c r="E500" s="207" t="s">
        <v>37</v>
      </c>
      <c r="F500" s="208" t="s">
        <v>576</v>
      </c>
      <c r="G500" s="28" t="s">
        <v>56</v>
      </c>
      <c r="H500" s="215">
        <f>'прил9 (ведом 23)'!M165</f>
        <v>36708.400000000001</v>
      </c>
    </row>
    <row r="501" spans="1:8" s="335" customFormat="1" ht="18" x14ac:dyDescent="0.35">
      <c r="A501" s="325"/>
      <c r="B501" s="495"/>
      <c r="C501" s="683"/>
      <c r="D501" s="683"/>
      <c r="E501" s="683"/>
      <c r="F501" s="684"/>
      <c r="G501" s="236"/>
      <c r="H501" s="215"/>
    </row>
    <row r="502" spans="1:8" s="335" customFormat="1" ht="69.599999999999994" x14ac:dyDescent="0.3">
      <c r="A502" s="340">
        <v>14</v>
      </c>
      <c r="B502" s="504" t="s">
        <v>72</v>
      </c>
      <c r="C502" s="341" t="s">
        <v>73</v>
      </c>
      <c r="D502" s="341" t="s">
        <v>42</v>
      </c>
      <c r="E502" s="341" t="s">
        <v>43</v>
      </c>
      <c r="F502" s="342" t="s">
        <v>44</v>
      </c>
      <c r="G502" s="334"/>
      <c r="H502" s="252">
        <f>H503</f>
        <v>4548.4000000000005</v>
      </c>
    </row>
    <row r="503" spans="1:8" ht="30.75" customHeight="1" x14ac:dyDescent="0.35">
      <c r="A503" s="325"/>
      <c r="B503" s="492" t="s">
        <v>337</v>
      </c>
      <c r="C503" s="206" t="s">
        <v>73</v>
      </c>
      <c r="D503" s="207" t="s">
        <v>45</v>
      </c>
      <c r="E503" s="207" t="s">
        <v>43</v>
      </c>
      <c r="F503" s="208" t="s">
        <v>44</v>
      </c>
      <c r="G503" s="28"/>
      <c r="H503" s="215">
        <f>H504</f>
        <v>4548.4000000000005</v>
      </c>
    </row>
    <row r="504" spans="1:8" ht="36" x14ac:dyDescent="0.35">
      <c r="A504" s="325"/>
      <c r="B504" s="508" t="s">
        <v>265</v>
      </c>
      <c r="C504" s="206" t="s">
        <v>73</v>
      </c>
      <c r="D504" s="207" t="s">
        <v>45</v>
      </c>
      <c r="E504" s="207" t="s">
        <v>37</v>
      </c>
      <c r="F504" s="208" t="s">
        <v>44</v>
      </c>
      <c r="G504" s="28"/>
      <c r="H504" s="215">
        <f>H505</f>
        <v>4548.4000000000005</v>
      </c>
    </row>
    <row r="505" spans="1:8" ht="36" x14ac:dyDescent="0.35">
      <c r="A505" s="325"/>
      <c r="B505" s="508" t="s">
        <v>74</v>
      </c>
      <c r="C505" s="206" t="s">
        <v>73</v>
      </c>
      <c r="D505" s="207" t="s">
        <v>45</v>
      </c>
      <c r="E505" s="207" t="s">
        <v>37</v>
      </c>
      <c r="F505" s="208" t="s">
        <v>75</v>
      </c>
      <c r="G505" s="28"/>
      <c r="H505" s="215">
        <f>H506</f>
        <v>4548.4000000000005</v>
      </c>
    </row>
    <row r="506" spans="1:8" ht="49.5" customHeight="1" x14ac:dyDescent="0.35">
      <c r="A506" s="325"/>
      <c r="B506" s="495" t="s">
        <v>76</v>
      </c>
      <c r="C506" s="206" t="s">
        <v>73</v>
      </c>
      <c r="D506" s="207" t="s">
        <v>45</v>
      </c>
      <c r="E506" s="207" t="s">
        <v>37</v>
      </c>
      <c r="F506" s="208" t="s">
        <v>75</v>
      </c>
      <c r="G506" s="28" t="s">
        <v>77</v>
      </c>
      <c r="H506" s="215">
        <f>'прил9 (ведом 23)'!M66+'прил9 (ведом 23)'!M223</f>
        <v>4548.4000000000005</v>
      </c>
    </row>
    <row r="507" spans="1:8" ht="18" x14ac:dyDescent="0.35">
      <c r="A507" s="325"/>
      <c r="B507" s="495"/>
      <c r="C507" s="683"/>
      <c r="D507" s="683"/>
      <c r="E507" s="683"/>
      <c r="F507" s="684"/>
      <c r="G507" s="236"/>
      <c r="H507" s="215"/>
    </row>
    <row r="508" spans="1:8" s="335" customFormat="1" ht="52.2" x14ac:dyDescent="0.3">
      <c r="A508" s="340">
        <v>15</v>
      </c>
      <c r="B508" s="504" t="s">
        <v>40</v>
      </c>
      <c r="C508" s="341" t="s">
        <v>41</v>
      </c>
      <c r="D508" s="341" t="s">
        <v>42</v>
      </c>
      <c r="E508" s="341" t="s">
        <v>43</v>
      </c>
      <c r="F508" s="342" t="s">
        <v>44</v>
      </c>
      <c r="G508" s="334"/>
      <c r="H508" s="252">
        <f>H509</f>
        <v>163466.99400000001</v>
      </c>
    </row>
    <row r="509" spans="1:8" s="335" customFormat="1" ht="18" x14ac:dyDescent="0.35">
      <c r="A509" s="325"/>
      <c r="B509" s="492" t="s">
        <v>337</v>
      </c>
      <c r="C509" s="206" t="s">
        <v>41</v>
      </c>
      <c r="D509" s="207" t="s">
        <v>45</v>
      </c>
      <c r="E509" s="207" t="s">
        <v>43</v>
      </c>
      <c r="F509" s="208" t="s">
        <v>44</v>
      </c>
      <c r="G509" s="28"/>
      <c r="H509" s="215">
        <f>H510+H513+H531+H539+H544+H561+H551+H556+H548</f>
        <v>163466.99400000001</v>
      </c>
    </row>
    <row r="510" spans="1:8" s="335" customFormat="1" ht="36" x14ac:dyDescent="0.35">
      <c r="A510" s="325"/>
      <c r="B510" s="492" t="s">
        <v>46</v>
      </c>
      <c r="C510" s="206" t="s">
        <v>41</v>
      </c>
      <c r="D510" s="207" t="s">
        <v>45</v>
      </c>
      <c r="E510" s="207" t="s">
        <v>37</v>
      </c>
      <c r="F510" s="208" t="s">
        <v>44</v>
      </c>
      <c r="G510" s="28"/>
      <c r="H510" s="215">
        <f>H511</f>
        <v>2536.8000000000002</v>
      </c>
    </row>
    <row r="511" spans="1:8" s="335" customFormat="1" ht="36" x14ac:dyDescent="0.35">
      <c r="A511" s="325"/>
      <c r="B511" s="492" t="s">
        <v>47</v>
      </c>
      <c r="C511" s="206" t="s">
        <v>41</v>
      </c>
      <c r="D511" s="207" t="s">
        <v>45</v>
      </c>
      <c r="E511" s="207" t="s">
        <v>37</v>
      </c>
      <c r="F511" s="208" t="s">
        <v>48</v>
      </c>
      <c r="G511" s="28"/>
      <c r="H511" s="215">
        <f>H512</f>
        <v>2536.8000000000002</v>
      </c>
    </row>
    <row r="512" spans="1:8" s="335" customFormat="1" ht="90" x14ac:dyDescent="0.35">
      <c r="A512" s="325"/>
      <c r="B512" s="492" t="s">
        <v>49</v>
      </c>
      <c r="C512" s="206" t="s">
        <v>41</v>
      </c>
      <c r="D512" s="207" t="s">
        <v>45</v>
      </c>
      <c r="E512" s="207" t="s">
        <v>37</v>
      </c>
      <c r="F512" s="208" t="s">
        <v>48</v>
      </c>
      <c r="G512" s="28" t="s">
        <v>50</v>
      </c>
      <c r="H512" s="215">
        <f>'прил9 (ведом 23)'!M22</f>
        <v>2536.8000000000002</v>
      </c>
    </row>
    <row r="513" spans="1:8" s="335" customFormat="1" ht="36" x14ac:dyDescent="0.35">
      <c r="A513" s="325"/>
      <c r="B513" s="492" t="s">
        <v>54</v>
      </c>
      <c r="C513" s="206" t="s">
        <v>41</v>
      </c>
      <c r="D513" s="207" t="s">
        <v>45</v>
      </c>
      <c r="E513" s="207" t="s">
        <v>39</v>
      </c>
      <c r="F513" s="208" t="s">
        <v>44</v>
      </c>
      <c r="G513" s="28"/>
      <c r="H513" s="215">
        <f>H514+H521+H523+H525+H519+H528</f>
        <v>82882.615450000012</v>
      </c>
    </row>
    <row r="514" spans="1:8" s="335" customFormat="1" ht="36" x14ac:dyDescent="0.35">
      <c r="A514" s="325"/>
      <c r="B514" s="492" t="s">
        <v>47</v>
      </c>
      <c r="C514" s="206" t="s">
        <v>41</v>
      </c>
      <c r="D514" s="207" t="s">
        <v>45</v>
      </c>
      <c r="E514" s="207" t="s">
        <v>39</v>
      </c>
      <c r="F514" s="208" t="s">
        <v>48</v>
      </c>
      <c r="G514" s="28"/>
      <c r="H514" s="215">
        <f>SUM(H515:H518)</f>
        <v>77380.41545</v>
      </c>
    </row>
    <row r="515" spans="1:8" s="335" customFormat="1" ht="90" x14ac:dyDescent="0.35">
      <c r="A515" s="325"/>
      <c r="B515" s="492" t="s">
        <v>49</v>
      </c>
      <c r="C515" s="206" t="s">
        <v>41</v>
      </c>
      <c r="D515" s="207" t="s">
        <v>45</v>
      </c>
      <c r="E515" s="207" t="s">
        <v>39</v>
      </c>
      <c r="F515" s="208" t="s">
        <v>48</v>
      </c>
      <c r="G515" s="28" t="s">
        <v>50</v>
      </c>
      <c r="H515" s="215">
        <f>'прил9 (ведом 23)'!M28</f>
        <v>75892.2</v>
      </c>
    </row>
    <row r="516" spans="1:8" ht="36" x14ac:dyDescent="0.35">
      <c r="A516" s="325"/>
      <c r="B516" s="492" t="s">
        <v>55</v>
      </c>
      <c r="C516" s="206" t="s">
        <v>41</v>
      </c>
      <c r="D516" s="207" t="s">
        <v>45</v>
      </c>
      <c r="E516" s="207" t="s">
        <v>39</v>
      </c>
      <c r="F516" s="208" t="s">
        <v>48</v>
      </c>
      <c r="G516" s="28" t="s">
        <v>56</v>
      </c>
      <c r="H516" s="215">
        <f>'прил9 (ведом 23)'!M29</f>
        <v>1077.4669999999999</v>
      </c>
    </row>
    <row r="517" spans="1:8" ht="18" x14ac:dyDescent="0.35">
      <c r="A517" s="325"/>
      <c r="B517" s="503" t="s">
        <v>120</v>
      </c>
      <c r="C517" s="689" t="s">
        <v>41</v>
      </c>
      <c r="D517" s="690" t="s">
        <v>45</v>
      </c>
      <c r="E517" s="690" t="s">
        <v>39</v>
      </c>
      <c r="F517" s="691" t="s">
        <v>48</v>
      </c>
      <c r="G517" s="10" t="s">
        <v>121</v>
      </c>
      <c r="H517" s="215">
        <f>'прил9 (ведом 23)'!M30</f>
        <v>341.24845000000005</v>
      </c>
    </row>
    <row r="518" spans="1:8" s="335" customFormat="1" ht="18" x14ac:dyDescent="0.35">
      <c r="A518" s="325"/>
      <c r="B518" s="492" t="s">
        <v>57</v>
      </c>
      <c r="C518" s="206" t="s">
        <v>41</v>
      </c>
      <c r="D518" s="207" t="s">
        <v>45</v>
      </c>
      <c r="E518" s="207" t="s">
        <v>39</v>
      </c>
      <c r="F518" s="208" t="s">
        <v>48</v>
      </c>
      <c r="G518" s="28" t="s">
        <v>58</v>
      </c>
      <c r="H518" s="215">
        <f>'прил9 (ведом 23)'!M31</f>
        <v>69.5</v>
      </c>
    </row>
    <row r="519" spans="1:8" s="335" customFormat="1" ht="72" x14ac:dyDescent="0.35">
      <c r="A519" s="325"/>
      <c r="B519" s="493" t="s">
        <v>384</v>
      </c>
      <c r="C519" s="206" t="s">
        <v>41</v>
      </c>
      <c r="D519" s="207" t="s">
        <v>45</v>
      </c>
      <c r="E519" s="207" t="s">
        <v>39</v>
      </c>
      <c r="F519" s="208" t="s">
        <v>383</v>
      </c>
      <c r="G519" s="28"/>
      <c r="H519" s="215">
        <f>H520</f>
        <v>19.8</v>
      </c>
    </row>
    <row r="520" spans="1:8" s="335" customFormat="1" ht="36" x14ac:dyDescent="0.35">
      <c r="A520" s="325"/>
      <c r="B520" s="493" t="s">
        <v>55</v>
      </c>
      <c r="C520" s="206" t="s">
        <v>41</v>
      </c>
      <c r="D520" s="207" t="s">
        <v>45</v>
      </c>
      <c r="E520" s="207" t="s">
        <v>39</v>
      </c>
      <c r="F520" s="208" t="s">
        <v>383</v>
      </c>
      <c r="G520" s="28" t="s">
        <v>56</v>
      </c>
      <c r="H520" s="215">
        <f>'прил9 (ведом 23)'!M50</f>
        <v>19.8</v>
      </c>
    </row>
    <row r="521" spans="1:8" ht="90" x14ac:dyDescent="0.35">
      <c r="A521" s="325"/>
      <c r="B521" s="492" t="s">
        <v>441</v>
      </c>
      <c r="C521" s="206" t="s">
        <v>41</v>
      </c>
      <c r="D521" s="207" t="s">
        <v>45</v>
      </c>
      <c r="E521" s="207" t="s">
        <v>39</v>
      </c>
      <c r="F521" s="208" t="s">
        <v>264</v>
      </c>
      <c r="G521" s="28"/>
      <c r="H521" s="215">
        <f>H522</f>
        <v>63</v>
      </c>
    </row>
    <row r="522" spans="1:8" ht="36" x14ac:dyDescent="0.35">
      <c r="A522" s="325"/>
      <c r="B522" s="492" t="s">
        <v>55</v>
      </c>
      <c r="C522" s="206" t="s">
        <v>41</v>
      </c>
      <c r="D522" s="207" t="s">
        <v>45</v>
      </c>
      <c r="E522" s="207" t="s">
        <v>39</v>
      </c>
      <c r="F522" s="208" t="s">
        <v>264</v>
      </c>
      <c r="G522" s="28" t="s">
        <v>56</v>
      </c>
      <c r="H522" s="215">
        <f>'прил9 (ведом 23)'!M33</f>
        <v>63</v>
      </c>
    </row>
    <row r="523" spans="1:8" ht="173.25" customHeight="1" x14ac:dyDescent="0.35">
      <c r="A523" s="325"/>
      <c r="B523" s="528" t="s">
        <v>449</v>
      </c>
      <c r="C523" s="206" t="s">
        <v>41</v>
      </c>
      <c r="D523" s="207" t="s">
        <v>45</v>
      </c>
      <c r="E523" s="207" t="s">
        <v>39</v>
      </c>
      <c r="F523" s="208" t="s">
        <v>59</v>
      </c>
      <c r="G523" s="28"/>
      <c r="H523" s="215">
        <f>H524</f>
        <v>729.8</v>
      </c>
    </row>
    <row r="524" spans="1:8" ht="90" x14ac:dyDescent="0.35">
      <c r="A524" s="325"/>
      <c r="B524" s="493" t="s">
        <v>49</v>
      </c>
      <c r="C524" s="206" t="s">
        <v>41</v>
      </c>
      <c r="D524" s="207" t="s">
        <v>45</v>
      </c>
      <c r="E524" s="207" t="s">
        <v>39</v>
      </c>
      <c r="F524" s="208" t="s">
        <v>59</v>
      </c>
      <c r="G524" s="28" t="s">
        <v>50</v>
      </c>
      <c r="H524" s="215">
        <f>'прил9 (ведом 23)'!M35</f>
        <v>729.8</v>
      </c>
    </row>
    <row r="525" spans="1:8" ht="54" x14ac:dyDescent="0.35">
      <c r="A525" s="325"/>
      <c r="B525" s="493" t="s">
        <v>407</v>
      </c>
      <c r="C525" s="206" t="s">
        <v>41</v>
      </c>
      <c r="D525" s="207" t="s">
        <v>45</v>
      </c>
      <c r="E525" s="207" t="s">
        <v>39</v>
      </c>
      <c r="F525" s="208" t="s">
        <v>61</v>
      </c>
      <c r="G525" s="28"/>
      <c r="H525" s="215">
        <f>H526+H527</f>
        <v>730</v>
      </c>
    </row>
    <row r="526" spans="1:8" ht="90" x14ac:dyDescent="0.35">
      <c r="A526" s="325"/>
      <c r="B526" s="493" t="s">
        <v>49</v>
      </c>
      <c r="C526" s="206" t="s">
        <v>41</v>
      </c>
      <c r="D526" s="207" t="s">
        <v>45</v>
      </c>
      <c r="E526" s="207" t="s">
        <v>39</v>
      </c>
      <c r="F526" s="208" t="s">
        <v>61</v>
      </c>
      <c r="G526" s="28" t="s">
        <v>50</v>
      </c>
      <c r="H526" s="215">
        <f>'прил9 (ведом 23)'!M37</f>
        <v>725.8</v>
      </c>
    </row>
    <row r="527" spans="1:8" ht="36" x14ac:dyDescent="0.35">
      <c r="A527" s="325"/>
      <c r="B527" s="493" t="s">
        <v>55</v>
      </c>
      <c r="C527" s="206" t="s">
        <v>41</v>
      </c>
      <c r="D527" s="207" t="s">
        <v>45</v>
      </c>
      <c r="E527" s="207" t="s">
        <v>39</v>
      </c>
      <c r="F527" s="208" t="s">
        <v>61</v>
      </c>
      <c r="G527" s="28" t="s">
        <v>56</v>
      </c>
      <c r="H527" s="215">
        <f>'прил9 (ведом 23)'!M38</f>
        <v>4.2</v>
      </c>
    </row>
    <row r="528" spans="1:8" ht="72" x14ac:dyDescent="0.35">
      <c r="A528" s="325"/>
      <c r="B528" s="492" t="s">
        <v>60</v>
      </c>
      <c r="C528" s="206" t="s">
        <v>41</v>
      </c>
      <c r="D528" s="207" t="s">
        <v>45</v>
      </c>
      <c r="E528" s="207" t="s">
        <v>39</v>
      </c>
      <c r="F528" s="208" t="s">
        <v>535</v>
      </c>
      <c r="G528" s="28"/>
      <c r="H528" s="215">
        <f>H529+H530</f>
        <v>3959.6</v>
      </c>
    </row>
    <row r="529" spans="1:8" ht="90" x14ac:dyDescent="0.35">
      <c r="A529" s="325"/>
      <c r="B529" s="492" t="s">
        <v>49</v>
      </c>
      <c r="C529" s="206" t="s">
        <v>41</v>
      </c>
      <c r="D529" s="207" t="s">
        <v>45</v>
      </c>
      <c r="E529" s="207" t="s">
        <v>39</v>
      </c>
      <c r="F529" s="208" t="s">
        <v>535</v>
      </c>
      <c r="G529" s="28" t="s">
        <v>50</v>
      </c>
      <c r="H529" s="215">
        <f>'прил9 (ведом 23)'!M40</f>
        <v>3918.5</v>
      </c>
    </row>
    <row r="530" spans="1:8" ht="36" x14ac:dyDescent="0.35">
      <c r="A530" s="325"/>
      <c r="B530" s="493" t="s">
        <v>55</v>
      </c>
      <c r="C530" s="206" t="s">
        <v>41</v>
      </c>
      <c r="D530" s="207" t="s">
        <v>45</v>
      </c>
      <c r="E530" s="207" t="s">
        <v>39</v>
      </c>
      <c r="F530" s="208" t="s">
        <v>535</v>
      </c>
      <c r="G530" s="28" t="s">
        <v>56</v>
      </c>
      <c r="H530" s="215">
        <f>'прил9 (ведом 23)'!M41</f>
        <v>41.100000000000009</v>
      </c>
    </row>
    <row r="531" spans="1:8" ht="18" x14ac:dyDescent="0.35">
      <c r="A531" s="325"/>
      <c r="B531" s="492" t="s">
        <v>62</v>
      </c>
      <c r="C531" s="206" t="s">
        <v>41</v>
      </c>
      <c r="D531" s="207" t="s">
        <v>45</v>
      </c>
      <c r="E531" s="207" t="s">
        <v>63</v>
      </c>
      <c r="F531" s="208" t="s">
        <v>44</v>
      </c>
      <c r="G531" s="28"/>
      <c r="H531" s="215">
        <f>H532+H534+H536</f>
        <v>8089.0999999999995</v>
      </c>
    </row>
    <row r="532" spans="1:8" ht="36" x14ac:dyDescent="0.35">
      <c r="A532" s="325"/>
      <c r="B532" s="492" t="s">
        <v>47</v>
      </c>
      <c r="C532" s="206" t="s">
        <v>41</v>
      </c>
      <c r="D532" s="207" t="s">
        <v>45</v>
      </c>
      <c r="E532" s="207" t="s">
        <v>63</v>
      </c>
      <c r="F532" s="208" t="s">
        <v>48</v>
      </c>
      <c r="G532" s="28"/>
      <c r="H532" s="215">
        <f>H533</f>
        <v>4.5</v>
      </c>
    </row>
    <row r="533" spans="1:8" ht="36" x14ac:dyDescent="0.35">
      <c r="A533" s="325"/>
      <c r="B533" s="492" t="s">
        <v>55</v>
      </c>
      <c r="C533" s="206" t="s">
        <v>41</v>
      </c>
      <c r="D533" s="207" t="s">
        <v>45</v>
      </c>
      <c r="E533" s="207" t="s">
        <v>63</v>
      </c>
      <c r="F533" s="208" t="s">
        <v>48</v>
      </c>
      <c r="G533" s="28" t="s">
        <v>56</v>
      </c>
      <c r="H533" s="215">
        <f>'прил9 (ведом 23)'!M44</f>
        <v>4.5</v>
      </c>
    </row>
    <row r="534" spans="1:8" ht="36" x14ac:dyDescent="0.35">
      <c r="A534" s="325"/>
      <c r="B534" s="493" t="s">
        <v>529</v>
      </c>
      <c r="C534" s="206" t="s">
        <v>41</v>
      </c>
      <c r="D534" s="207" t="s">
        <v>45</v>
      </c>
      <c r="E534" s="207" t="s">
        <v>63</v>
      </c>
      <c r="F534" s="208" t="s">
        <v>528</v>
      </c>
      <c r="G534" s="28"/>
      <c r="H534" s="215">
        <f>H535</f>
        <v>130.9</v>
      </c>
    </row>
    <row r="535" spans="1:8" ht="36" x14ac:dyDescent="0.35">
      <c r="A535" s="325"/>
      <c r="B535" s="493" t="s">
        <v>55</v>
      </c>
      <c r="C535" s="206" t="s">
        <v>41</v>
      </c>
      <c r="D535" s="207" t="s">
        <v>45</v>
      </c>
      <c r="E535" s="207" t="s">
        <v>63</v>
      </c>
      <c r="F535" s="208" t="s">
        <v>528</v>
      </c>
      <c r="G535" s="28" t="s">
        <v>56</v>
      </c>
      <c r="H535" s="215">
        <f>'прил9 (ведом 23)'!M199</f>
        <v>130.9</v>
      </c>
    </row>
    <row r="536" spans="1:8" ht="54" x14ac:dyDescent="0.35">
      <c r="A536" s="325"/>
      <c r="B536" s="493" t="s">
        <v>378</v>
      </c>
      <c r="C536" s="206" t="s">
        <v>41</v>
      </c>
      <c r="D536" s="207" t="s">
        <v>45</v>
      </c>
      <c r="E536" s="207" t="s">
        <v>63</v>
      </c>
      <c r="F536" s="208" t="s">
        <v>377</v>
      </c>
      <c r="G536" s="28"/>
      <c r="H536" s="215">
        <f>H537+H538</f>
        <v>7953.7</v>
      </c>
    </row>
    <row r="537" spans="1:8" ht="36" x14ac:dyDescent="0.35">
      <c r="A537" s="325"/>
      <c r="B537" s="493" t="s">
        <v>55</v>
      </c>
      <c r="C537" s="206" t="s">
        <v>41</v>
      </c>
      <c r="D537" s="207" t="s">
        <v>45</v>
      </c>
      <c r="E537" s="207" t="s">
        <v>63</v>
      </c>
      <c r="F537" s="208" t="s">
        <v>377</v>
      </c>
      <c r="G537" s="28" t="s">
        <v>56</v>
      </c>
      <c r="H537" s="215">
        <f>'прил9 (ведом 23)'!M71</f>
        <v>7729.4</v>
      </c>
    </row>
    <row r="538" spans="1:8" ht="18" x14ac:dyDescent="0.35">
      <c r="A538" s="325"/>
      <c r="B538" s="493" t="s">
        <v>57</v>
      </c>
      <c r="C538" s="206" t="s">
        <v>41</v>
      </c>
      <c r="D538" s="207" t="s">
        <v>45</v>
      </c>
      <c r="E538" s="207" t="s">
        <v>63</v>
      </c>
      <c r="F538" s="208" t="s">
        <v>377</v>
      </c>
      <c r="G538" s="28" t="s">
        <v>58</v>
      </c>
      <c r="H538" s="215">
        <f>'прил9 (ведом 23)'!M72</f>
        <v>224.3</v>
      </c>
    </row>
    <row r="539" spans="1:8" ht="18" x14ac:dyDescent="0.35">
      <c r="A539" s="325"/>
      <c r="B539" s="492" t="s">
        <v>64</v>
      </c>
      <c r="C539" s="206" t="s">
        <v>41</v>
      </c>
      <c r="D539" s="207" t="s">
        <v>45</v>
      </c>
      <c r="E539" s="207" t="s">
        <v>52</v>
      </c>
      <c r="F539" s="208" t="s">
        <v>44</v>
      </c>
      <c r="G539" s="28"/>
      <c r="H539" s="215">
        <f>H540+H542</f>
        <v>6003.2685499999998</v>
      </c>
    </row>
    <row r="540" spans="1:8" ht="54" x14ac:dyDescent="0.35">
      <c r="A540" s="325"/>
      <c r="B540" s="507" t="s">
        <v>350</v>
      </c>
      <c r="C540" s="206" t="s">
        <v>41</v>
      </c>
      <c r="D540" s="207" t="s">
        <v>45</v>
      </c>
      <c r="E540" s="207" t="s">
        <v>52</v>
      </c>
      <c r="F540" s="208" t="s">
        <v>105</v>
      </c>
      <c r="G540" s="28"/>
      <c r="H540" s="215">
        <f>H541</f>
        <v>3649.7</v>
      </c>
    </row>
    <row r="541" spans="1:8" ht="36" x14ac:dyDescent="0.35">
      <c r="A541" s="325"/>
      <c r="B541" s="492" t="s">
        <v>55</v>
      </c>
      <c r="C541" s="206" t="s">
        <v>41</v>
      </c>
      <c r="D541" s="207" t="s">
        <v>45</v>
      </c>
      <c r="E541" s="207" t="s">
        <v>52</v>
      </c>
      <c r="F541" s="208" t="s">
        <v>105</v>
      </c>
      <c r="G541" s="28" t="s">
        <v>56</v>
      </c>
      <c r="H541" s="215">
        <f>'прил9 (ведом 23)'!M75</f>
        <v>3649.7</v>
      </c>
    </row>
    <row r="542" spans="1:8" ht="54" x14ac:dyDescent="0.35">
      <c r="A542" s="325"/>
      <c r="B542" s="492" t="s">
        <v>352</v>
      </c>
      <c r="C542" s="206" t="s">
        <v>41</v>
      </c>
      <c r="D542" s="207" t="s">
        <v>45</v>
      </c>
      <c r="E542" s="207" t="s">
        <v>52</v>
      </c>
      <c r="F542" s="208" t="s">
        <v>351</v>
      </c>
      <c r="G542" s="28"/>
      <c r="H542" s="215">
        <f>H543</f>
        <v>2353.56855</v>
      </c>
    </row>
    <row r="543" spans="1:8" ht="36" x14ac:dyDescent="0.35">
      <c r="A543" s="325"/>
      <c r="B543" s="492" t="s">
        <v>55</v>
      </c>
      <c r="C543" s="206" t="s">
        <v>41</v>
      </c>
      <c r="D543" s="207" t="s">
        <v>45</v>
      </c>
      <c r="E543" s="207" t="s">
        <v>52</v>
      </c>
      <c r="F543" s="208" t="s">
        <v>351</v>
      </c>
      <c r="G543" s="28" t="s">
        <v>56</v>
      </c>
      <c r="H543" s="215">
        <f>'прил9 (ведом 23)'!M77</f>
        <v>2353.56855</v>
      </c>
    </row>
    <row r="544" spans="1:8" ht="72" x14ac:dyDescent="0.35">
      <c r="A544" s="350"/>
      <c r="B544" s="515" t="s">
        <v>298</v>
      </c>
      <c r="C544" s="343" t="s">
        <v>41</v>
      </c>
      <c r="D544" s="351" t="s">
        <v>45</v>
      </c>
      <c r="E544" s="351" t="s">
        <v>81</v>
      </c>
      <c r="F544" s="361" t="s">
        <v>44</v>
      </c>
      <c r="G544" s="362"/>
      <c r="H544" s="215">
        <f>H545</f>
        <v>6577.4</v>
      </c>
    </row>
    <row r="545" spans="1:8" ht="36" x14ac:dyDescent="0.35">
      <c r="A545" s="350"/>
      <c r="B545" s="492" t="s">
        <v>461</v>
      </c>
      <c r="C545" s="343" t="s">
        <v>41</v>
      </c>
      <c r="D545" s="351" t="s">
        <v>45</v>
      </c>
      <c r="E545" s="351" t="s">
        <v>81</v>
      </c>
      <c r="F545" s="361" t="s">
        <v>91</v>
      </c>
      <c r="G545" s="362"/>
      <c r="H545" s="215">
        <f>SUM(H546:H547)</f>
        <v>6577.4</v>
      </c>
    </row>
    <row r="546" spans="1:8" ht="90" x14ac:dyDescent="0.35">
      <c r="A546" s="350"/>
      <c r="B546" s="515" t="s">
        <v>49</v>
      </c>
      <c r="C546" s="343" t="s">
        <v>41</v>
      </c>
      <c r="D546" s="351" t="s">
        <v>45</v>
      </c>
      <c r="E546" s="351" t="s">
        <v>81</v>
      </c>
      <c r="F546" s="361" t="s">
        <v>91</v>
      </c>
      <c r="G546" s="362" t="s">
        <v>50</v>
      </c>
      <c r="H546" s="215">
        <f>'прил9 (ведом 23)'!M404</f>
        <v>5728.3</v>
      </c>
    </row>
    <row r="547" spans="1:8" ht="36" x14ac:dyDescent="0.35">
      <c r="A547" s="350"/>
      <c r="B547" s="492" t="s">
        <v>55</v>
      </c>
      <c r="C547" s="343" t="s">
        <v>41</v>
      </c>
      <c r="D547" s="351" t="s">
        <v>45</v>
      </c>
      <c r="E547" s="351" t="s">
        <v>81</v>
      </c>
      <c r="F547" s="361" t="s">
        <v>91</v>
      </c>
      <c r="G547" s="362" t="s">
        <v>56</v>
      </c>
      <c r="H547" s="215">
        <f>'прил9 (ведом 23)'!M405</f>
        <v>849.09999999999991</v>
      </c>
    </row>
    <row r="548" spans="1:8" ht="36" x14ac:dyDescent="0.35">
      <c r="A548" s="350"/>
      <c r="B548" s="641" t="s">
        <v>776</v>
      </c>
      <c r="C548" s="689" t="s">
        <v>41</v>
      </c>
      <c r="D548" s="690" t="s">
        <v>45</v>
      </c>
      <c r="E548" s="690" t="s">
        <v>79</v>
      </c>
      <c r="F548" s="691" t="s">
        <v>44</v>
      </c>
      <c r="G548" s="362"/>
      <c r="H548" s="215">
        <f>H549</f>
        <v>6</v>
      </c>
    </row>
    <row r="549" spans="1:8" ht="18" x14ac:dyDescent="0.35">
      <c r="A549" s="350"/>
      <c r="B549" s="641" t="s">
        <v>777</v>
      </c>
      <c r="C549" s="689" t="s">
        <v>41</v>
      </c>
      <c r="D549" s="690" t="s">
        <v>45</v>
      </c>
      <c r="E549" s="690" t="s">
        <v>79</v>
      </c>
      <c r="F549" s="691" t="s">
        <v>778</v>
      </c>
      <c r="G549" s="10"/>
      <c r="H549" s="215">
        <f>H550</f>
        <v>6</v>
      </c>
    </row>
    <row r="550" spans="1:8" ht="36" x14ac:dyDescent="0.35">
      <c r="A550" s="350"/>
      <c r="B550" s="641" t="s">
        <v>774</v>
      </c>
      <c r="C550" s="689" t="s">
        <v>41</v>
      </c>
      <c r="D550" s="690" t="s">
        <v>45</v>
      </c>
      <c r="E550" s="690" t="s">
        <v>79</v>
      </c>
      <c r="F550" s="691" t="s">
        <v>778</v>
      </c>
      <c r="G550" s="10" t="s">
        <v>779</v>
      </c>
      <c r="H550" s="215">
        <f>'прил9 (ведом 23)'!M230</f>
        <v>6</v>
      </c>
    </row>
    <row r="551" spans="1:8" ht="36" x14ac:dyDescent="0.35">
      <c r="A551" s="350"/>
      <c r="B551" s="496" t="s">
        <v>329</v>
      </c>
      <c r="C551" s="689" t="s">
        <v>41</v>
      </c>
      <c r="D551" s="690" t="s">
        <v>45</v>
      </c>
      <c r="E551" s="690" t="s">
        <v>88</v>
      </c>
      <c r="F551" s="691" t="s">
        <v>44</v>
      </c>
      <c r="G551" s="362"/>
      <c r="H551" s="215">
        <f>H552+H554</f>
        <v>11643</v>
      </c>
    </row>
    <row r="552" spans="1:8" ht="36" x14ac:dyDescent="0.35">
      <c r="A552" s="350"/>
      <c r="B552" s="493" t="s">
        <v>534</v>
      </c>
      <c r="C552" s="206" t="s">
        <v>41</v>
      </c>
      <c r="D552" s="207" t="s">
        <v>45</v>
      </c>
      <c r="E552" s="207" t="s">
        <v>88</v>
      </c>
      <c r="F552" s="208" t="s">
        <v>533</v>
      </c>
      <c r="G552" s="28"/>
      <c r="H552" s="215">
        <f>H553</f>
        <v>1743</v>
      </c>
    </row>
    <row r="553" spans="1:8" ht="36" x14ac:dyDescent="0.35">
      <c r="A553" s="350"/>
      <c r="B553" s="493" t="s">
        <v>55</v>
      </c>
      <c r="C553" s="206" t="s">
        <v>41</v>
      </c>
      <c r="D553" s="207" t="s">
        <v>45</v>
      </c>
      <c r="E553" s="207" t="s">
        <v>88</v>
      </c>
      <c r="F553" s="208" t="s">
        <v>533</v>
      </c>
      <c r="G553" s="28" t="s">
        <v>56</v>
      </c>
      <c r="H553" s="215">
        <f>'прил9 (ведом 23)'!M170</f>
        <v>1743</v>
      </c>
    </row>
    <row r="554" spans="1:8" ht="54" x14ac:dyDescent="0.35">
      <c r="A554" s="350"/>
      <c r="B554" s="496" t="s">
        <v>711</v>
      </c>
      <c r="C554" s="689" t="s">
        <v>41</v>
      </c>
      <c r="D554" s="690" t="s">
        <v>45</v>
      </c>
      <c r="E554" s="690" t="s">
        <v>88</v>
      </c>
      <c r="F554" s="691" t="s">
        <v>710</v>
      </c>
      <c r="G554" s="10"/>
      <c r="H554" s="215">
        <f>H555</f>
        <v>9900</v>
      </c>
    </row>
    <row r="555" spans="1:8" ht="36" x14ac:dyDescent="0.35">
      <c r="A555" s="350"/>
      <c r="B555" s="496" t="s">
        <v>55</v>
      </c>
      <c r="C555" s="689" t="s">
        <v>41</v>
      </c>
      <c r="D555" s="690" t="s">
        <v>45</v>
      </c>
      <c r="E555" s="690" t="s">
        <v>88</v>
      </c>
      <c r="F555" s="691" t="s">
        <v>710</v>
      </c>
      <c r="G555" s="10" t="s">
        <v>56</v>
      </c>
      <c r="H555" s="215">
        <f>'прил9 (ведом 23)'!M172</f>
        <v>9900</v>
      </c>
    </row>
    <row r="556" spans="1:8" ht="18" x14ac:dyDescent="0.35">
      <c r="A556" s="350"/>
      <c r="B556" s="579" t="s">
        <v>372</v>
      </c>
      <c r="C556" s="689" t="s">
        <v>41</v>
      </c>
      <c r="D556" s="690" t="s">
        <v>45</v>
      </c>
      <c r="E556" s="690" t="s">
        <v>659</v>
      </c>
      <c r="F556" s="691" t="s">
        <v>44</v>
      </c>
      <c r="G556" s="28"/>
      <c r="H556" s="215">
        <f>H559+H557</f>
        <v>2976</v>
      </c>
    </row>
    <row r="557" spans="1:8" ht="36" x14ac:dyDescent="0.35">
      <c r="A557" s="350"/>
      <c r="B557" s="579" t="s">
        <v>370</v>
      </c>
      <c r="C557" s="689" t="s">
        <v>41</v>
      </c>
      <c r="D557" s="690" t="s">
        <v>45</v>
      </c>
      <c r="E557" s="690" t="s">
        <v>659</v>
      </c>
      <c r="F557" s="691" t="s">
        <v>369</v>
      </c>
      <c r="G557" s="10"/>
      <c r="H557" s="215">
        <f>H558</f>
        <v>1048.2</v>
      </c>
    </row>
    <row r="558" spans="1:8" ht="36" x14ac:dyDescent="0.35">
      <c r="A558" s="350"/>
      <c r="B558" s="579" t="s">
        <v>55</v>
      </c>
      <c r="C558" s="689" t="s">
        <v>41</v>
      </c>
      <c r="D558" s="690" t="s">
        <v>45</v>
      </c>
      <c r="E558" s="690" t="s">
        <v>659</v>
      </c>
      <c r="F558" s="691" t="s">
        <v>369</v>
      </c>
      <c r="G558" s="10" t="s">
        <v>56</v>
      </c>
      <c r="H558" s="215">
        <f>'прил9 (ведом 23)'!M175</f>
        <v>1048.2</v>
      </c>
    </row>
    <row r="559" spans="1:8" ht="36" x14ac:dyDescent="0.35">
      <c r="A559" s="350"/>
      <c r="B559" s="579" t="s">
        <v>335</v>
      </c>
      <c r="C559" s="689" t="s">
        <v>41</v>
      </c>
      <c r="D559" s="690" t="s">
        <v>45</v>
      </c>
      <c r="E559" s="690" t="s">
        <v>659</v>
      </c>
      <c r="F559" s="691" t="s">
        <v>334</v>
      </c>
      <c r="G559" s="28"/>
      <c r="H559" s="215">
        <f>H560</f>
        <v>1927.7999999999997</v>
      </c>
    </row>
    <row r="560" spans="1:8" ht="18" x14ac:dyDescent="0.35">
      <c r="A560" s="350"/>
      <c r="B560" s="496" t="s">
        <v>57</v>
      </c>
      <c r="C560" s="689" t="s">
        <v>41</v>
      </c>
      <c r="D560" s="690" t="s">
        <v>45</v>
      </c>
      <c r="E560" s="690" t="s">
        <v>659</v>
      </c>
      <c r="F560" s="691" t="s">
        <v>334</v>
      </c>
      <c r="G560" s="28" t="s">
        <v>58</v>
      </c>
      <c r="H560" s="215">
        <f>'прил9 (ведом 23)'!M80</f>
        <v>1927.7999999999997</v>
      </c>
    </row>
    <row r="561" spans="1:8" ht="90" x14ac:dyDescent="0.35">
      <c r="A561" s="350"/>
      <c r="B561" s="496" t="s">
        <v>590</v>
      </c>
      <c r="C561" s="689" t="s">
        <v>41</v>
      </c>
      <c r="D561" s="690" t="s">
        <v>45</v>
      </c>
      <c r="E561" s="690" t="s">
        <v>580</v>
      </c>
      <c r="F561" s="691" t="s">
        <v>44</v>
      </c>
      <c r="G561" s="10"/>
      <c r="H561" s="215">
        <f>H562+H566</f>
        <v>42752.80999999999</v>
      </c>
    </row>
    <row r="562" spans="1:8" ht="36" x14ac:dyDescent="0.35">
      <c r="A562" s="350"/>
      <c r="B562" s="529" t="s">
        <v>461</v>
      </c>
      <c r="C562" s="689" t="s">
        <v>41</v>
      </c>
      <c r="D562" s="690" t="s">
        <v>45</v>
      </c>
      <c r="E562" s="690" t="s">
        <v>580</v>
      </c>
      <c r="F562" s="691" t="s">
        <v>91</v>
      </c>
      <c r="G562" s="10"/>
      <c r="H562" s="215">
        <f>SUM(H563:H565)</f>
        <v>41345.609999999993</v>
      </c>
    </row>
    <row r="563" spans="1:8" ht="90" x14ac:dyDescent="0.35">
      <c r="A563" s="350"/>
      <c r="B563" s="496" t="s">
        <v>49</v>
      </c>
      <c r="C563" s="689" t="s">
        <v>41</v>
      </c>
      <c r="D563" s="690" t="s">
        <v>45</v>
      </c>
      <c r="E563" s="690" t="s">
        <v>580</v>
      </c>
      <c r="F563" s="691" t="s">
        <v>91</v>
      </c>
      <c r="G563" s="10" t="s">
        <v>50</v>
      </c>
      <c r="H563" s="215">
        <f>'прил9 (ведом 23)'!M83</f>
        <v>29044.3</v>
      </c>
    </row>
    <row r="564" spans="1:8" ht="36" x14ac:dyDescent="0.35">
      <c r="A564" s="350"/>
      <c r="B564" s="496" t="s">
        <v>55</v>
      </c>
      <c r="C564" s="689" t="s">
        <v>41</v>
      </c>
      <c r="D564" s="690" t="s">
        <v>45</v>
      </c>
      <c r="E564" s="690" t="s">
        <v>580</v>
      </c>
      <c r="F564" s="691" t="s">
        <v>91</v>
      </c>
      <c r="G564" s="10" t="s">
        <v>56</v>
      </c>
      <c r="H564" s="215">
        <f>'прил9 (ведом 23)'!M84</f>
        <v>12229.109999999999</v>
      </c>
    </row>
    <row r="565" spans="1:8" ht="18" x14ac:dyDescent="0.35">
      <c r="A565" s="350"/>
      <c r="B565" s="496" t="s">
        <v>57</v>
      </c>
      <c r="C565" s="689" t="s">
        <v>41</v>
      </c>
      <c r="D565" s="690" t="s">
        <v>45</v>
      </c>
      <c r="E565" s="690" t="s">
        <v>580</v>
      </c>
      <c r="F565" s="691" t="s">
        <v>91</v>
      </c>
      <c r="G565" s="10" t="s">
        <v>58</v>
      </c>
      <c r="H565" s="215">
        <f>'прил9 (ведом 23)'!M85</f>
        <v>72.2</v>
      </c>
    </row>
    <row r="566" spans="1:8" ht="18" x14ac:dyDescent="0.35">
      <c r="A566" s="350"/>
      <c r="B566" s="496" t="s">
        <v>462</v>
      </c>
      <c r="C566" s="689" t="s">
        <v>41</v>
      </c>
      <c r="D566" s="690" t="s">
        <v>45</v>
      </c>
      <c r="E566" s="690" t="s">
        <v>580</v>
      </c>
      <c r="F566" s="691" t="s">
        <v>379</v>
      </c>
      <c r="G566" s="10"/>
      <c r="H566" s="215">
        <f>H567</f>
        <v>1407.1999999999998</v>
      </c>
    </row>
    <row r="567" spans="1:8" ht="36" x14ac:dyDescent="0.35">
      <c r="A567" s="350"/>
      <c r="B567" s="496" t="s">
        <v>55</v>
      </c>
      <c r="C567" s="689" t="s">
        <v>41</v>
      </c>
      <c r="D567" s="690" t="s">
        <v>45</v>
      </c>
      <c r="E567" s="690" t="s">
        <v>580</v>
      </c>
      <c r="F567" s="691" t="s">
        <v>379</v>
      </c>
      <c r="G567" s="10" t="s">
        <v>56</v>
      </c>
      <c r="H567" s="215">
        <f>'прил9 (ведом 23)'!M87</f>
        <v>1407.1999999999998</v>
      </c>
    </row>
    <row r="568" spans="1:8" ht="18" x14ac:dyDescent="0.35">
      <c r="A568" s="350"/>
      <c r="B568" s="492"/>
      <c r="C568" s="207"/>
      <c r="D568" s="207"/>
      <c r="E568" s="207"/>
      <c r="F568" s="208"/>
      <c r="G568" s="28"/>
      <c r="H568" s="215"/>
    </row>
    <row r="569" spans="1:8" ht="34.799999999999997" x14ac:dyDescent="0.3">
      <c r="A569" s="340">
        <v>16</v>
      </c>
      <c r="B569" s="530" t="s">
        <v>130</v>
      </c>
      <c r="C569" s="341" t="s">
        <v>131</v>
      </c>
      <c r="D569" s="341" t="s">
        <v>42</v>
      </c>
      <c r="E569" s="341" t="s">
        <v>43</v>
      </c>
      <c r="F569" s="341" t="s">
        <v>44</v>
      </c>
      <c r="G569" s="334"/>
      <c r="H569" s="252">
        <f>H570</f>
        <v>6829.7999999999984</v>
      </c>
    </row>
    <row r="570" spans="1:8" ht="36" x14ac:dyDescent="0.35">
      <c r="A570" s="325"/>
      <c r="B570" s="531" t="s">
        <v>132</v>
      </c>
      <c r="C570" s="206" t="s">
        <v>131</v>
      </c>
      <c r="D570" s="207" t="s">
        <v>45</v>
      </c>
      <c r="E570" s="207" t="s">
        <v>43</v>
      </c>
      <c r="F570" s="208" t="s">
        <v>44</v>
      </c>
      <c r="G570" s="28"/>
      <c r="H570" s="215">
        <f>H571+H577+H575</f>
        <v>6829.7999999999984</v>
      </c>
    </row>
    <row r="571" spans="1:8" ht="36" x14ac:dyDescent="0.35">
      <c r="A571" s="325"/>
      <c r="B571" s="492" t="s">
        <v>47</v>
      </c>
      <c r="C571" s="206" t="s">
        <v>131</v>
      </c>
      <c r="D571" s="207" t="s">
        <v>45</v>
      </c>
      <c r="E571" s="207" t="s">
        <v>43</v>
      </c>
      <c r="F571" s="208" t="s">
        <v>48</v>
      </c>
      <c r="G571" s="28"/>
      <c r="H571" s="215">
        <f>H572+H573+H574</f>
        <v>5667.7069999999985</v>
      </c>
    </row>
    <row r="572" spans="1:8" ht="90" x14ac:dyDescent="0.35">
      <c r="A572" s="325"/>
      <c r="B572" s="508" t="s">
        <v>49</v>
      </c>
      <c r="C572" s="206" t="s">
        <v>131</v>
      </c>
      <c r="D572" s="207" t="s">
        <v>45</v>
      </c>
      <c r="E572" s="207" t="s">
        <v>43</v>
      </c>
      <c r="F572" s="208" t="s">
        <v>48</v>
      </c>
      <c r="G572" s="28" t="s">
        <v>50</v>
      </c>
      <c r="H572" s="215">
        <f>'прил9 (ведом 23)'!M346</f>
        <v>5302.7826999999988</v>
      </c>
    </row>
    <row r="573" spans="1:8" ht="36" x14ac:dyDescent="0.35">
      <c r="A573" s="325"/>
      <c r="B573" s="492" t="s">
        <v>55</v>
      </c>
      <c r="C573" s="206" t="s">
        <v>131</v>
      </c>
      <c r="D573" s="207" t="s">
        <v>45</v>
      </c>
      <c r="E573" s="207" t="s">
        <v>43</v>
      </c>
      <c r="F573" s="208" t="s">
        <v>48</v>
      </c>
      <c r="G573" s="28" t="s">
        <v>56</v>
      </c>
      <c r="H573" s="215">
        <f>'прил9 (ведом 23)'!M347</f>
        <v>345.92430000000002</v>
      </c>
    </row>
    <row r="574" spans="1:8" ht="18" x14ac:dyDescent="0.35">
      <c r="A574" s="325"/>
      <c r="B574" s="492" t="s">
        <v>57</v>
      </c>
      <c r="C574" s="206" t="s">
        <v>131</v>
      </c>
      <c r="D574" s="207" t="s">
        <v>45</v>
      </c>
      <c r="E574" s="207" t="s">
        <v>43</v>
      </c>
      <c r="F574" s="208" t="s">
        <v>48</v>
      </c>
      <c r="G574" s="28" t="s">
        <v>58</v>
      </c>
      <c r="H574" s="215">
        <f>'прил9 (ведом 23)'!M348</f>
        <v>19</v>
      </c>
    </row>
    <row r="575" spans="1:8" ht="36" x14ac:dyDescent="0.35">
      <c r="A575" s="325"/>
      <c r="B575" s="493" t="s">
        <v>529</v>
      </c>
      <c r="C575" s="689" t="s">
        <v>131</v>
      </c>
      <c r="D575" s="690" t="s">
        <v>45</v>
      </c>
      <c r="E575" s="690" t="s">
        <v>43</v>
      </c>
      <c r="F575" s="690" t="s">
        <v>528</v>
      </c>
      <c r="G575" s="10"/>
      <c r="H575" s="215">
        <f>H576</f>
        <v>39.893000000000001</v>
      </c>
    </row>
    <row r="576" spans="1:8" ht="36" x14ac:dyDescent="0.35">
      <c r="A576" s="325"/>
      <c r="B576" s="493" t="s">
        <v>55</v>
      </c>
      <c r="C576" s="689" t="s">
        <v>131</v>
      </c>
      <c r="D576" s="690" t="s">
        <v>45</v>
      </c>
      <c r="E576" s="690" t="s">
        <v>43</v>
      </c>
      <c r="F576" s="690" t="s">
        <v>528</v>
      </c>
      <c r="G576" s="482" t="s">
        <v>56</v>
      </c>
      <c r="H576" s="215">
        <f>'прил9 (ведом 23)'!M356</f>
        <v>39.893000000000001</v>
      </c>
    </row>
    <row r="577" spans="1:8" ht="36" x14ac:dyDescent="0.35">
      <c r="A577" s="325"/>
      <c r="B577" s="492" t="s">
        <v>236</v>
      </c>
      <c r="C577" s="206" t="s">
        <v>131</v>
      </c>
      <c r="D577" s="207" t="s">
        <v>45</v>
      </c>
      <c r="E577" s="207" t="s">
        <v>43</v>
      </c>
      <c r="F577" s="208" t="s">
        <v>133</v>
      </c>
      <c r="G577" s="28"/>
      <c r="H577" s="215">
        <f>SUM(H578:H578)</f>
        <v>1122.2</v>
      </c>
    </row>
    <row r="578" spans="1:8" ht="90" x14ac:dyDescent="0.35">
      <c r="A578" s="325"/>
      <c r="B578" s="492" t="s">
        <v>49</v>
      </c>
      <c r="C578" s="206" t="s">
        <v>131</v>
      </c>
      <c r="D578" s="207" t="s">
        <v>45</v>
      </c>
      <c r="E578" s="207" t="s">
        <v>43</v>
      </c>
      <c r="F578" s="208" t="s">
        <v>133</v>
      </c>
      <c r="G578" s="28" t="s">
        <v>50</v>
      </c>
      <c r="H578" s="215">
        <f>'прил9 (ведом 23)'!M350</f>
        <v>1122.2</v>
      </c>
    </row>
    <row r="579" spans="1:8" ht="18" x14ac:dyDescent="0.35">
      <c r="A579" s="325"/>
      <c r="B579" s="493"/>
      <c r="C579" s="690"/>
      <c r="D579" s="690"/>
      <c r="E579" s="690"/>
      <c r="F579" s="690"/>
      <c r="G579" s="482"/>
      <c r="H579" s="215"/>
    </row>
    <row r="580" spans="1:8" ht="87.6" x14ac:dyDescent="0.35">
      <c r="A580" s="340">
        <v>17</v>
      </c>
      <c r="B580" s="639" t="s">
        <v>666</v>
      </c>
      <c r="C580" s="384" t="s">
        <v>667</v>
      </c>
      <c r="D580" s="385" t="s">
        <v>42</v>
      </c>
      <c r="E580" s="385" t="s">
        <v>43</v>
      </c>
      <c r="F580" s="386" t="s">
        <v>44</v>
      </c>
      <c r="G580" s="236"/>
      <c r="H580" s="252">
        <f>H581+H585</f>
        <v>42258.960079999997</v>
      </c>
    </row>
    <row r="581" spans="1:8" ht="90" x14ac:dyDescent="0.35">
      <c r="A581" s="340"/>
      <c r="B581" s="641" t="s">
        <v>785</v>
      </c>
      <c r="C581" s="689" t="s">
        <v>667</v>
      </c>
      <c r="D581" s="690" t="s">
        <v>45</v>
      </c>
      <c r="E581" s="690" t="s">
        <v>43</v>
      </c>
      <c r="F581" s="691" t="s">
        <v>44</v>
      </c>
      <c r="G581" s="79"/>
      <c r="H581" s="755">
        <f>H582</f>
        <v>8259.6880799999999</v>
      </c>
    </row>
    <row r="582" spans="1:8" ht="36" x14ac:dyDescent="0.35">
      <c r="A582" s="340"/>
      <c r="B582" s="641" t="s">
        <v>786</v>
      </c>
      <c r="C582" s="689" t="s">
        <v>667</v>
      </c>
      <c r="D582" s="690" t="s">
        <v>45</v>
      </c>
      <c r="E582" s="690" t="s">
        <v>37</v>
      </c>
      <c r="F582" s="691" t="s">
        <v>44</v>
      </c>
      <c r="G582" s="79"/>
      <c r="H582" s="755">
        <f>H583</f>
        <v>8259.6880799999999</v>
      </c>
    </row>
    <row r="583" spans="1:8" ht="36" x14ac:dyDescent="0.35">
      <c r="A583" s="340"/>
      <c r="B583" s="641" t="s">
        <v>707</v>
      </c>
      <c r="C583" s="689" t="s">
        <v>667</v>
      </c>
      <c r="D583" s="690" t="s">
        <v>45</v>
      </c>
      <c r="E583" s="690" t="s">
        <v>37</v>
      </c>
      <c r="F583" s="691" t="s">
        <v>787</v>
      </c>
      <c r="G583" s="10"/>
      <c r="H583" s="755">
        <f>H584</f>
        <v>8259.6880799999999</v>
      </c>
    </row>
    <row r="584" spans="1:8" ht="18" x14ac:dyDescent="0.35">
      <c r="A584" s="340"/>
      <c r="B584" s="641" t="s">
        <v>120</v>
      </c>
      <c r="C584" s="689" t="s">
        <v>667</v>
      </c>
      <c r="D584" s="690" t="s">
        <v>45</v>
      </c>
      <c r="E584" s="690" t="s">
        <v>37</v>
      </c>
      <c r="F584" s="691" t="s">
        <v>787</v>
      </c>
      <c r="G584" s="10" t="s">
        <v>121</v>
      </c>
      <c r="H584" s="755">
        <f>'прил9 (ведом 23)'!M217</f>
        <v>8259.6880799999999</v>
      </c>
    </row>
    <row r="585" spans="1:8" ht="90" x14ac:dyDescent="0.35">
      <c r="A585" s="325"/>
      <c r="B585" s="640" t="s">
        <v>668</v>
      </c>
      <c r="C585" s="206" t="s">
        <v>667</v>
      </c>
      <c r="D585" s="207" t="s">
        <v>89</v>
      </c>
      <c r="E585" s="207" t="s">
        <v>43</v>
      </c>
      <c r="F585" s="208" t="s">
        <v>44</v>
      </c>
      <c r="G585" s="28"/>
      <c r="H585" s="215">
        <f>H586+H589+H592+H595+H598+H601+H604+H607+H610+H615+H618+H621+H624+H627+H630+H633+H636+H639+H642</f>
        <v>33999.271999999997</v>
      </c>
    </row>
    <row r="586" spans="1:8" ht="108" x14ac:dyDescent="0.35">
      <c r="A586" s="325"/>
      <c r="B586" s="640" t="s">
        <v>671</v>
      </c>
      <c r="C586" s="206" t="s">
        <v>667</v>
      </c>
      <c r="D586" s="207" t="s">
        <v>89</v>
      </c>
      <c r="E586" s="207" t="s">
        <v>37</v>
      </c>
      <c r="F586" s="208" t="s">
        <v>44</v>
      </c>
      <c r="G586" s="28"/>
      <c r="H586" s="215">
        <f>H587</f>
        <v>11752.900000000001</v>
      </c>
    </row>
    <row r="587" spans="1:8" ht="72" x14ac:dyDescent="0.35">
      <c r="A587" s="325"/>
      <c r="B587" s="640" t="s">
        <v>670</v>
      </c>
      <c r="C587" s="206" t="s">
        <v>667</v>
      </c>
      <c r="D587" s="207" t="s">
        <v>89</v>
      </c>
      <c r="E587" s="207" t="s">
        <v>37</v>
      </c>
      <c r="F587" s="208" t="s">
        <v>669</v>
      </c>
      <c r="G587" s="28"/>
      <c r="H587" s="215">
        <f>H588</f>
        <v>11752.900000000001</v>
      </c>
    </row>
    <row r="588" spans="1:8" ht="18" x14ac:dyDescent="0.35">
      <c r="A588" s="325"/>
      <c r="B588" s="640" t="s">
        <v>123</v>
      </c>
      <c r="C588" s="206" t="s">
        <v>667</v>
      </c>
      <c r="D588" s="207" t="s">
        <v>89</v>
      </c>
      <c r="E588" s="207" t="s">
        <v>37</v>
      </c>
      <c r="F588" s="208" t="s">
        <v>669</v>
      </c>
      <c r="G588" s="28" t="s">
        <v>124</v>
      </c>
      <c r="H588" s="215">
        <f>'прил9 (ведом 23)'!M237</f>
        <v>11752.900000000001</v>
      </c>
    </row>
    <row r="589" spans="1:8" ht="54" x14ac:dyDescent="0.35">
      <c r="A589" s="325"/>
      <c r="B589" s="640" t="s">
        <v>694</v>
      </c>
      <c r="C589" s="207" t="s">
        <v>667</v>
      </c>
      <c r="D589" s="207" t="s">
        <v>89</v>
      </c>
      <c r="E589" s="207" t="s">
        <v>39</v>
      </c>
      <c r="F589" s="207" t="s">
        <v>44</v>
      </c>
      <c r="G589" s="28"/>
      <c r="H589" s="215">
        <f>H590</f>
        <v>2699</v>
      </c>
    </row>
    <row r="590" spans="1:8" ht="72" x14ac:dyDescent="0.35">
      <c r="A590" s="325"/>
      <c r="B590" s="640" t="s">
        <v>670</v>
      </c>
      <c r="C590" s="207" t="s">
        <v>667</v>
      </c>
      <c r="D590" s="207" t="s">
        <v>89</v>
      </c>
      <c r="E590" s="207" t="s">
        <v>39</v>
      </c>
      <c r="F590" s="207" t="s">
        <v>669</v>
      </c>
      <c r="G590" s="28"/>
      <c r="H590" s="215">
        <f>H591</f>
        <v>2699</v>
      </c>
    </row>
    <row r="591" spans="1:8" ht="18" x14ac:dyDescent="0.35">
      <c r="A591" s="325"/>
      <c r="B591" s="640" t="s">
        <v>123</v>
      </c>
      <c r="C591" s="207" t="s">
        <v>667</v>
      </c>
      <c r="D591" s="207" t="s">
        <v>89</v>
      </c>
      <c r="E591" s="207" t="s">
        <v>39</v>
      </c>
      <c r="F591" s="207" t="s">
        <v>669</v>
      </c>
      <c r="G591" s="28" t="s">
        <v>124</v>
      </c>
      <c r="H591" s="215">
        <f>'прил9 (ведом 23)'!M240</f>
        <v>2699</v>
      </c>
    </row>
    <row r="592" spans="1:8" ht="108" x14ac:dyDescent="0.35">
      <c r="A592" s="325"/>
      <c r="B592" s="496" t="s">
        <v>705</v>
      </c>
      <c r="C592" s="689" t="s">
        <v>667</v>
      </c>
      <c r="D592" s="690" t="s">
        <v>89</v>
      </c>
      <c r="E592" s="690" t="s">
        <v>63</v>
      </c>
      <c r="F592" s="691" t="s">
        <v>44</v>
      </c>
      <c r="G592" s="266"/>
      <c r="H592" s="215">
        <f>H593</f>
        <v>250</v>
      </c>
    </row>
    <row r="593" spans="1:8" ht="72" x14ac:dyDescent="0.35">
      <c r="A593" s="325"/>
      <c r="B593" s="641" t="s">
        <v>670</v>
      </c>
      <c r="C593" s="689" t="s">
        <v>667</v>
      </c>
      <c r="D593" s="690" t="s">
        <v>89</v>
      </c>
      <c r="E593" s="690" t="s">
        <v>63</v>
      </c>
      <c r="F593" s="691" t="s">
        <v>669</v>
      </c>
      <c r="G593" s="266"/>
      <c r="H593" s="215">
        <f>H594</f>
        <v>250</v>
      </c>
    </row>
    <row r="594" spans="1:8" ht="18" x14ac:dyDescent="0.35">
      <c r="A594" s="325"/>
      <c r="B594" s="496" t="s">
        <v>123</v>
      </c>
      <c r="C594" s="689" t="s">
        <v>667</v>
      </c>
      <c r="D594" s="690" t="s">
        <v>89</v>
      </c>
      <c r="E594" s="690" t="s">
        <v>63</v>
      </c>
      <c r="F594" s="691" t="s">
        <v>669</v>
      </c>
      <c r="G594" s="266">
        <v>500</v>
      </c>
      <c r="H594" s="215">
        <f>'прил9 (ведом 23)'!M243</f>
        <v>250</v>
      </c>
    </row>
    <row r="595" spans="1:8" ht="90" x14ac:dyDescent="0.35">
      <c r="A595" s="325"/>
      <c r="B595" s="496" t="s">
        <v>708</v>
      </c>
      <c r="C595" s="689" t="s">
        <v>667</v>
      </c>
      <c r="D595" s="690" t="s">
        <v>89</v>
      </c>
      <c r="E595" s="690" t="s">
        <v>52</v>
      </c>
      <c r="F595" s="691" t="s">
        <v>44</v>
      </c>
      <c r="G595" s="266"/>
      <c r="H595" s="215">
        <f>H596</f>
        <v>5950</v>
      </c>
    </row>
    <row r="596" spans="1:8" ht="72" x14ac:dyDescent="0.35">
      <c r="A596" s="325"/>
      <c r="B596" s="641" t="s">
        <v>670</v>
      </c>
      <c r="C596" s="689" t="s">
        <v>667</v>
      </c>
      <c r="D596" s="690" t="s">
        <v>89</v>
      </c>
      <c r="E596" s="690" t="s">
        <v>52</v>
      </c>
      <c r="F596" s="691" t="s">
        <v>669</v>
      </c>
      <c r="G596" s="266"/>
      <c r="H596" s="215">
        <f>H597</f>
        <v>5950</v>
      </c>
    </row>
    <row r="597" spans="1:8" ht="18" x14ac:dyDescent="0.35">
      <c r="A597" s="325"/>
      <c r="B597" s="496" t="s">
        <v>123</v>
      </c>
      <c r="C597" s="689" t="s">
        <v>667</v>
      </c>
      <c r="D597" s="690" t="s">
        <v>89</v>
      </c>
      <c r="E597" s="690" t="s">
        <v>52</v>
      </c>
      <c r="F597" s="691" t="s">
        <v>669</v>
      </c>
      <c r="G597" s="266">
        <v>500</v>
      </c>
      <c r="H597" s="215">
        <f>'прил9 (ведом 23)'!M246</f>
        <v>5950</v>
      </c>
    </row>
    <row r="598" spans="1:8" ht="72" x14ac:dyDescent="0.35">
      <c r="A598" s="325"/>
      <c r="B598" s="496" t="s">
        <v>721</v>
      </c>
      <c r="C598" s="689" t="s">
        <v>667</v>
      </c>
      <c r="D598" s="690" t="s">
        <v>89</v>
      </c>
      <c r="E598" s="690" t="s">
        <v>65</v>
      </c>
      <c r="F598" s="691" t="s">
        <v>44</v>
      </c>
      <c r="G598" s="266"/>
      <c r="H598" s="215">
        <f>H599</f>
        <v>590</v>
      </c>
    </row>
    <row r="599" spans="1:8" ht="72" x14ac:dyDescent="0.35">
      <c r="A599" s="325"/>
      <c r="B599" s="641" t="s">
        <v>670</v>
      </c>
      <c r="C599" s="689" t="s">
        <v>667</v>
      </c>
      <c r="D599" s="690" t="s">
        <v>89</v>
      </c>
      <c r="E599" s="690" t="s">
        <v>65</v>
      </c>
      <c r="F599" s="691" t="s">
        <v>669</v>
      </c>
      <c r="G599" s="266"/>
      <c r="H599" s="215">
        <f>H600</f>
        <v>590</v>
      </c>
    </row>
    <row r="600" spans="1:8" ht="18" x14ac:dyDescent="0.35">
      <c r="A600" s="325"/>
      <c r="B600" s="496" t="s">
        <v>123</v>
      </c>
      <c r="C600" s="689" t="s">
        <v>667</v>
      </c>
      <c r="D600" s="690" t="s">
        <v>89</v>
      </c>
      <c r="E600" s="690" t="s">
        <v>65</v>
      </c>
      <c r="F600" s="691" t="s">
        <v>669</v>
      </c>
      <c r="G600" s="266">
        <v>500</v>
      </c>
      <c r="H600" s="215">
        <f>'прил9 (ведом 23)'!M249</f>
        <v>590</v>
      </c>
    </row>
    <row r="601" spans="1:8" ht="72" x14ac:dyDescent="0.35">
      <c r="A601" s="325"/>
      <c r="B601" s="551" t="s">
        <v>720</v>
      </c>
      <c r="C601" s="689" t="s">
        <v>667</v>
      </c>
      <c r="D601" s="690" t="s">
        <v>89</v>
      </c>
      <c r="E601" s="690" t="s">
        <v>81</v>
      </c>
      <c r="F601" s="691" t="s">
        <v>44</v>
      </c>
      <c r="G601" s="266"/>
      <c r="H601" s="215">
        <f>H602</f>
        <v>614.27200000000005</v>
      </c>
    </row>
    <row r="602" spans="1:8" ht="36" x14ac:dyDescent="0.35">
      <c r="A602" s="325"/>
      <c r="B602" s="551" t="s">
        <v>442</v>
      </c>
      <c r="C602" s="689" t="s">
        <v>667</v>
      </c>
      <c r="D602" s="690" t="s">
        <v>89</v>
      </c>
      <c r="E602" s="690" t="s">
        <v>81</v>
      </c>
      <c r="F602" s="691" t="s">
        <v>69</v>
      </c>
      <c r="G602" s="266"/>
      <c r="H602" s="215">
        <f>H603</f>
        <v>614.27200000000005</v>
      </c>
    </row>
    <row r="603" spans="1:8" ht="36" x14ac:dyDescent="0.35">
      <c r="A603" s="325"/>
      <c r="B603" s="551" t="s">
        <v>55</v>
      </c>
      <c r="C603" s="689" t="s">
        <v>667</v>
      </c>
      <c r="D603" s="690" t="s">
        <v>89</v>
      </c>
      <c r="E603" s="690" t="s">
        <v>81</v>
      </c>
      <c r="F603" s="691" t="s">
        <v>69</v>
      </c>
      <c r="G603" s="266">
        <v>200</v>
      </c>
      <c r="H603" s="215">
        <f>'прил9 (ведом 23)'!M410</f>
        <v>614.27200000000005</v>
      </c>
    </row>
    <row r="604" spans="1:8" ht="72" x14ac:dyDescent="0.35">
      <c r="A604" s="325"/>
      <c r="B604" s="496" t="s">
        <v>727</v>
      </c>
      <c r="C604" s="689" t="s">
        <v>667</v>
      </c>
      <c r="D604" s="690" t="s">
        <v>89</v>
      </c>
      <c r="E604" s="690" t="s">
        <v>224</v>
      </c>
      <c r="F604" s="691" t="s">
        <v>44</v>
      </c>
      <c r="G604" s="266"/>
      <c r="H604" s="215">
        <f>H605</f>
        <v>569.1</v>
      </c>
    </row>
    <row r="605" spans="1:8" ht="72" x14ac:dyDescent="0.35">
      <c r="A605" s="325"/>
      <c r="B605" s="641" t="s">
        <v>670</v>
      </c>
      <c r="C605" s="689" t="s">
        <v>667</v>
      </c>
      <c r="D605" s="690" t="s">
        <v>89</v>
      </c>
      <c r="E605" s="690" t="s">
        <v>224</v>
      </c>
      <c r="F605" s="691" t="s">
        <v>669</v>
      </c>
      <c r="G605" s="266"/>
      <c r="H605" s="215">
        <f>H606</f>
        <v>569.1</v>
      </c>
    </row>
    <row r="606" spans="1:8" ht="18" x14ac:dyDescent="0.35">
      <c r="A606" s="325"/>
      <c r="B606" s="496" t="s">
        <v>123</v>
      </c>
      <c r="C606" s="689" t="s">
        <v>667</v>
      </c>
      <c r="D606" s="690" t="s">
        <v>89</v>
      </c>
      <c r="E606" s="690" t="s">
        <v>224</v>
      </c>
      <c r="F606" s="691" t="s">
        <v>669</v>
      </c>
      <c r="G606" s="266">
        <v>500</v>
      </c>
      <c r="H606" s="215">
        <f>'прил9 (ведом 23)'!M252</f>
        <v>569.1</v>
      </c>
    </row>
    <row r="607" spans="1:8" ht="54" x14ac:dyDescent="0.35">
      <c r="A607" s="325"/>
      <c r="B607" s="496" t="s">
        <v>731</v>
      </c>
      <c r="C607" s="689" t="s">
        <v>667</v>
      </c>
      <c r="D607" s="690" t="s">
        <v>89</v>
      </c>
      <c r="E607" s="690" t="s">
        <v>226</v>
      </c>
      <c r="F607" s="691" t="s">
        <v>44</v>
      </c>
      <c r="G607" s="266"/>
      <c r="H607" s="215">
        <f>H608</f>
        <v>245</v>
      </c>
    </row>
    <row r="608" spans="1:8" ht="72" x14ac:dyDescent="0.35">
      <c r="A608" s="325"/>
      <c r="B608" s="641" t="s">
        <v>670</v>
      </c>
      <c r="C608" s="689" t="s">
        <v>667</v>
      </c>
      <c r="D608" s="690" t="s">
        <v>89</v>
      </c>
      <c r="E608" s="690" t="s">
        <v>226</v>
      </c>
      <c r="F608" s="691" t="s">
        <v>669</v>
      </c>
      <c r="G608" s="266"/>
      <c r="H608" s="215">
        <f>H609</f>
        <v>245</v>
      </c>
    </row>
    <row r="609" spans="1:8" ht="18" x14ac:dyDescent="0.35">
      <c r="A609" s="325"/>
      <c r="B609" s="496" t="s">
        <v>123</v>
      </c>
      <c r="C609" s="689" t="s">
        <v>667</v>
      </c>
      <c r="D609" s="690" t="s">
        <v>89</v>
      </c>
      <c r="E609" s="690" t="s">
        <v>226</v>
      </c>
      <c r="F609" s="691" t="s">
        <v>669</v>
      </c>
      <c r="G609" s="266">
        <v>500</v>
      </c>
      <c r="H609" s="215">
        <f>'прил9 (ведом 23)'!M255</f>
        <v>245</v>
      </c>
    </row>
    <row r="610" spans="1:8" ht="72" x14ac:dyDescent="0.35">
      <c r="A610" s="325"/>
      <c r="B610" s="496" t="s">
        <v>732</v>
      </c>
      <c r="C610" s="689" t="s">
        <v>667</v>
      </c>
      <c r="D610" s="690" t="s">
        <v>89</v>
      </c>
      <c r="E610" s="690" t="s">
        <v>79</v>
      </c>
      <c r="F610" s="691" t="s">
        <v>44</v>
      </c>
      <c r="G610" s="266"/>
      <c r="H610" s="215">
        <f>H611</f>
        <v>530</v>
      </c>
    </row>
    <row r="611" spans="1:8" ht="72" x14ac:dyDescent="0.35">
      <c r="A611" s="325"/>
      <c r="B611" s="641" t="s">
        <v>670</v>
      </c>
      <c r="C611" s="689" t="s">
        <v>667</v>
      </c>
      <c r="D611" s="690" t="s">
        <v>89</v>
      </c>
      <c r="E611" s="690" t="s">
        <v>79</v>
      </c>
      <c r="F611" s="691" t="s">
        <v>669</v>
      </c>
      <c r="G611" s="266"/>
      <c r="H611" s="215">
        <f>H612</f>
        <v>530</v>
      </c>
    </row>
    <row r="612" spans="1:8" ht="18" x14ac:dyDescent="0.35">
      <c r="A612" s="325"/>
      <c r="B612" s="496" t="s">
        <v>123</v>
      </c>
      <c r="C612" s="689" t="s">
        <v>667</v>
      </c>
      <c r="D612" s="690" t="s">
        <v>89</v>
      </c>
      <c r="E612" s="690" t="s">
        <v>79</v>
      </c>
      <c r="F612" s="691" t="s">
        <v>669</v>
      </c>
      <c r="G612" s="266">
        <v>500</v>
      </c>
      <c r="H612" s="215">
        <f>'прил9 (ведом 23)'!M258</f>
        <v>530</v>
      </c>
    </row>
    <row r="613" spans="1:8" ht="54" x14ac:dyDescent="0.35">
      <c r="A613" s="325"/>
      <c r="B613" s="496" t="s">
        <v>735</v>
      </c>
      <c r="C613" s="689" t="s">
        <v>667</v>
      </c>
      <c r="D613" s="690" t="s">
        <v>89</v>
      </c>
      <c r="E613" s="690" t="s">
        <v>104</v>
      </c>
      <c r="F613" s="691" t="s">
        <v>44</v>
      </c>
      <c r="G613" s="266"/>
      <c r="H613" s="215">
        <f>H614</f>
        <v>1400</v>
      </c>
    </row>
    <row r="614" spans="1:8" ht="72" x14ac:dyDescent="0.35">
      <c r="A614" s="325"/>
      <c r="B614" s="641" t="s">
        <v>670</v>
      </c>
      <c r="C614" s="689" t="s">
        <v>667</v>
      </c>
      <c r="D614" s="690" t="s">
        <v>89</v>
      </c>
      <c r="E614" s="690" t="s">
        <v>104</v>
      </c>
      <c r="F614" s="691" t="s">
        <v>669</v>
      </c>
      <c r="G614" s="266"/>
      <c r="H614" s="215">
        <f>H615</f>
        <v>1400</v>
      </c>
    </row>
    <row r="615" spans="1:8" ht="18" x14ac:dyDescent="0.35">
      <c r="A615" s="325"/>
      <c r="B615" s="496" t="s">
        <v>123</v>
      </c>
      <c r="C615" s="689" t="s">
        <v>667</v>
      </c>
      <c r="D615" s="690" t="s">
        <v>89</v>
      </c>
      <c r="E615" s="690" t="s">
        <v>104</v>
      </c>
      <c r="F615" s="691" t="s">
        <v>669</v>
      </c>
      <c r="G615" s="266">
        <v>500</v>
      </c>
      <c r="H615" s="215">
        <f>'прил9 (ведом 23)'!M261</f>
        <v>1400</v>
      </c>
    </row>
    <row r="616" spans="1:8" ht="72" x14ac:dyDescent="0.35">
      <c r="A616" s="325"/>
      <c r="B616" s="496" t="s">
        <v>736</v>
      </c>
      <c r="C616" s="689" t="s">
        <v>667</v>
      </c>
      <c r="D616" s="690" t="s">
        <v>89</v>
      </c>
      <c r="E616" s="690" t="s">
        <v>67</v>
      </c>
      <c r="F616" s="691" t="s">
        <v>44</v>
      </c>
      <c r="G616" s="266"/>
      <c r="H616" s="215">
        <f>H617</f>
        <v>2800</v>
      </c>
    </row>
    <row r="617" spans="1:8" ht="72" x14ac:dyDescent="0.35">
      <c r="A617" s="325"/>
      <c r="B617" s="641" t="s">
        <v>670</v>
      </c>
      <c r="C617" s="689" t="s">
        <v>667</v>
      </c>
      <c r="D617" s="690" t="s">
        <v>89</v>
      </c>
      <c r="E617" s="690" t="s">
        <v>67</v>
      </c>
      <c r="F617" s="691" t="s">
        <v>669</v>
      </c>
      <c r="G617" s="266"/>
      <c r="H617" s="215">
        <f>H618</f>
        <v>2800</v>
      </c>
    </row>
    <row r="618" spans="1:8" ht="18" x14ac:dyDescent="0.35">
      <c r="A618" s="325"/>
      <c r="B618" s="496" t="s">
        <v>123</v>
      </c>
      <c r="C618" s="689" t="s">
        <v>667</v>
      </c>
      <c r="D618" s="690" t="s">
        <v>89</v>
      </c>
      <c r="E618" s="690" t="s">
        <v>67</v>
      </c>
      <c r="F618" s="691" t="s">
        <v>669</v>
      </c>
      <c r="G618" s="266">
        <v>500</v>
      </c>
      <c r="H618" s="215">
        <f>'прил9 (ведом 23)'!M264</f>
        <v>2800</v>
      </c>
    </row>
    <row r="619" spans="1:8" ht="54" x14ac:dyDescent="0.35">
      <c r="A619" s="325"/>
      <c r="B619" s="496" t="s">
        <v>742</v>
      </c>
      <c r="C619" s="689" t="s">
        <v>667</v>
      </c>
      <c r="D619" s="690" t="s">
        <v>89</v>
      </c>
      <c r="E619" s="690" t="s">
        <v>100</v>
      </c>
      <c r="F619" s="691" t="s">
        <v>44</v>
      </c>
      <c r="G619" s="266"/>
      <c r="H619" s="215">
        <f>H620</f>
        <v>1100</v>
      </c>
    </row>
    <row r="620" spans="1:8" ht="72" x14ac:dyDescent="0.35">
      <c r="A620" s="325"/>
      <c r="B620" s="641" t="s">
        <v>670</v>
      </c>
      <c r="C620" s="689" t="s">
        <v>667</v>
      </c>
      <c r="D620" s="690" t="s">
        <v>89</v>
      </c>
      <c r="E620" s="690" t="s">
        <v>100</v>
      </c>
      <c r="F620" s="691" t="s">
        <v>669</v>
      </c>
      <c r="G620" s="266"/>
      <c r="H620" s="215">
        <f>H621</f>
        <v>1100</v>
      </c>
    </row>
    <row r="621" spans="1:8" ht="18" x14ac:dyDescent="0.35">
      <c r="A621" s="325"/>
      <c r="B621" s="496" t="s">
        <v>123</v>
      </c>
      <c r="C621" s="689" t="s">
        <v>667</v>
      </c>
      <c r="D621" s="690" t="s">
        <v>89</v>
      </c>
      <c r="E621" s="690" t="s">
        <v>100</v>
      </c>
      <c r="F621" s="691" t="s">
        <v>669</v>
      </c>
      <c r="G621" s="266">
        <v>500</v>
      </c>
      <c r="H621" s="215">
        <f>'прил9 (ведом 23)'!M267</f>
        <v>1100</v>
      </c>
    </row>
    <row r="622" spans="1:8" ht="108" x14ac:dyDescent="0.35">
      <c r="A622" s="325"/>
      <c r="B622" s="496" t="s">
        <v>743</v>
      </c>
      <c r="C622" s="689" t="s">
        <v>667</v>
      </c>
      <c r="D622" s="690" t="s">
        <v>89</v>
      </c>
      <c r="E622" s="690" t="s">
        <v>71</v>
      </c>
      <c r="F622" s="691" t="s">
        <v>44</v>
      </c>
      <c r="G622" s="266"/>
      <c r="H622" s="215">
        <f>H623</f>
        <v>900</v>
      </c>
    </row>
    <row r="623" spans="1:8" ht="72" x14ac:dyDescent="0.35">
      <c r="A623" s="325"/>
      <c r="B623" s="641" t="s">
        <v>670</v>
      </c>
      <c r="C623" s="689" t="s">
        <v>667</v>
      </c>
      <c r="D623" s="690" t="s">
        <v>89</v>
      </c>
      <c r="E623" s="690" t="s">
        <v>71</v>
      </c>
      <c r="F623" s="691" t="s">
        <v>669</v>
      </c>
      <c r="G623" s="266"/>
      <c r="H623" s="215">
        <f>H624</f>
        <v>900</v>
      </c>
    </row>
    <row r="624" spans="1:8" ht="18" x14ac:dyDescent="0.35">
      <c r="A624" s="325"/>
      <c r="B624" s="496" t="s">
        <v>123</v>
      </c>
      <c r="C624" s="689" t="s">
        <v>667</v>
      </c>
      <c r="D624" s="690" t="s">
        <v>89</v>
      </c>
      <c r="E624" s="690" t="s">
        <v>71</v>
      </c>
      <c r="F624" s="691" t="s">
        <v>669</v>
      </c>
      <c r="G624" s="266">
        <v>500</v>
      </c>
      <c r="H624" s="215">
        <f>'прил9 (ведом 23)'!M270</f>
        <v>900</v>
      </c>
    </row>
    <row r="625" spans="1:8" ht="54" x14ac:dyDescent="0.35">
      <c r="A625" s="325"/>
      <c r="B625" s="496" t="s">
        <v>748</v>
      </c>
      <c r="C625" s="689" t="s">
        <v>667</v>
      </c>
      <c r="D625" s="690" t="s">
        <v>89</v>
      </c>
      <c r="E625" s="690" t="s">
        <v>88</v>
      </c>
      <c r="F625" s="691" t="s">
        <v>44</v>
      </c>
      <c r="G625" s="266"/>
      <c r="H625" s="215">
        <f>H626</f>
        <v>599</v>
      </c>
    </row>
    <row r="626" spans="1:8" ht="72" x14ac:dyDescent="0.35">
      <c r="A626" s="325"/>
      <c r="B626" s="641" t="s">
        <v>670</v>
      </c>
      <c r="C626" s="689" t="s">
        <v>667</v>
      </c>
      <c r="D626" s="690" t="s">
        <v>89</v>
      </c>
      <c r="E626" s="690" t="s">
        <v>88</v>
      </c>
      <c r="F626" s="691" t="s">
        <v>669</v>
      </c>
      <c r="G626" s="266"/>
      <c r="H626" s="215">
        <f>H627</f>
        <v>599</v>
      </c>
    </row>
    <row r="627" spans="1:8" ht="18" x14ac:dyDescent="0.35">
      <c r="A627" s="325"/>
      <c r="B627" s="496" t="s">
        <v>123</v>
      </c>
      <c r="C627" s="689" t="s">
        <v>667</v>
      </c>
      <c r="D627" s="690" t="s">
        <v>89</v>
      </c>
      <c r="E627" s="690" t="s">
        <v>88</v>
      </c>
      <c r="F627" s="691" t="s">
        <v>669</v>
      </c>
      <c r="G627" s="266">
        <v>500</v>
      </c>
      <c r="H627" s="215">
        <f>'прил9 (ведом 23)'!M273</f>
        <v>599</v>
      </c>
    </row>
    <row r="628" spans="1:8" ht="72" x14ac:dyDescent="0.35">
      <c r="A628" s="325"/>
      <c r="B628" s="496" t="s">
        <v>749</v>
      </c>
      <c r="C628" s="689" t="s">
        <v>667</v>
      </c>
      <c r="D628" s="690" t="s">
        <v>89</v>
      </c>
      <c r="E628" s="690" t="s">
        <v>73</v>
      </c>
      <c r="F628" s="691" t="s">
        <v>44</v>
      </c>
      <c r="G628" s="266"/>
      <c r="H628" s="215">
        <f>H629</f>
        <v>1000</v>
      </c>
    </row>
    <row r="629" spans="1:8" ht="72" x14ac:dyDescent="0.35">
      <c r="A629" s="325"/>
      <c r="B629" s="641" t="s">
        <v>670</v>
      </c>
      <c r="C629" s="689" t="s">
        <v>667</v>
      </c>
      <c r="D629" s="690" t="s">
        <v>89</v>
      </c>
      <c r="E629" s="690" t="s">
        <v>73</v>
      </c>
      <c r="F629" s="691" t="s">
        <v>669</v>
      </c>
      <c r="G629" s="266"/>
      <c r="H629" s="215">
        <f>H630</f>
        <v>1000</v>
      </c>
    </row>
    <row r="630" spans="1:8" ht="18" x14ac:dyDescent="0.35">
      <c r="A630" s="325"/>
      <c r="B630" s="496" t="s">
        <v>123</v>
      </c>
      <c r="C630" s="689" t="s">
        <v>667</v>
      </c>
      <c r="D630" s="690" t="s">
        <v>89</v>
      </c>
      <c r="E630" s="690" t="s">
        <v>73</v>
      </c>
      <c r="F630" s="691" t="s">
        <v>669</v>
      </c>
      <c r="G630" s="266">
        <v>500</v>
      </c>
      <c r="H630" s="215">
        <f>'прил9 (ведом 23)'!M276</f>
        <v>1000</v>
      </c>
    </row>
    <row r="631" spans="1:8" ht="90" x14ac:dyDescent="0.35">
      <c r="A631" s="325"/>
      <c r="B631" s="496" t="s">
        <v>750</v>
      </c>
      <c r="C631" s="689" t="s">
        <v>667</v>
      </c>
      <c r="D631" s="690" t="s">
        <v>89</v>
      </c>
      <c r="E631" s="690" t="s">
        <v>747</v>
      </c>
      <c r="F631" s="691" t="s">
        <v>44</v>
      </c>
      <c r="G631" s="266"/>
      <c r="H631" s="215">
        <f>H632</f>
        <v>245</v>
      </c>
    </row>
    <row r="632" spans="1:8" ht="72" x14ac:dyDescent="0.35">
      <c r="A632" s="325"/>
      <c r="B632" s="641" t="s">
        <v>670</v>
      </c>
      <c r="C632" s="689" t="s">
        <v>667</v>
      </c>
      <c r="D632" s="690" t="s">
        <v>89</v>
      </c>
      <c r="E632" s="690" t="s">
        <v>747</v>
      </c>
      <c r="F632" s="691" t="s">
        <v>669</v>
      </c>
      <c r="G632" s="266"/>
      <c r="H632" s="215">
        <f>H633</f>
        <v>245</v>
      </c>
    </row>
    <row r="633" spans="1:8" ht="18" x14ac:dyDescent="0.35">
      <c r="A633" s="325"/>
      <c r="B633" s="496" t="s">
        <v>123</v>
      </c>
      <c r="C633" s="689" t="s">
        <v>667</v>
      </c>
      <c r="D633" s="690" t="s">
        <v>89</v>
      </c>
      <c r="E633" s="690" t="s">
        <v>747</v>
      </c>
      <c r="F633" s="691" t="s">
        <v>669</v>
      </c>
      <c r="G633" s="266">
        <v>500</v>
      </c>
      <c r="H633" s="215">
        <f>'прил9 (ведом 23)'!M279</f>
        <v>245</v>
      </c>
    </row>
    <row r="634" spans="1:8" ht="90" x14ac:dyDescent="0.35">
      <c r="A634" s="325"/>
      <c r="B634" s="496" t="s">
        <v>751</v>
      </c>
      <c r="C634" s="689" t="s">
        <v>667</v>
      </c>
      <c r="D634" s="690" t="s">
        <v>89</v>
      </c>
      <c r="E634" s="690" t="s">
        <v>41</v>
      </c>
      <c r="F634" s="691" t="s">
        <v>44</v>
      </c>
      <c r="G634" s="266"/>
      <c r="H634" s="215">
        <f>H635</f>
        <v>975</v>
      </c>
    </row>
    <row r="635" spans="1:8" ht="72" x14ac:dyDescent="0.35">
      <c r="A635" s="325"/>
      <c r="B635" s="641" t="s">
        <v>670</v>
      </c>
      <c r="C635" s="689" t="s">
        <v>667</v>
      </c>
      <c r="D635" s="690" t="s">
        <v>89</v>
      </c>
      <c r="E635" s="690" t="s">
        <v>41</v>
      </c>
      <c r="F635" s="691" t="s">
        <v>669</v>
      </c>
      <c r="G635" s="266"/>
      <c r="H635" s="215">
        <f>H636</f>
        <v>975</v>
      </c>
    </row>
    <row r="636" spans="1:8" ht="18" x14ac:dyDescent="0.35">
      <c r="A636" s="325"/>
      <c r="B636" s="496" t="s">
        <v>123</v>
      </c>
      <c r="C636" s="689" t="s">
        <v>667</v>
      </c>
      <c r="D636" s="690" t="s">
        <v>89</v>
      </c>
      <c r="E636" s="690" t="s">
        <v>41</v>
      </c>
      <c r="F636" s="691" t="s">
        <v>669</v>
      </c>
      <c r="G636" s="266">
        <v>500</v>
      </c>
      <c r="H636" s="215">
        <f>'прил9 (ведом 23)'!M282</f>
        <v>975</v>
      </c>
    </row>
    <row r="637" spans="1:8" ht="36" x14ac:dyDescent="0.35">
      <c r="A637" s="325"/>
      <c r="B637" s="496" t="s">
        <v>752</v>
      </c>
      <c r="C637" s="689" t="s">
        <v>667</v>
      </c>
      <c r="D637" s="690" t="s">
        <v>89</v>
      </c>
      <c r="E637" s="690" t="s">
        <v>659</v>
      </c>
      <c r="F637" s="691" t="s">
        <v>44</v>
      </c>
      <c r="G637" s="266"/>
      <c r="H637" s="215">
        <f>H638</f>
        <v>300</v>
      </c>
    </row>
    <row r="638" spans="1:8" ht="72" x14ac:dyDescent="0.35">
      <c r="A638" s="325"/>
      <c r="B638" s="641" t="s">
        <v>670</v>
      </c>
      <c r="C638" s="689" t="s">
        <v>667</v>
      </c>
      <c r="D638" s="690" t="s">
        <v>89</v>
      </c>
      <c r="E638" s="690" t="s">
        <v>659</v>
      </c>
      <c r="F638" s="691" t="s">
        <v>669</v>
      </c>
      <c r="G638" s="266"/>
      <c r="H638" s="215">
        <f>H639</f>
        <v>300</v>
      </c>
    </row>
    <row r="639" spans="1:8" ht="18" x14ac:dyDescent="0.35">
      <c r="A639" s="325"/>
      <c r="B639" s="496" t="s">
        <v>123</v>
      </c>
      <c r="C639" s="689" t="s">
        <v>667</v>
      </c>
      <c r="D639" s="690" t="s">
        <v>89</v>
      </c>
      <c r="E639" s="690" t="s">
        <v>659</v>
      </c>
      <c r="F639" s="691" t="s">
        <v>669</v>
      </c>
      <c r="G639" s="266">
        <v>500</v>
      </c>
      <c r="H639" s="215">
        <f>'прил9 (ведом 23)'!M285</f>
        <v>300</v>
      </c>
    </row>
    <row r="640" spans="1:8" ht="108" x14ac:dyDescent="0.35">
      <c r="A640" s="325"/>
      <c r="B640" s="496" t="s">
        <v>753</v>
      </c>
      <c r="C640" s="689" t="s">
        <v>667</v>
      </c>
      <c r="D640" s="690" t="s">
        <v>89</v>
      </c>
      <c r="E640" s="690" t="s">
        <v>580</v>
      </c>
      <c r="F640" s="691" t="s">
        <v>44</v>
      </c>
      <c r="G640" s="266"/>
      <c r="H640" s="215">
        <f>H641</f>
        <v>1480</v>
      </c>
    </row>
    <row r="641" spans="1:8" ht="72" x14ac:dyDescent="0.35">
      <c r="A641" s="325"/>
      <c r="B641" s="641" t="s">
        <v>670</v>
      </c>
      <c r="C641" s="689" t="s">
        <v>667</v>
      </c>
      <c r="D641" s="690" t="s">
        <v>89</v>
      </c>
      <c r="E641" s="690" t="s">
        <v>580</v>
      </c>
      <c r="F641" s="691" t="s">
        <v>669</v>
      </c>
      <c r="G641" s="266"/>
      <c r="H641" s="215">
        <f>H642</f>
        <v>1480</v>
      </c>
    </row>
    <row r="642" spans="1:8" ht="18" x14ac:dyDescent="0.35">
      <c r="A642" s="325"/>
      <c r="B642" s="496" t="s">
        <v>123</v>
      </c>
      <c r="C642" s="689" t="s">
        <v>667</v>
      </c>
      <c r="D642" s="690" t="s">
        <v>89</v>
      </c>
      <c r="E642" s="690" t="s">
        <v>580</v>
      </c>
      <c r="F642" s="691" t="s">
        <v>669</v>
      </c>
      <c r="G642" s="266">
        <v>500</v>
      </c>
      <c r="H642" s="215">
        <f>'прил9 (ведом 23)'!M288</f>
        <v>1480</v>
      </c>
    </row>
    <row r="643" spans="1:8" ht="18" x14ac:dyDescent="0.35">
      <c r="A643" s="325"/>
      <c r="B643" s="496"/>
      <c r="C643" s="690"/>
      <c r="D643" s="690"/>
      <c r="E643" s="690"/>
      <c r="F643" s="690"/>
      <c r="G643" s="266"/>
      <c r="H643" s="215"/>
    </row>
    <row r="644" spans="1:8" s="335" customFormat="1" ht="39" customHeight="1" x14ac:dyDescent="0.3">
      <c r="A644" s="340">
        <v>18</v>
      </c>
      <c r="B644" s="530" t="s">
        <v>594</v>
      </c>
      <c r="C644" s="341" t="s">
        <v>68</v>
      </c>
      <c r="D644" s="341" t="s">
        <v>42</v>
      </c>
      <c r="E644" s="341" t="s">
        <v>43</v>
      </c>
      <c r="F644" s="341" t="s">
        <v>44</v>
      </c>
      <c r="G644" s="334"/>
      <c r="H644" s="252">
        <f>H645</f>
        <v>58852.517859999993</v>
      </c>
    </row>
    <row r="645" spans="1:8" ht="18" x14ac:dyDescent="0.35">
      <c r="A645" s="325"/>
      <c r="B645" s="508" t="s">
        <v>444</v>
      </c>
      <c r="C645" s="206" t="s">
        <v>68</v>
      </c>
      <c r="D645" s="207" t="s">
        <v>45</v>
      </c>
      <c r="E645" s="207" t="s">
        <v>43</v>
      </c>
      <c r="F645" s="208" t="s">
        <v>44</v>
      </c>
      <c r="G645" s="28"/>
      <c r="H645" s="215">
        <f>H650+H652+H648+H646</f>
        <v>58852.517859999993</v>
      </c>
    </row>
    <row r="646" spans="1:8" ht="36" x14ac:dyDescent="0.35">
      <c r="A646" s="325"/>
      <c r="B646" s="496" t="s">
        <v>707</v>
      </c>
      <c r="C646" s="689" t="s">
        <v>68</v>
      </c>
      <c r="D646" s="690" t="s">
        <v>45</v>
      </c>
      <c r="E646" s="690" t="s">
        <v>43</v>
      </c>
      <c r="F646" s="691" t="s">
        <v>706</v>
      </c>
      <c r="G646" s="10"/>
      <c r="H646" s="215">
        <f>H647</f>
        <v>14918.399999999998</v>
      </c>
    </row>
    <row r="647" spans="1:8" ht="36" x14ac:dyDescent="0.35">
      <c r="A647" s="325"/>
      <c r="B647" s="496" t="s">
        <v>55</v>
      </c>
      <c r="C647" s="689" t="s">
        <v>68</v>
      </c>
      <c r="D647" s="690" t="s">
        <v>45</v>
      </c>
      <c r="E647" s="690" t="s">
        <v>43</v>
      </c>
      <c r="F647" s="691" t="s">
        <v>706</v>
      </c>
      <c r="G647" s="10" t="s">
        <v>56</v>
      </c>
      <c r="H647" s="215">
        <f>'прил9 (ведом 23)'!M91</f>
        <v>14918.399999999998</v>
      </c>
    </row>
    <row r="648" spans="1:8" ht="36" x14ac:dyDescent="0.35">
      <c r="A648" s="325"/>
      <c r="B648" s="508" t="s">
        <v>695</v>
      </c>
      <c r="C648" s="206" t="s">
        <v>68</v>
      </c>
      <c r="D648" s="207" t="s">
        <v>45</v>
      </c>
      <c r="E648" s="207" t="s">
        <v>43</v>
      </c>
      <c r="F648" s="208" t="s">
        <v>696</v>
      </c>
      <c r="G648" s="28"/>
      <c r="H648" s="215">
        <f>H649</f>
        <v>21761.599999999999</v>
      </c>
    </row>
    <row r="649" spans="1:8" ht="18" x14ac:dyDescent="0.35">
      <c r="A649" s="325"/>
      <c r="B649" s="508" t="s">
        <v>123</v>
      </c>
      <c r="C649" s="206" t="s">
        <v>68</v>
      </c>
      <c r="D649" s="207" t="s">
        <v>45</v>
      </c>
      <c r="E649" s="207" t="s">
        <v>43</v>
      </c>
      <c r="F649" s="208" t="s">
        <v>696</v>
      </c>
      <c r="G649" s="28">
        <v>500</v>
      </c>
      <c r="H649" s="215">
        <f>'прил9 (ведом 23)'!M292</f>
        <v>21761.599999999999</v>
      </c>
    </row>
    <row r="650" spans="1:8" ht="162" x14ac:dyDescent="0.35">
      <c r="A650" s="325"/>
      <c r="B650" s="508" t="s">
        <v>746</v>
      </c>
      <c r="C650" s="206" t="s">
        <v>68</v>
      </c>
      <c r="D650" s="207" t="s">
        <v>45</v>
      </c>
      <c r="E650" s="207" t="s">
        <v>43</v>
      </c>
      <c r="F650" s="208" t="s">
        <v>664</v>
      </c>
      <c r="G650" s="28"/>
      <c r="H650" s="215">
        <f>H651</f>
        <v>15478.199999999999</v>
      </c>
    </row>
    <row r="651" spans="1:8" ht="36" x14ac:dyDescent="0.35">
      <c r="A651" s="325"/>
      <c r="B651" s="493" t="s">
        <v>55</v>
      </c>
      <c r="C651" s="206" t="s">
        <v>68</v>
      </c>
      <c r="D651" s="207" t="s">
        <v>45</v>
      </c>
      <c r="E651" s="207" t="s">
        <v>43</v>
      </c>
      <c r="F651" s="208" t="s">
        <v>664</v>
      </c>
      <c r="G651" s="28" t="s">
        <v>56</v>
      </c>
      <c r="H651" s="215">
        <f>'прил9 (ведом 23)'!M93</f>
        <v>15478.199999999999</v>
      </c>
    </row>
    <row r="652" spans="1:8" ht="36" x14ac:dyDescent="0.35">
      <c r="A652" s="325"/>
      <c r="B652" s="492" t="s">
        <v>442</v>
      </c>
      <c r="C652" s="206" t="s">
        <v>68</v>
      </c>
      <c r="D652" s="207" t="s">
        <v>45</v>
      </c>
      <c r="E652" s="207" t="s">
        <v>43</v>
      </c>
      <c r="F652" s="208" t="s">
        <v>69</v>
      </c>
      <c r="G652" s="28"/>
      <c r="H652" s="215">
        <f>H653</f>
        <v>6694.3178599999956</v>
      </c>
    </row>
    <row r="653" spans="1:8" ht="18" x14ac:dyDescent="0.35">
      <c r="A653" s="325"/>
      <c r="B653" s="492" t="s">
        <v>57</v>
      </c>
      <c r="C653" s="206" t="s">
        <v>68</v>
      </c>
      <c r="D653" s="207" t="s">
        <v>45</v>
      </c>
      <c r="E653" s="207" t="s">
        <v>43</v>
      </c>
      <c r="F653" s="208" t="s">
        <v>69</v>
      </c>
      <c r="G653" s="28" t="s">
        <v>58</v>
      </c>
      <c r="H653" s="215">
        <f>'прил9 (ведом 23)'!M55</f>
        <v>6694.3178599999956</v>
      </c>
    </row>
    <row r="654" spans="1:8" ht="14.4" customHeight="1" x14ac:dyDescent="0.35">
      <c r="A654" s="418"/>
      <c r="B654" s="419"/>
      <c r="C654" s="74"/>
      <c r="D654" s="74"/>
      <c r="E654" s="74"/>
      <c r="F654" s="74"/>
      <c r="G654" s="74"/>
      <c r="H654" s="420"/>
    </row>
    <row r="655" spans="1:8" ht="18" x14ac:dyDescent="0.35">
      <c r="A655" s="418"/>
      <c r="B655" s="419"/>
      <c r="C655" s="74"/>
      <c r="D655" s="74"/>
      <c r="E655" s="74"/>
      <c r="F655" s="74"/>
      <c r="G655" s="74"/>
      <c r="H655" s="420"/>
    </row>
    <row r="656" spans="1:8" ht="17.399999999999999" x14ac:dyDescent="0.3">
      <c r="A656" s="321"/>
      <c r="B656" s="41"/>
      <c r="C656" s="42"/>
      <c r="D656" s="42"/>
      <c r="E656" s="42"/>
      <c r="F656" s="42"/>
      <c r="G656" s="43"/>
    </row>
    <row r="657" spans="1:8" ht="18" x14ac:dyDescent="0.35">
      <c r="A657" s="666" t="s">
        <v>373</v>
      </c>
      <c r="B657" s="41"/>
      <c r="C657" s="42"/>
      <c r="D657" s="42"/>
      <c r="E657" s="42"/>
      <c r="F657" s="42"/>
      <c r="G657" s="43"/>
    </row>
    <row r="658" spans="1:8" ht="18" x14ac:dyDescent="0.35">
      <c r="A658" s="666" t="s">
        <v>374</v>
      </c>
      <c r="B658" s="41"/>
      <c r="C658" s="42"/>
      <c r="D658" s="42"/>
      <c r="E658" s="42"/>
      <c r="F658" s="42"/>
      <c r="G658" s="43"/>
    </row>
    <row r="659" spans="1:8" ht="18" x14ac:dyDescent="0.35">
      <c r="A659" s="667" t="s">
        <v>375</v>
      </c>
      <c r="B659" s="41"/>
      <c r="C659" s="45"/>
      <c r="D659" s="42"/>
      <c r="E659" s="42"/>
      <c r="F659" s="42"/>
      <c r="G659" s="45"/>
      <c r="H659" s="668" t="s">
        <v>386</v>
      </c>
    </row>
    <row r="660" spans="1:8" ht="18" x14ac:dyDescent="0.35">
      <c r="A660" s="681"/>
      <c r="B660" s="41"/>
      <c r="C660" s="42"/>
      <c r="D660" s="42"/>
      <c r="E660" s="42"/>
      <c r="F660" s="42"/>
    </row>
    <row r="661" spans="1:8" x14ac:dyDescent="0.3">
      <c r="A661" s="321"/>
      <c r="B661" s="41"/>
      <c r="C661" s="42"/>
      <c r="D661" s="42"/>
      <c r="E661" s="42"/>
      <c r="F661" s="42"/>
    </row>
    <row r="662" spans="1:8" x14ac:dyDescent="0.3">
      <c r="A662" s="321"/>
      <c r="B662" s="41"/>
      <c r="C662" s="42"/>
      <c r="D662" s="42"/>
      <c r="E662" s="42"/>
      <c r="F662" s="42"/>
    </row>
    <row r="663" spans="1:8" ht="17.399999999999999" x14ac:dyDescent="0.3">
      <c r="A663" s="321"/>
      <c r="B663" s="41"/>
      <c r="C663" s="42"/>
      <c r="D663" s="42"/>
      <c r="E663" s="42"/>
      <c r="F663" s="42"/>
      <c r="G663" s="43"/>
    </row>
    <row r="664" spans="1:8" hidden="1" x14ac:dyDescent="0.3">
      <c r="A664" s="319">
        <v>1</v>
      </c>
      <c r="B664" s="391" t="s">
        <v>237</v>
      </c>
      <c r="H664" s="320" t="e">
        <f>H14+H160+H223+H274+H299+H338+H364+H403+H467+H476+H482+H492+H502+H508+H444+#REF!</f>
        <v>#REF!</v>
      </c>
    </row>
    <row r="665" spans="1:8" hidden="1" x14ac:dyDescent="0.3"/>
    <row r="666" spans="1:8" hidden="1" x14ac:dyDescent="0.3">
      <c r="H666" s="320" t="e">
        <f>(H664/H13)*100</f>
        <v>#REF!</v>
      </c>
    </row>
    <row r="667" spans="1:8" hidden="1" x14ac:dyDescent="0.3"/>
    <row r="668" spans="1:8" hidden="1" x14ac:dyDescent="0.3">
      <c r="A668" s="319">
        <v>1</v>
      </c>
      <c r="B668" s="391" t="s">
        <v>238</v>
      </c>
      <c r="H668" s="320">
        <f>H569+H644</f>
        <v>65682.317859999996</v>
      </c>
    </row>
    <row r="669" spans="1:8" hidden="1" x14ac:dyDescent="0.3">
      <c r="H669" s="320" t="e">
        <f>(H668/H670)*100</f>
        <v>#REF!</v>
      </c>
    </row>
    <row r="670" spans="1:8" hidden="1" x14ac:dyDescent="0.3">
      <c r="H670" s="320" t="e">
        <f>H664+H668</f>
        <v>#REF!</v>
      </c>
    </row>
    <row r="671" spans="1:8" hidden="1" x14ac:dyDescent="0.3"/>
  </sheetData>
  <autoFilter ref="A1:H670"/>
  <mergeCells count="3">
    <mergeCell ref="A8:H8"/>
    <mergeCell ref="C11:F11"/>
    <mergeCell ref="C12:F12"/>
  </mergeCells>
  <printOptions horizontalCentered="1"/>
  <pageMargins left="1.1811023622047245" right="0.39370078740157483" top="0.78740157480314965" bottom="0.39370078740157483" header="0" footer="0"/>
  <pageSetup paperSize="9" scale="81" fitToHeight="0" orientation="portrait" blackAndWhite="1" r:id="rId1"/>
  <headerFooter differentFirst="1" alignWithMargins="0">
    <oddHeader>&amp;C&amp;"Times New Roman,обычный"&amp;12&amp;P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72"/>
  <sheetViews>
    <sheetView zoomScale="80" zoomScaleNormal="80" zoomScaleSheetLayoutView="70" workbookViewId="0">
      <pane ySplit="5" topLeftCell="A6" activePane="bottomLeft" state="frozen"/>
      <selection activeCell="B19" sqref="B19"/>
      <selection pane="bottomLeft" activeCell="J10" sqref="J10"/>
    </sheetView>
  </sheetViews>
  <sheetFormatPr defaultColWidth="9.109375" defaultRowHeight="15.6" x14ac:dyDescent="0.3"/>
  <cols>
    <col min="1" max="1" width="4.5546875" style="319" customWidth="1"/>
    <col min="2" max="2" width="62.44140625" style="391" customWidth="1"/>
    <col min="3" max="3" width="3.109375" style="392" customWidth="1"/>
    <col min="4" max="4" width="2.33203125" style="392" customWidth="1"/>
    <col min="5" max="5" width="3" style="392" customWidth="1"/>
    <col min="6" max="6" width="8" style="392" customWidth="1"/>
    <col min="7" max="7" width="5.5546875" style="390" customWidth="1"/>
    <col min="8" max="8" width="14.109375" style="44" customWidth="1"/>
    <col min="9" max="9" width="13.33203125" style="45" customWidth="1"/>
    <col min="10" max="10" width="17.6640625" style="45" customWidth="1"/>
    <col min="11" max="11" width="16.44140625" style="45" hidden="1" customWidth="1"/>
    <col min="12" max="12" width="14.6640625" style="45" hidden="1" customWidth="1"/>
    <col min="13" max="16384" width="9.109375" style="45"/>
  </cols>
  <sheetData>
    <row r="1" spans="1:12" ht="18" x14ac:dyDescent="0.35">
      <c r="I1" s="153" t="s">
        <v>555</v>
      </c>
    </row>
    <row r="2" spans="1:12" ht="18" x14ac:dyDescent="0.35">
      <c r="I2" s="153" t="s">
        <v>788</v>
      </c>
    </row>
    <row r="3" spans="1:12" ht="18" x14ac:dyDescent="0.35">
      <c r="I3" s="153"/>
    </row>
    <row r="4" spans="1:12" s="35" customFormat="1" ht="18" x14ac:dyDescent="0.35">
      <c r="I4" s="39" t="s">
        <v>512</v>
      </c>
    </row>
    <row r="5" spans="1:12" s="35" customFormat="1" ht="18" x14ac:dyDescent="0.35">
      <c r="I5" s="39" t="s">
        <v>654</v>
      </c>
    </row>
    <row r="8" spans="1:12" ht="76.5" customHeight="1" x14ac:dyDescent="0.3">
      <c r="A8" s="711" t="s">
        <v>585</v>
      </c>
      <c r="B8" s="711"/>
      <c r="C8" s="711"/>
      <c r="D8" s="711"/>
      <c r="E8" s="711"/>
      <c r="F8" s="711"/>
      <c r="G8" s="711"/>
      <c r="H8" s="711"/>
      <c r="I8" s="711"/>
    </row>
    <row r="9" spans="1:12" x14ac:dyDescent="0.3">
      <c r="A9" s="45"/>
      <c r="B9" s="45"/>
      <c r="C9" s="319"/>
      <c r="D9" s="319"/>
      <c r="E9" s="319"/>
      <c r="F9" s="319"/>
      <c r="G9" s="320"/>
    </row>
    <row r="10" spans="1:12" ht="18" x14ac:dyDescent="0.35">
      <c r="A10" s="321"/>
      <c r="B10" s="41"/>
      <c r="C10" s="42"/>
      <c r="D10" s="42"/>
      <c r="E10" s="42"/>
      <c r="F10" s="42"/>
      <c r="G10" s="45"/>
      <c r="I10" s="322" t="s">
        <v>22</v>
      </c>
    </row>
    <row r="11" spans="1:12" ht="18" x14ac:dyDescent="0.35">
      <c r="A11" s="719" t="s">
        <v>23</v>
      </c>
      <c r="B11" s="720" t="s">
        <v>24</v>
      </c>
      <c r="C11" s="720" t="s">
        <v>28</v>
      </c>
      <c r="D11" s="720"/>
      <c r="E11" s="720"/>
      <c r="F11" s="720"/>
      <c r="G11" s="720" t="s">
        <v>29</v>
      </c>
      <c r="H11" s="718" t="s">
        <v>15</v>
      </c>
      <c r="I11" s="718"/>
    </row>
    <row r="12" spans="1:12" ht="40.950000000000003" customHeight="1" x14ac:dyDescent="0.3">
      <c r="A12" s="719"/>
      <c r="B12" s="720"/>
      <c r="C12" s="720"/>
      <c r="D12" s="720"/>
      <c r="E12" s="720"/>
      <c r="F12" s="720"/>
      <c r="G12" s="720"/>
      <c r="H12" s="323" t="s">
        <v>501</v>
      </c>
      <c r="I12" s="323" t="s">
        <v>582</v>
      </c>
    </row>
    <row r="13" spans="1:12" ht="18" x14ac:dyDescent="0.35">
      <c r="A13" s="224">
        <v>1</v>
      </c>
      <c r="B13" s="324">
        <v>2</v>
      </c>
      <c r="C13" s="715" t="s">
        <v>30</v>
      </c>
      <c r="D13" s="716"/>
      <c r="E13" s="716"/>
      <c r="F13" s="717"/>
      <c r="G13" s="236" t="s">
        <v>31</v>
      </c>
      <c r="H13" s="225">
        <v>5</v>
      </c>
      <c r="I13" s="225">
        <v>6</v>
      </c>
    </row>
    <row r="14" spans="1:12" ht="18" x14ac:dyDescent="0.35">
      <c r="A14" s="325"/>
      <c r="B14" s="326" t="s">
        <v>202</v>
      </c>
      <c r="C14" s="327"/>
      <c r="D14" s="327"/>
      <c r="E14" s="327"/>
      <c r="F14" s="327"/>
      <c r="G14" s="328"/>
      <c r="H14" s="329">
        <f>H15+H125+H166+H209+H232+H257+H276+H300+H349+H358+H364+H374+H386+H439+H446+H451+H380+H433+H339</f>
        <v>1958815.2999999998</v>
      </c>
      <c r="I14" s="329">
        <f>I15+I125+I166+I209+I232+I257+I276+I300+I349+I358+I364+I374+I386+I439+I446+I451+I380+I433+I339</f>
        <v>1887225.6</v>
      </c>
      <c r="J14" s="330"/>
      <c r="K14" s="442">
        <f>H14-'прил10 (ведом 24-25)'!M16</f>
        <v>0</v>
      </c>
      <c r="L14" s="429">
        <f>I14-'прил10 (ведом 24-25)'!N16</f>
        <v>0</v>
      </c>
    </row>
    <row r="15" spans="1:12" s="335" customFormat="1" ht="52.2" x14ac:dyDescent="0.3">
      <c r="A15" s="331">
        <v>1</v>
      </c>
      <c r="B15" s="491" t="s">
        <v>205</v>
      </c>
      <c r="C15" s="332" t="s">
        <v>39</v>
      </c>
      <c r="D15" s="332" t="s">
        <v>42</v>
      </c>
      <c r="E15" s="332" t="s">
        <v>43</v>
      </c>
      <c r="F15" s="333" t="s">
        <v>44</v>
      </c>
      <c r="G15" s="334"/>
      <c r="H15" s="252">
        <f>H16+H77+H91</f>
        <v>1274466.7999999998</v>
      </c>
      <c r="I15" s="252">
        <f>I16+I77+I91</f>
        <v>1288047.3000000003</v>
      </c>
    </row>
    <row r="16" spans="1:12" ht="18" x14ac:dyDescent="0.35">
      <c r="A16" s="325"/>
      <c r="B16" s="492" t="s">
        <v>206</v>
      </c>
      <c r="C16" s="683" t="s">
        <v>39</v>
      </c>
      <c r="D16" s="683" t="s">
        <v>45</v>
      </c>
      <c r="E16" s="683" t="s">
        <v>43</v>
      </c>
      <c r="F16" s="684" t="s">
        <v>44</v>
      </c>
      <c r="G16" s="236"/>
      <c r="H16" s="215">
        <f>H17+H31+H74</f>
        <v>1112862.8999999997</v>
      </c>
      <c r="I16" s="215">
        <f>I17+I31+I74</f>
        <v>1116100.9000000001</v>
      </c>
    </row>
    <row r="17" spans="1:9" ht="18" x14ac:dyDescent="0.35">
      <c r="A17" s="325"/>
      <c r="B17" s="492" t="s">
        <v>266</v>
      </c>
      <c r="C17" s="206" t="s">
        <v>39</v>
      </c>
      <c r="D17" s="207" t="s">
        <v>45</v>
      </c>
      <c r="E17" s="207" t="s">
        <v>37</v>
      </c>
      <c r="F17" s="208" t="s">
        <v>44</v>
      </c>
      <c r="G17" s="236"/>
      <c r="H17" s="215">
        <f>H24+H20+H27+H29+H18+H22</f>
        <v>392727.7</v>
      </c>
      <c r="I17" s="215">
        <f>I24+I20+I27+I29+I18+I22</f>
        <v>405956.10000000003</v>
      </c>
    </row>
    <row r="18" spans="1:9" ht="36" x14ac:dyDescent="0.35">
      <c r="A18" s="325"/>
      <c r="B18" s="492" t="s">
        <v>461</v>
      </c>
      <c r="C18" s="206" t="s">
        <v>39</v>
      </c>
      <c r="D18" s="207" t="s">
        <v>45</v>
      </c>
      <c r="E18" s="207" t="s">
        <v>37</v>
      </c>
      <c r="F18" s="208" t="s">
        <v>91</v>
      </c>
      <c r="G18" s="28"/>
      <c r="H18" s="215">
        <f>H19</f>
        <v>110229.7</v>
      </c>
      <c r="I18" s="215">
        <f>I19</f>
        <v>123486.2</v>
      </c>
    </row>
    <row r="19" spans="1:9" ht="36" x14ac:dyDescent="0.35">
      <c r="A19" s="325"/>
      <c r="B19" s="492" t="s">
        <v>76</v>
      </c>
      <c r="C19" s="206" t="s">
        <v>39</v>
      </c>
      <c r="D19" s="207" t="s">
        <v>45</v>
      </c>
      <c r="E19" s="207" t="s">
        <v>37</v>
      </c>
      <c r="F19" s="208" t="s">
        <v>91</v>
      </c>
      <c r="G19" s="28" t="s">
        <v>77</v>
      </c>
      <c r="H19" s="215">
        <f>'прил10 (ведом 24-25)'!M309</f>
        <v>110229.7</v>
      </c>
      <c r="I19" s="215">
        <f>'прил10 (ведом 24-25)'!N309</f>
        <v>123486.2</v>
      </c>
    </row>
    <row r="20" spans="1:9" ht="36" x14ac:dyDescent="0.35">
      <c r="A20" s="325"/>
      <c r="B20" s="493" t="s">
        <v>207</v>
      </c>
      <c r="C20" s="206" t="s">
        <v>39</v>
      </c>
      <c r="D20" s="207" t="s">
        <v>45</v>
      </c>
      <c r="E20" s="207" t="s">
        <v>37</v>
      </c>
      <c r="F20" s="208" t="s">
        <v>272</v>
      </c>
      <c r="G20" s="28"/>
      <c r="H20" s="215">
        <f>H21</f>
        <v>30855.9</v>
      </c>
      <c r="I20" s="215">
        <f>I21</f>
        <v>30855.9</v>
      </c>
    </row>
    <row r="21" spans="1:9" ht="36" x14ac:dyDescent="0.35">
      <c r="A21" s="325"/>
      <c r="B21" s="493" t="s">
        <v>76</v>
      </c>
      <c r="C21" s="206" t="s">
        <v>39</v>
      </c>
      <c r="D21" s="207" t="s">
        <v>45</v>
      </c>
      <c r="E21" s="207" t="s">
        <v>37</v>
      </c>
      <c r="F21" s="208" t="s">
        <v>272</v>
      </c>
      <c r="G21" s="28" t="s">
        <v>77</v>
      </c>
      <c r="H21" s="215">
        <f>'прил10 (ведом 24-25)'!M311</f>
        <v>30855.9</v>
      </c>
      <c r="I21" s="215">
        <f>'прил10 (ведом 24-25)'!N311</f>
        <v>30855.9</v>
      </c>
    </row>
    <row r="22" spans="1:9" ht="36" x14ac:dyDescent="0.35">
      <c r="A22" s="325"/>
      <c r="B22" s="493" t="s">
        <v>208</v>
      </c>
      <c r="C22" s="336" t="s">
        <v>39</v>
      </c>
      <c r="D22" s="337" t="s">
        <v>45</v>
      </c>
      <c r="E22" s="337" t="s">
        <v>37</v>
      </c>
      <c r="F22" s="338" t="s">
        <v>273</v>
      </c>
      <c r="G22" s="339"/>
      <c r="H22" s="215">
        <f>H23</f>
        <v>50.5</v>
      </c>
      <c r="I22" s="215">
        <f>I23</f>
        <v>0</v>
      </c>
    </row>
    <row r="23" spans="1:9" ht="36" x14ac:dyDescent="0.35">
      <c r="A23" s="325"/>
      <c r="B23" s="494" t="s">
        <v>203</v>
      </c>
      <c r="C23" s="336" t="s">
        <v>39</v>
      </c>
      <c r="D23" s="337" t="s">
        <v>45</v>
      </c>
      <c r="E23" s="337" t="s">
        <v>37</v>
      </c>
      <c r="F23" s="338" t="s">
        <v>273</v>
      </c>
      <c r="G23" s="339" t="s">
        <v>204</v>
      </c>
      <c r="H23" s="215">
        <f>'прил10 (ведом 24-25)'!M263</f>
        <v>50.5</v>
      </c>
      <c r="I23" s="215">
        <f>'прил10 (ведом 24-25)'!N263</f>
        <v>0</v>
      </c>
    </row>
    <row r="24" spans="1:9" ht="108" x14ac:dyDescent="0.35">
      <c r="A24" s="325"/>
      <c r="B24" s="492" t="s">
        <v>282</v>
      </c>
      <c r="C24" s="206" t="s">
        <v>39</v>
      </c>
      <c r="D24" s="207" t="s">
        <v>45</v>
      </c>
      <c r="E24" s="207" t="s">
        <v>37</v>
      </c>
      <c r="F24" s="208" t="s">
        <v>283</v>
      </c>
      <c r="G24" s="28"/>
      <c r="H24" s="215">
        <f>SUM(H25:H26)</f>
        <v>6292.9</v>
      </c>
      <c r="I24" s="215">
        <f>SUM(I25:I26)</f>
        <v>6292.9</v>
      </c>
    </row>
    <row r="25" spans="1:9" ht="36" x14ac:dyDescent="0.35">
      <c r="A25" s="325"/>
      <c r="B25" s="492" t="s">
        <v>55</v>
      </c>
      <c r="C25" s="206" t="s">
        <v>39</v>
      </c>
      <c r="D25" s="207" t="s">
        <v>45</v>
      </c>
      <c r="E25" s="207" t="s">
        <v>37</v>
      </c>
      <c r="F25" s="208" t="s">
        <v>283</v>
      </c>
      <c r="G25" s="28" t="s">
        <v>56</v>
      </c>
      <c r="H25" s="215">
        <f>'прил10 (ведом 24-25)'!M417</f>
        <v>92.9</v>
      </c>
      <c r="I25" s="215">
        <f>'прил10 (ведом 24-25)'!N417</f>
        <v>92.9</v>
      </c>
    </row>
    <row r="26" spans="1:9" ht="18" x14ac:dyDescent="0.35">
      <c r="A26" s="325"/>
      <c r="B26" s="495" t="s">
        <v>120</v>
      </c>
      <c r="C26" s="206" t="s">
        <v>39</v>
      </c>
      <c r="D26" s="207" t="s">
        <v>45</v>
      </c>
      <c r="E26" s="207" t="s">
        <v>37</v>
      </c>
      <c r="F26" s="208" t="s">
        <v>283</v>
      </c>
      <c r="G26" s="28" t="s">
        <v>121</v>
      </c>
      <c r="H26" s="215">
        <f>'прил10 (ведом 24-25)'!M418</f>
        <v>6200</v>
      </c>
      <c r="I26" s="215">
        <f>'прил10 (ведом 24-25)'!N418</f>
        <v>6200</v>
      </c>
    </row>
    <row r="27" spans="1:9" ht="162" x14ac:dyDescent="0.35">
      <c r="A27" s="325"/>
      <c r="B27" s="492" t="s">
        <v>267</v>
      </c>
      <c r="C27" s="206" t="s">
        <v>39</v>
      </c>
      <c r="D27" s="207" t="s">
        <v>45</v>
      </c>
      <c r="E27" s="207" t="s">
        <v>37</v>
      </c>
      <c r="F27" s="208" t="s">
        <v>268</v>
      </c>
      <c r="G27" s="28"/>
      <c r="H27" s="215">
        <f>H28</f>
        <v>557.9</v>
      </c>
      <c r="I27" s="215">
        <f>I28</f>
        <v>580.29999999999995</v>
      </c>
    </row>
    <row r="28" spans="1:9" ht="36" x14ac:dyDescent="0.35">
      <c r="A28" s="325"/>
      <c r="B28" s="492" t="s">
        <v>76</v>
      </c>
      <c r="C28" s="206" t="s">
        <v>39</v>
      </c>
      <c r="D28" s="207" t="s">
        <v>45</v>
      </c>
      <c r="E28" s="207" t="s">
        <v>37</v>
      </c>
      <c r="F28" s="208" t="s">
        <v>268</v>
      </c>
      <c r="G28" s="28" t="s">
        <v>77</v>
      </c>
      <c r="H28" s="215">
        <f>'прил10 (ведом 24-25)'!M313</f>
        <v>557.9</v>
      </c>
      <c r="I28" s="215">
        <f>'прил10 (ведом 24-25)'!N313</f>
        <v>580.29999999999995</v>
      </c>
    </row>
    <row r="29" spans="1:9" ht="90" x14ac:dyDescent="0.35">
      <c r="A29" s="325"/>
      <c r="B29" s="492" t="s">
        <v>343</v>
      </c>
      <c r="C29" s="206" t="s">
        <v>39</v>
      </c>
      <c r="D29" s="207" t="s">
        <v>45</v>
      </c>
      <c r="E29" s="207" t="s">
        <v>37</v>
      </c>
      <c r="F29" s="208" t="s">
        <v>269</v>
      </c>
      <c r="G29" s="28"/>
      <c r="H29" s="215">
        <f>H30</f>
        <v>244740.80000000002</v>
      </c>
      <c r="I29" s="215">
        <f>I30</f>
        <v>244740.80000000002</v>
      </c>
    </row>
    <row r="30" spans="1:9" ht="36" x14ac:dyDescent="0.35">
      <c r="A30" s="325"/>
      <c r="B30" s="495" t="s">
        <v>76</v>
      </c>
      <c r="C30" s="206" t="s">
        <v>39</v>
      </c>
      <c r="D30" s="207" t="s">
        <v>45</v>
      </c>
      <c r="E30" s="207" t="s">
        <v>37</v>
      </c>
      <c r="F30" s="208" t="s">
        <v>269</v>
      </c>
      <c r="G30" s="28" t="s">
        <v>77</v>
      </c>
      <c r="H30" s="215">
        <f>'прил10 (ведом 24-25)'!M315</f>
        <v>244740.80000000002</v>
      </c>
      <c r="I30" s="215">
        <f>'прил10 (ведом 24-25)'!N315</f>
        <v>244740.80000000002</v>
      </c>
    </row>
    <row r="31" spans="1:9" ht="18" x14ac:dyDescent="0.35">
      <c r="A31" s="325"/>
      <c r="B31" s="492" t="s">
        <v>271</v>
      </c>
      <c r="C31" s="206" t="s">
        <v>39</v>
      </c>
      <c r="D31" s="207" t="s">
        <v>45</v>
      </c>
      <c r="E31" s="207" t="s">
        <v>39</v>
      </c>
      <c r="F31" s="208" t="s">
        <v>44</v>
      </c>
      <c r="G31" s="28"/>
      <c r="H31" s="215">
        <f>H48+H52+H56+H32+H40+H63+H45+H37+H59+H70+H68+H66</f>
        <v>714677.69999999972</v>
      </c>
      <c r="I31" s="215">
        <f>I48+I52+I56+I32+I40+I63+I45+I37+I59+I70+I68+I66</f>
        <v>704687.3</v>
      </c>
    </row>
    <row r="32" spans="1:9" ht="36" x14ac:dyDescent="0.35">
      <c r="A32" s="325"/>
      <c r="B32" s="492" t="s">
        <v>461</v>
      </c>
      <c r="C32" s="206" t="s">
        <v>39</v>
      </c>
      <c r="D32" s="207" t="s">
        <v>45</v>
      </c>
      <c r="E32" s="207" t="s">
        <v>39</v>
      </c>
      <c r="F32" s="208" t="s">
        <v>91</v>
      </c>
      <c r="G32" s="28"/>
      <c r="H32" s="215">
        <f>SUM(H33:H36)</f>
        <v>81087.199999999997</v>
      </c>
      <c r="I32" s="215">
        <f>SUM(I33:I36)</f>
        <v>94774.8</v>
      </c>
    </row>
    <row r="33" spans="1:9" ht="90" x14ac:dyDescent="0.35">
      <c r="A33" s="325"/>
      <c r="B33" s="493" t="s">
        <v>49</v>
      </c>
      <c r="C33" s="206" t="s">
        <v>39</v>
      </c>
      <c r="D33" s="207" t="s">
        <v>45</v>
      </c>
      <c r="E33" s="207" t="s">
        <v>39</v>
      </c>
      <c r="F33" s="208" t="s">
        <v>91</v>
      </c>
      <c r="G33" s="28" t="s">
        <v>50</v>
      </c>
      <c r="H33" s="215">
        <f>'прил10 (ведом 24-25)'!M326</f>
        <v>361.1</v>
      </c>
      <c r="I33" s="215">
        <f>'прил10 (ведом 24-25)'!N326</f>
        <v>361.1</v>
      </c>
    </row>
    <row r="34" spans="1:9" ht="36" x14ac:dyDescent="0.35">
      <c r="A34" s="325"/>
      <c r="B34" s="493" t="s">
        <v>55</v>
      </c>
      <c r="C34" s="206" t="s">
        <v>39</v>
      </c>
      <c r="D34" s="207" t="s">
        <v>45</v>
      </c>
      <c r="E34" s="207" t="s">
        <v>39</v>
      </c>
      <c r="F34" s="208" t="s">
        <v>91</v>
      </c>
      <c r="G34" s="28" t="s">
        <v>56</v>
      </c>
      <c r="H34" s="215">
        <f>'прил10 (ведом 24-25)'!M327</f>
        <v>8467.9</v>
      </c>
      <c r="I34" s="215">
        <f>'прил10 (ведом 24-25)'!N327</f>
        <v>12418.4</v>
      </c>
    </row>
    <row r="35" spans="1:9" ht="36" x14ac:dyDescent="0.35">
      <c r="A35" s="325"/>
      <c r="B35" s="492" t="s">
        <v>76</v>
      </c>
      <c r="C35" s="206" t="s">
        <v>39</v>
      </c>
      <c r="D35" s="207" t="s">
        <v>45</v>
      </c>
      <c r="E35" s="207" t="s">
        <v>39</v>
      </c>
      <c r="F35" s="208" t="s">
        <v>91</v>
      </c>
      <c r="G35" s="28" t="s">
        <v>77</v>
      </c>
      <c r="H35" s="215">
        <f>'прил10 (ведом 24-25)'!M328</f>
        <v>71870.399999999994</v>
      </c>
      <c r="I35" s="215">
        <f>'прил10 (ведом 24-25)'!N328</f>
        <v>81618.100000000006</v>
      </c>
    </row>
    <row r="36" spans="1:9" ht="18" x14ac:dyDescent="0.35">
      <c r="A36" s="325"/>
      <c r="B36" s="492" t="s">
        <v>57</v>
      </c>
      <c r="C36" s="206" t="s">
        <v>39</v>
      </c>
      <c r="D36" s="207" t="s">
        <v>45</v>
      </c>
      <c r="E36" s="207" t="s">
        <v>39</v>
      </c>
      <c r="F36" s="208" t="s">
        <v>91</v>
      </c>
      <c r="G36" s="28" t="s">
        <v>58</v>
      </c>
      <c r="H36" s="215">
        <f>'прил10 (ведом 24-25)'!M329</f>
        <v>387.8</v>
      </c>
      <c r="I36" s="215">
        <f>'прил10 (ведом 24-25)'!N329</f>
        <v>377.2</v>
      </c>
    </row>
    <row r="37" spans="1:9" ht="36" x14ac:dyDescent="0.35">
      <c r="A37" s="325"/>
      <c r="B37" s="493" t="s">
        <v>207</v>
      </c>
      <c r="C37" s="206" t="s">
        <v>39</v>
      </c>
      <c r="D37" s="207" t="s">
        <v>45</v>
      </c>
      <c r="E37" s="207" t="s">
        <v>39</v>
      </c>
      <c r="F37" s="208" t="s">
        <v>272</v>
      </c>
      <c r="G37" s="28"/>
      <c r="H37" s="215">
        <f>H38+H39</f>
        <v>29811.599999999999</v>
      </c>
      <c r="I37" s="215">
        <f>I38+I39</f>
        <v>29811.599999999999</v>
      </c>
    </row>
    <row r="38" spans="1:9" ht="36" x14ac:dyDescent="0.35">
      <c r="A38" s="325"/>
      <c r="B38" s="493" t="s">
        <v>55</v>
      </c>
      <c r="C38" s="206" t="s">
        <v>39</v>
      </c>
      <c r="D38" s="207" t="s">
        <v>45</v>
      </c>
      <c r="E38" s="207" t="s">
        <v>39</v>
      </c>
      <c r="F38" s="208" t="s">
        <v>272</v>
      </c>
      <c r="G38" s="28" t="s">
        <v>56</v>
      </c>
      <c r="H38" s="215">
        <f>'прил10 (ведом 24-25)'!M331</f>
        <v>4257.3999999999996</v>
      </c>
      <c r="I38" s="215">
        <f>'прил10 (ведом 24-25)'!N331</f>
        <v>4257.3999999999996</v>
      </c>
    </row>
    <row r="39" spans="1:9" ht="36" x14ac:dyDescent="0.35">
      <c r="A39" s="325"/>
      <c r="B39" s="493" t="s">
        <v>76</v>
      </c>
      <c r="C39" s="206" t="s">
        <v>39</v>
      </c>
      <c r="D39" s="207" t="s">
        <v>45</v>
      </c>
      <c r="E39" s="207" t="s">
        <v>39</v>
      </c>
      <c r="F39" s="208" t="s">
        <v>272</v>
      </c>
      <c r="G39" s="28" t="s">
        <v>77</v>
      </c>
      <c r="H39" s="215">
        <f>'прил10 (ведом 24-25)'!M332</f>
        <v>25554.2</v>
      </c>
      <c r="I39" s="215">
        <f>'прил10 (ведом 24-25)'!N332</f>
        <v>25554.2</v>
      </c>
    </row>
    <row r="40" spans="1:9" ht="36" x14ac:dyDescent="0.35">
      <c r="A40" s="325"/>
      <c r="B40" s="493" t="s">
        <v>208</v>
      </c>
      <c r="C40" s="206" t="s">
        <v>39</v>
      </c>
      <c r="D40" s="207" t="s">
        <v>45</v>
      </c>
      <c r="E40" s="207" t="s">
        <v>39</v>
      </c>
      <c r="F40" s="208" t="s">
        <v>273</v>
      </c>
      <c r="G40" s="28"/>
      <c r="H40" s="215">
        <f>SUM(H41:H44)</f>
        <v>17362.7</v>
      </c>
      <c r="I40" s="215">
        <f>SUM(I41:I44)</f>
        <v>17338.3</v>
      </c>
    </row>
    <row r="41" spans="1:9" ht="90" x14ac:dyDescent="0.35">
      <c r="A41" s="325"/>
      <c r="B41" s="496" t="s">
        <v>49</v>
      </c>
      <c r="C41" s="206" t="s">
        <v>39</v>
      </c>
      <c r="D41" s="207" t="s">
        <v>45</v>
      </c>
      <c r="E41" s="207" t="s">
        <v>39</v>
      </c>
      <c r="F41" s="208" t="s">
        <v>273</v>
      </c>
      <c r="G41" s="28" t="s">
        <v>50</v>
      </c>
      <c r="H41" s="215">
        <f>'прил10 (ведом 24-25)'!M334</f>
        <v>93.8</v>
      </c>
      <c r="I41" s="215">
        <f>'прил10 (ведом 24-25)'!N334</f>
        <v>93.8</v>
      </c>
    </row>
    <row r="42" spans="1:9" ht="36" x14ac:dyDescent="0.35">
      <c r="A42" s="325"/>
      <c r="B42" s="493" t="s">
        <v>55</v>
      </c>
      <c r="C42" s="206" t="s">
        <v>39</v>
      </c>
      <c r="D42" s="207" t="s">
        <v>45</v>
      </c>
      <c r="E42" s="207" t="s">
        <v>39</v>
      </c>
      <c r="F42" s="208" t="s">
        <v>273</v>
      </c>
      <c r="G42" s="28" t="s">
        <v>56</v>
      </c>
      <c r="H42" s="215">
        <f>'прил10 (ведом 24-25)'!M335</f>
        <v>546.20000000000005</v>
      </c>
      <c r="I42" s="215">
        <f>'прил10 (ведом 24-25)'!N335</f>
        <v>546.20000000000005</v>
      </c>
    </row>
    <row r="43" spans="1:9" ht="36" x14ac:dyDescent="0.35">
      <c r="A43" s="325"/>
      <c r="B43" s="494" t="s">
        <v>203</v>
      </c>
      <c r="C43" s="206" t="s">
        <v>39</v>
      </c>
      <c r="D43" s="207" t="s">
        <v>45</v>
      </c>
      <c r="E43" s="207" t="s">
        <v>39</v>
      </c>
      <c r="F43" s="208" t="s">
        <v>273</v>
      </c>
      <c r="G43" s="28" t="s">
        <v>204</v>
      </c>
      <c r="H43" s="215">
        <f>'прил10 (ведом 24-25)'!M269</f>
        <v>862.4</v>
      </c>
      <c r="I43" s="215">
        <f>'прил10 (ведом 24-25)'!N269</f>
        <v>838</v>
      </c>
    </row>
    <row r="44" spans="1:9" ht="36" x14ac:dyDescent="0.35">
      <c r="A44" s="325"/>
      <c r="B44" s="493" t="s">
        <v>76</v>
      </c>
      <c r="C44" s="206" t="s">
        <v>39</v>
      </c>
      <c r="D44" s="207" t="s">
        <v>45</v>
      </c>
      <c r="E44" s="207" t="s">
        <v>39</v>
      </c>
      <c r="F44" s="208" t="s">
        <v>273</v>
      </c>
      <c r="G44" s="28" t="s">
        <v>77</v>
      </c>
      <c r="H44" s="215">
        <f>'прил10 (ведом 24-25)'!M336</f>
        <v>15860.3</v>
      </c>
      <c r="I44" s="215">
        <f>'прил10 (ведом 24-25)'!N336</f>
        <v>15860.3</v>
      </c>
    </row>
    <row r="45" spans="1:9" ht="234" x14ac:dyDescent="0.35">
      <c r="A45" s="325"/>
      <c r="B45" s="493" t="s">
        <v>592</v>
      </c>
      <c r="C45" s="206" t="s">
        <v>39</v>
      </c>
      <c r="D45" s="207" t="s">
        <v>45</v>
      </c>
      <c r="E45" s="207" t="s">
        <v>39</v>
      </c>
      <c r="F45" s="208" t="s">
        <v>519</v>
      </c>
      <c r="G45" s="28"/>
      <c r="H45" s="215">
        <f>H46+H47</f>
        <v>35752.9</v>
      </c>
      <c r="I45" s="215">
        <f>I46+I47</f>
        <v>35752.9</v>
      </c>
    </row>
    <row r="46" spans="1:9" ht="90" x14ac:dyDescent="0.35">
      <c r="A46" s="325"/>
      <c r="B46" s="493" t="s">
        <v>49</v>
      </c>
      <c r="C46" s="206" t="s">
        <v>39</v>
      </c>
      <c r="D46" s="207" t="s">
        <v>45</v>
      </c>
      <c r="E46" s="207" t="s">
        <v>39</v>
      </c>
      <c r="F46" s="208" t="s">
        <v>519</v>
      </c>
      <c r="G46" s="28" t="s">
        <v>50</v>
      </c>
      <c r="H46" s="215">
        <f>'прил10 (ведом 24-25)'!M338</f>
        <v>2968.6</v>
      </c>
      <c r="I46" s="215">
        <f>'прил10 (ведом 24-25)'!N338</f>
        <v>2968.6</v>
      </c>
    </row>
    <row r="47" spans="1:9" ht="36" x14ac:dyDescent="0.35">
      <c r="A47" s="325"/>
      <c r="B47" s="493" t="s">
        <v>76</v>
      </c>
      <c r="C47" s="206" t="s">
        <v>39</v>
      </c>
      <c r="D47" s="207" t="s">
        <v>45</v>
      </c>
      <c r="E47" s="207" t="s">
        <v>39</v>
      </c>
      <c r="F47" s="208" t="s">
        <v>519</v>
      </c>
      <c r="G47" s="28" t="s">
        <v>77</v>
      </c>
      <c r="H47" s="215">
        <f>'прил10 (ведом 24-25)'!M339</f>
        <v>32784.300000000003</v>
      </c>
      <c r="I47" s="215">
        <f>'прил10 (ведом 24-25)'!N339</f>
        <v>32784.300000000003</v>
      </c>
    </row>
    <row r="48" spans="1:9" ht="162" x14ac:dyDescent="0.35">
      <c r="A48" s="325"/>
      <c r="B48" s="492" t="s">
        <v>267</v>
      </c>
      <c r="C48" s="206" t="s">
        <v>39</v>
      </c>
      <c r="D48" s="207" t="s">
        <v>45</v>
      </c>
      <c r="E48" s="207" t="s">
        <v>39</v>
      </c>
      <c r="F48" s="208" t="s">
        <v>268</v>
      </c>
      <c r="G48" s="28"/>
      <c r="H48" s="215">
        <f>SUM(H49:H51)</f>
        <v>1599.6</v>
      </c>
      <c r="I48" s="215">
        <f>SUM(I49:I51)</f>
        <v>1663.6</v>
      </c>
    </row>
    <row r="49" spans="1:9" ht="90" x14ac:dyDescent="0.35">
      <c r="A49" s="325"/>
      <c r="B49" s="493" t="s">
        <v>49</v>
      </c>
      <c r="C49" s="206" t="s">
        <v>39</v>
      </c>
      <c r="D49" s="207" t="s">
        <v>45</v>
      </c>
      <c r="E49" s="207" t="s">
        <v>39</v>
      </c>
      <c r="F49" s="208" t="s">
        <v>268</v>
      </c>
      <c r="G49" s="28" t="s">
        <v>50</v>
      </c>
      <c r="H49" s="215">
        <f>'прил10 (ведом 24-25)'!M341</f>
        <v>77.599999999999994</v>
      </c>
      <c r="I49" s="215">
        <f>'прил10 (ведом 24-25)'!N341</f>
        <v>80</v>
      </c>
    </row>
    <row r="50" spans="1:9" ht="18" x14ac:dyDescent="0.35">
      <c r="A50" s="325"/>
      <c r="B50" s="493" t="s">
        <v>120</v>
      </c>
      <c r="C50" s="206" t="s">
        <v>39</v>
      </c>
      <c r="D50" s="207" t="s">
        <v>45</v>
      </c>
      <c r="E50" s="207" t="s">
        <v>39</v>
      </c>
      <c r="F50" s="208" t="s">
        <v>268</v>
      </c>
      <c r="G50" s="28" t="s">
        <v>121</v>
      </c>
      <c r="H50" s="215">
        <f>'прил10 (ведом 24-25)'!M342</f>
        <v>5.5</v>
      </c>
      <c r="I50" s="215">
        <f>'прил10 (ведом 24-25)'!N342</f>
        <v>5.6</v>
      </c>
    </row>
    <row r="51" spans="1:9" ht="36" x14ac:dyDescent="0.35">
      <c r="A51" s="325"/>
      <c r="B51" s="492" t="s">
        <v>76</v>
      </c>
      <c r="C51" s="206" t="s">
        <v>39</v>
      </c>
      <c r="D51" s="207" t="s">
        <v>45</v>
      </c>
      <c r="E51" s="207" t="s">
        <v>39</v>
      </c>
      <c r="F51" s="208" t="s">
        <v>268</v>
      </c>
      <c r="G51" s="28" t="s">
        <v>77</v>
      </c>
      <c r="H51" s="215">
        <f>'прил10 (ведом 24-25)'!M343</f>
        <v>1516.5</v>
      </c>
      <c r="I51" s="215">
        <f>'прил10 (ведом 24-25)'!N343</f>
        <v>1578</v>
      </c>
    </row>
    <row r="52" spans="1:9" ht="90" x14ac:dyDescent="0.35">
      <c r="A52" s="325"/>
      <c r="B52" s="492" t="s">
        <v>343</v>
      </c>
      <c r="C52" s="206" t="s">
        <v>39</v>
      </c>
      <c r="D52" s="207" t="s">
        <v>45</v>
      </c>
      <c r="E52" s="207" t="s">
        <v>39</v>
      </c>
      <c r="F52" s="208" t="s">
        <v>269</v>
      </c>
      <c r="G52" s="28"/>
      <c r="H52" s="215">
        <f>SUM(H53:H55)</f>
        <v>444750.99999999994</v>
      </c>
      <c r="I52" s="215">
        <f>SUM(I53:I55)</f>
        <v>444788.39999999997</v>
      </c>
    </row>
    <row r="53" spans="1:9" ht="90" x14ac:dyDescent="0.35">
      <c r="A53" s="325"/>
      <c r="B53" s="492" t="s">
        <v>49</v>
      </c>
      <c r="C53" s="206" t="s">
        <v>39</v>
      </c>
      <c r="D53" s="207" t="s">
        <v>45</v>
      </c>
      <c r="E53" s="207" t="s">
        <v>39</v>
      </c>
      <c r="F53" s="208" t="s">
        <v>269</v>
      </c>
      <c r="G53" s="28" t="s">
        <v>50</v>
      </c>
      <c r="H53" s="215">
        <f>'прил10 (ведом 24-25)'!M345</f>
        <v>30259.8</v>
      </c>
      <c r="I53" s="215">
        <f>'прил10 (ведом 24-25)'!N345</f>
        <v>30259.8</v>
      </c>
    </row>
    <row r="54" spans="1:9" ht="36" x14ac:dyDescent="0.35">
      <c r="A54" s="325"/>
      <c r="B54" s="492" t="s">
        <v>55</v>
      </c>
      <c r="C54" s="206" t="s">
        <v>39</v>
      </c>
      <c r="D54" s="207" t="s">
        <v>45</v>
      </c>
      <c r="E54" s="207" t="s">
        <v>39</v>
      </c>
      <c r="F54" s="208" t="s">
        <v>269</v>
      </c>
      <c r="G54" s="28" t="s">
        <v>56</v>
      </c>
      <c r="H54" s="215">
        <f>'прил10 (ведом 24-25)'!M346</f>
        <v>1983</v>
      </c>
      <c r="I54" s="215">
        <f>'прил10 (ведом 24-25)'!N346</f>
        <v>1983</v>
      </c>
    </row>
    <row r="55" spans="1:9" ht="36" x14ac:dyDescent="0.35">
      <c r="A55" s="325"/>
      <c r="B55" s="492" t="s">
        <v>76</v>
      </c>
      <c r="C55" s="206" t="s">
        <v>39</v>
      </c>
      <c r="D55" s="207" t="s">
        <v>45</v>
      </c>
      <c r="E55" s="207" t="s">
        <v>39</v>
      </c>
      <c r="F55" s="208" t="s">
        <v>269</v>
      </c>
      <c r="G55" s="28" t="s">
        <v>77</v>
      </c>
      <c r="H55" s="215">
        <f>'прил10 (ведом 24-25)'!M347</f>
        <v>412508.19999999995</v>
      </c>
      <c r="I55" s="215">
        <f>'прил10 (ведом 24-25)'!N347</f>
        <v>412545.6</v>
      </c>
    </row>
    <row r="56" spans="1:9" ht="72" x14ac:dyDescent="0.35">
      <c r="A56" s="325"/>
      <c r="B56" s="492" t="s">
        <v>209</v>
      </c>
      <c r="C56" s="683" t="s">
        <v>39</v>
      </c>
      <c r="D56" s="683" t="s">
        <v>45</v>
      </c>
      <c r="E56" s="683" t="s">
        <v>39</v>
      </c>
      <c r="F56" s="684" t="s">
        <v>274</v>
      </c>
      <c r="G56" s="236"/>
      <c r="H56" s="215">
        <f>SUM(H57:H58)</f>
        <v>2502.6</v>
      </c>
      <c r="I56" s="215">
        <f>SUM(I57:I58)</f>
        <v>2502.6</v>
      </c>
    </row>
    <row r="57" spans="1:9" ht="36" x14ac:dyDescent="0.35">
      <c r="A57" s="325"/>
      <c r="B57" s="493" t="s">
        <v>55</v>
      </c>
      <c r="C57" s="206" t="s">
        <v>39</v>
      </c>
      <c r="D57" s="207" t="s">
        <v>45</v>
      </c>
      <c r="E57" s="207" t="s">
        <v>39</v>
      </c>
      <c r="F57" s="208" t="s">
        <v>274</v>
      </c>
      <c r="G57" s="28" t="s">
        <v>56</v>
      </c>
      <c r="H57" s="215">
        <f>'прил10 (ведом 24-25)'!M349</f>
        <v>129.9</v>
      </c>
      <c r="I57" s="215">
        <f>'прил10 (ведом 24-25)'!N349</f>
        <v>129.9</v>
      </c>
    </row>
    <row r="58" spans="1:9" ht="36" x14ac:dyDescent="0.35">
      <c r="A58" s="325"/>
      <c r="B58" s="492" t="s">
        <v>76</v>
      </c>
      <c r="C58" s="683" t="s">
        <v>39</v>
      </c>
      <c r="D58" s="683" t="s">
        <v>45</v>
      </c>
      <c r="E58" s="683" t="s">
        <v>39</v>
      </c>
      <c r="F58" s="684" t="s">
        <v>274</v>
      </c>
      <c r="G58" s="236" t="s">
        <v>77</v>
      </c>
      <c r="H58" s="215">
        <f>'прил10 (ведом 24-25)'!M350</f>
        <v>2372.6999999999998</v>
      </c>
      <c r="I58" s="215">
        <f>'прил10 (ведом 24-25)'!N350</f>
        <v>2372.6999999999998</v>
      </c>
    </row>
    <row r="59" spans="1:9" ht="126" x14ac:dyDescent="0.35">
      <c r="A59" s="325"/>
      <c r="B59" s="496" t="s">
        <v>547</v>
      </c>
      <c r="C59" s="689" t="s">
        <v>39</v>
      </c>
      <c r="D59" s="690" t="s">
        <v>45</v>
      </c>
      <c r="E59" s="690" t="s">
        <v>39</v>
      </c>
      <c r="F59" s="691" t="s">
        <v>546</v>
      </c>
      <c r="G59" s="10"/>
      <c r="H59" s="215">
        <f>SUM(H60:H62)</f>
        <v>2232.2000000000003</v>
      </c>
      <c r="I59" s="215">
        <f>SUM(I60:I62)</f>
        <v>2086.4</v>
      </c>
    </row>
    <row r="60" spans="1:9" ht="36" x14ac:dyDescent="0.35">
      <c r="A60" s="325"/>
      <c r="B60" s="496" t="s">
        <v>55</v>
      </c>
      <c r="C60" s="689" t="s">
        <v>39</v>
      </c>
      <c r="D60" s="690" t="s">
        <v>45</v>
      </c>
      <c r="E60" s="690" t="s">
        <v>39</v>
      </c>
      <c r="F60" s="691" t="s">
        <v>546</v>
      </c>
      <c r="G60" s="10" t="s">
        <v>56</v>
      </c>
      <c r="H60" s="215">
        <f>'прил10 (ведом 24-25)'!M352</f>
        <v>79.900000000000006</v>
      </c>
      <c r="I60" s="215">
        <f>'прил10 (ведом 24-25)'!N352</f>
        <v>66.3</v>
      </c>
    </row>
    <row r="61" spans="1:9" ht="18" x14ac:dyDescent="0.35">
      <c r="A61" s="325"/>
      <c r="B61" s="493" t="s">
        <v>120</v>
      </c>
      <c r="C61" s="206" t="s">
        <v>39</v>
      </c>
      <c r="D61" s="207" t="s">
        <v>45</v>
      </c>
      <c r="E61" s="207" t="s">
        <v>39</v>
      </c>
      <c r="F61" s="208" t="s">
        <v>546</v>
      </c>
      <c r="G61" s="28" t="s">
        <v>121</v>
      </c>
      <c r="H61" s="215">
        <f>'прил10 (ведом 24-25)'!M353</f>
        <v>25.5</v>
      </c>
      <c r="I61" s="215">
        <f>'прил10 (ведом 24-25)'!N353</f>
        <v>23.6</v>
      </c>
    </row>
    <row r="62" spans="1:9" ht="36" x14ac:dyDescent="0.35">
      <c r="A62" s="325"/>
      <c r="B62" s="496" t="s">
        <v>76</v>
      </c>
      <c r="C62" s="689" t="s">
        <v>39</v>
      </c>
      <c r="D62" s="690" t="s">
        <v>45</v>
      </c>
      <c r="E62" s="690" t="s">
        <v>39</v>
      </c>
      <c r="F62" s="691" t="s">
        <v>546</v>
      </c>
      <c r="G62" s="10" t="s">
        <v>77</v>
      </c>
      <c r="H62" s="215">
        <f>'прил10 (ведом 24-25)'!M354</f>
        <v>2126.8000000000002</v>
      </c>
      <c r="I62" s="215">
        <f>'прил10 (ведом 24-25)'!N354</f>
        <v>1996.5</v>
      </c>
    </row>
    <row r="63" spans="1:9" ht="72" x14ac:dyDescent="0.35">
      <c r="A63" s="325"/>
      <c r="B63" s="493" t="s">
        <v>453</v>
      </c>
      <c r="C63" s="206" t="s">
        <v>39</v>
      </c>
      <c r="D63" s="207" t="s">
        <v>45</v>
      </c>
      <c r="E63" s="207" t="s">
        <v>39</v>
      </c>
      <c r="F63" s="208" t="s">
        <v>452</v>
      </c>
      <c r="G63" s="28"/>
      <c r="H63" s="215">
        <f>H64+H65</f>
        <v>63320.5</v>
      </c>
      <c r="I63" s="215">
        <f>I64+I65</f>
        <v>62761.9</v>
      </c>
    </row>
    <row r="64" spans="1:9" ht="36" x14ac:dyDescent="0.35">
      <c r="A64" s="325"/>
      <c r="B64" s="493" t="s">
        <v>55</v>
      </c>
      <c r="C64" s="206" t="s">
        <v>39</v>
      </c>
      <c r="D64" s="207" t="s">
        <v>45</v>
      </c>
      <c r="E64" s="207" t="s">
        <v>39</v>
      </c>
      <c r="F64" s="208" t="s">
        <v>452</v>
      </c>
      <c r="G64" s="28" t="s">
        <v>56</v>
      </c>
      <c r="H64" s="215">
        <f>'прил10 (ведом 24-25)'!M356</f>
        <v>1902.9</v>
      </c>
      <c r="I64" s="215">
        <f>'прил10 (ведом 24-25)'!N356</f>
        <v>1917.7</v>
      </c>
    </row>
    <row r="65" spans="1:9" ht="36" x14ac:dyDescent="0.35">
      <c r="A65" s="325"/>
      <c r="B65" s="493" t="s">
        <v>76</v>
      </c>
      <c r="C65" s="206" t="s">
        <v>39</v>
      </c>
      <c r="D65" s="207" t="s">
        <v>45</v>
      </c>
      <c r="E65" s="207" t="s">
        <v>39</v>
      </c>
      <c r="F65" s="208" t="s">
        <v>452</v>
      </c>
      <c r="G65" s="28" t="s">
        <v>77</v>
      </c>
      <c r="H65" s="215">
        <f>'прил10 (ведом 24-25)'!M357</f>
        <v>61417.599999999999</v>
      </c>
      <c r="I65" s="215">
        <f>'прил10 (ведом 24-25)'!N357</f>
        <v>60844.200000000004</v>
      </c>
    </row>
    <row r="66" spans="1:9" ht="108" x14ac:dyDescent="0.35">
      <c r="A66" s="325"/>
      <c r="B66" s="585" t="s">
        <v>500</v>
      </c>
      <c r="C66" s="357" t="s">
        <v>39</v>
      </c>
      <c r="D66" s="358" t="s">
        <v>45</v>
      </c>
      <c r="E66" s="358" t="s">
        <v>39</v>
      </c>
      <c r="F66" s="359" t="s">
        <v>499</v>
      </c>
      <c r="G66" s="417"/>
      <c r="H66" s="215">
        <f>H67</f>
        <v>17968.2</v>
      </c>
      <c r="I66" s="215">
        <f>I67</f>
        <v>0</v>
      </c>
    </row>
    <row r="67" spans="1:9" ht="36" x14ac:dyDescent="0.35">
      <c r="A67" s="325"/>
      <c r="B67" s="585" t="s">
        <v>203</v>
      </c>
      <c r="C67" s="593" t="s">
        <v>39</v>
      </c>
      <c r="D67" s="594" t="s">
        <v>45</v>
      </c>
      <c r="E67" s="594" t="s">
        <v>39</v>
      </c>
      <c r="F67" s="595" t="s">
        <v>499</v>
      </c>
      <c r="G67" s="417" t="s">
        <v>204</v>
      </c>
      <c r="H67" s="215">
        <f>'прил10 (ведом 24-25)'!M271</f>
        <v>17968.2</v>
      </c>
      <c r="I67" s="215">
        <f>'прил10 (ведом 24-25)'!N271</f>
        <v>0</v>
      </c>
    </row>
    <row r="68" spans="1:9" ht="162" x14ac:dyDescent="0.35">
      <c r="A68" s="325"/>
      <c r="B68" s="496" t="s">
        <v>548</v>
      </c>
      <c r="C68" s="689" t="s">
        <v>39</v>
      </c>
      <c r="D68" s="690" t="s">
        <v>45</v>
      </c>
      <c r="E68" s="690" t="s">
        <v>39</v>
      </c>
      <c r="F68" s="691" t="s">
        <v>549</v>
      </c>
      <c r="G68" s="10"/>
      <c r="H68" s="215">
        <f>H69</f>
        <v>3900.6</v>
      </c>
      <c r="I68" s="215">
        <f>I69</f>
        <v>0</v>
      </c>
    </row>
    <row r="69" spans="1:9" ht="36" x14ac:dyDescent="0.35">
      <c r="A69" s="325"/>
      <c r="B69" s="496" t="s">
        <v>76</v>
      </c>
      <c r="C69" s="689" t="s">
        <v>39</v>
      </c>
      <c r="D69" s="690" t="s">
        <v>45</v>
      </c>
      <c r="E69" s="690" t="s">
        <v>39</v>
      </c>
      <c r="F69" s="691" t="s">
        <v>549</v>
      </c>
      <c r="G69" s="10" t="s">
        <v>77</v>
      </c>
      <c r="H69" s="215">
        <f>'прил10 (ведом 24-25)'!M359</f>
        <v>3900.6</v>
      </c>
      <c r="I69" s="215">
        <f>'прил10 (ведом 24-25)'!N359</f>
        <v>0</v>
      </c>
    </row>
    <row r="70" spans="1:9" ht="72" x14ac:dyDescent="0.35">
      <c r="A70" s="325"/>
      <c r="B70" s="496" t="s">
        <v>544</v>
      </c>
      <c r="C70" s="689" t="s">
        <v>39</v>
      </c>
      <c r="D70" s="690" t="s">
        <v>45</v>
      </c>
      <c r="E70" s="690" t="s">
        <v>39</v>
      </c>
      <c r="F70" s="691" t="s">
        <v>543</v>
      </c>
      <c r="G70" s="28"/>
      <c r="H70" s="215">
        <f>H71+H72+H73</f>
        <v>14388.6</v>
      </c>
      <c r="I70" s="215">
        <f>I71+I72+I73</f>
        <v>13206.8</v>
      </c>
    </row>
    <row r="71" spans="1:9" ht="36" x14ac:dyDescent="0.35">
      <c r="A71" s="325"/>
      <c r="B71" s="496" t="s">
        <v>55</v>
      </c>
      <c r="C71" s="689" t="s">
        <v>39</v>
      </c>
      <c r="D71" s="690" t="s">
        <v>45</v>
      </c>
      <c r="E71" s="690" t="s">
        <v>39</v>
      </c>
      <c r="F71" s="691" t="s">
        <v>543</v>
      </c>
      <c r="G71" s="10" t="s">
        <v>56</v>
      </c>
      <c r="H71" s="215">
        <f>'прил10 (ведом 24-25)'!M361</f>
        <v>90.6</v>
      </c>
      <c r="I71" s="215">
        <f>'прил10 (ведом 24-25)'!N361</f>
        <v>71.900000000000006</v>
      </c>
    </row>
    <row r="72" spans="1:9" ht="18" x14ac:dyDescent="0.35">
      <c r="A72" s="325"/>
      <c r="B72" s="496" t="s">
        <v>120</v>
      </c>
      <c r="C72" s="689" t="s">
        <v>39</v>
      </c>
      <c r="D72" s="690" t="s">
        <v>45</v>
      </c>
      <c r="E72" s="690" t="s">
        <v>39</v>
      </c>
      <c r="F72" s="691" t="s">
        <v>543</v>
      </c>
      <c r="G72" s="10" t="s">
        <v>121</v>
      </c>
      <c r="H72" s="215">
        <f>'прил10 (ведом 24-25)'!M362</f>
        <v>102</v>
      </c>
      <c r="I72" s="215">
        <f>'прил10 (ведом 24-25)'!N362</f>
        <v>102</v>
      </c>
    </row>
    <row r="73" spans="1:9" ht="36" x14ac:dyDescent="0.35">
      <c r="A73" s="325"/>
      <c r="B73" s="496" t="s">
        <v>76</v>
      </c>
      <c r="C73" s="689" t="s">
        <v>39</v>
      </c>
      <c r="D73" s="690" t="s">
        <v>45</v>
      </c>
      <c r="E73" s="690" t="s">
        <v>39</v>
      </c>
      <c r="F73" s="691" t="s">
        <v>543</v>
      </c>
      <c r="G73" s="10" t="s">
        <v>77</v>
      </c>
      <c r="H73" s="215">
        <f>'прил10 (ведом 24-25)'!M363</f>
        <v>14196</v>
      </c>
      <c r="I73" s="215">
        <f>'прил10 (ведом 24-25)'!N363</f>
        <v>13032.9</v>
      </c>
    </row>
    <row r="74" spans="1:9" ht="72" x14ac:dyDescent="0.35">
      <c r="A74" s="325"/>
      <c r="B74" s="496" t="s">
        <v>661</v>
      </c>
      <c r="C74" s="689" t="s">
        <v>39</v>
      </c>
      <c r="D74" s="690" t="s">
        <v>45</v>
      </c>
      <c r="E74" s="690" t="s">
        <v>642</v>
      </c>
      <c r="F74" s="691" t="s">
        <v>660</v>
      </c>
      <c r="G74" s="10"/>
      <c r="H74" s="215">
        <f>H75+H76</f>
        <v>5457.5</v>
      </c>
      <c r="I74" s="215">
        <f>I75+I76</f>
        <v>5457.5</v>
      </c>
    </row>
    <row r="75" spans="1:9" ht="90" x14ac:dyDescent="0.35">
      <c r="A75" s="325"/>
      <c r="B75" s="496" t="s">
        <v>49</v>
      </c>
      <c r="C75" s="689" t="s">
        <v>39</v>
      </c>
      <c r="D75" s="690" t="s">
        <v>45</v>
      </c>
      <c r="E75" s="690" t="s">
        <v>642</v>
      </c>
      <c r="F75" s="691" t="s">
        <v>660</v>
      </c>
      <c r="G75" s="10" t="s">
        <v>50</v>
      </c>
      <c r="H75" s="215">
        <f>'прил10 (ведом 24-25)'!M365</f>
        <v>399.32925</v>
      </c>
      <c r="I75" s="215">
        <f>'прил10 (ведом 24-25)'!N365</f>
        <v>399.32925</v>
      </c>
    </row>
    <row r="76" spans="1:9" ht="36" x14ac:dyDescent="0.35">
      <c r="A76" s="325"/>
      <c r="B76" s="496" t="s">
        <v>76</v>
      </c>
      <c r="C76" s="689" t="s">
        <v>39</v>
      </c>
      <c r="D76" s="690" t="s">
        <v>45</v>
      </c>
      <c r="E76" s="690" t="s">
        <v>642</v>
      </c>
      <c r="F76" s="691" t="s">
        <v>660</v>
      </c>
      <c r="G76" s="10" t="s">
        <v>77</v>
      </c>
      <c r="H76" s="215">
        <f>'прил10 (ведом 24-25)'!M366</f>
        <v>5058.1707500000002</v>
      </c>
      <c r="I76" s="215">
        <f>'прил10 (ведом 24-25)'!N366</f>
        <v>5058.1707500000002</v>
      </c>
    </row>
    <row r="77" spans="1:9" ht="18" x14ac:dyDescent="0.35">
      <c r="A77" s="325"/>
      <c r="B77" s="492" t="s">
        <v>210</v>
      </c>
      <c r="C77" s="206" t="s">
        <v>39</v>
      </c>
      <c r="D77" s="207" t="s">
        <v>89</v>
      </c>
      <c r="E77" s="207" t="s">
        <v>43</v>
      </c>
      <c r="F77" s="208" t="s">
        <v>44</v>
      </c>
      <c r="G77" s="236"/>
      <c r="H77" s="215">
        <f>H78</f>
        <v>70176.600000000006</v>
      </c>
      <c r="I77" s="215">
        <f>I78</f>
        <v>80775.10000000002</v>
      </c>
    </row>
    <row r="78" spans="1:9" ht="36" x14ac:dyDescent="0.35">
      <c r="A78" s="325"/>
      <c r="B78" s="492" t="s">
        <v>275</v>
      </c>
      <c r="C78" s="206" t="s">
        <v>39</v>
      </c>
      <c r="D78" s="207" t="s">
        <v>89</v>
      </c>
      <c r="E78" s="207" t="s">
        <v>37</v>
      </c>
      <c r="F78" s="208" t="s">
        <v>44</v>
      </c>
      <c r="G78" s="236"/>
      <c r="H78" s="215">
        <f>H79+H87+H89+H84</f>
        <v>70176.600000000006</v>
      </c>
      <c r="I78" s="215">
        <f>I79+I87+I89+I84</f>
        <v>80775.10000000002</v>
      </c>
    </row>
    <row r="79" spans="1:9" ht="36" x14ac:dyDescent="0.35">
      <c r="A79" s="325"/>
      <c r="B79" s="492" t="s">
        <v>461</v>
      </c>
      <c r="C79" s="206" t="s">
        <v>39</v>
      </c>
      <c r="D79" s="207" t="s">
        <v>89</v>
      </c>
      <c r="E79" s="207" t="s">
        <v>37</v>
      </c>
      <c r="F79" s="208" t="s">
        <v>91</v>
      </c>
      <c r="G79" s="28"/>
      <c r="H79" s="215">
        <f>SUM(H80:H83)</f>
        <v>53765.8</v>
      </c>
      <c r="I79" s="215">
        <f>SUM(I80:I83)</f>
        <v>64360.80000000001</v>
      </c>
    </row>
    <row r="80" spans="1:9" ht="90" x14ac:dyDescent="0.35">
      <c r="A80" s="325"/>
      <c r="B80" s="493" t="s">
        <v>49</v>
      </c>
      <c r="C80" s="206" t="s">
        <v>39</v>
      </c>
      <c r="D80" s="207" t="s">
        <v>89</v>
      </c>
      <c r="E80" s="207" t="s">
        <v>37</v>
      </c>
      <c r="F80" s="208" t="s">
        <v>91</v>
      </c>
      <c r="G80" s="28" t="s">
        <v>50</v>
      </c>
      <c r="H80" s="215">
        <f>'прил10 (ведом 24-25)'!M377</f>
        <v>15332.3</v>
      </c>
      <c r="I80" s="215">
        <f>'прил10 (ведом 24-25)'!N377</f>
        <v>15332.3</v>
      </c>
    </row>
    <row r="81" spans="1:9" ht="36" x14ac:dyDescent="0.35">
      <c r="A81" s="325"/>
      <c r="B81" s="493" t="s">
        <v>55</v>
      </c>
      <c r="C81" s="206" t="s">
        <v>39</v>
      </c>
      <c r="D81" s="207" t="s">
        <v>89</v>
      </c>
      <c r="E81" s="207" t="s">
        <v>37</v>
      </c>
      <c r="F81" s="208" t="s">
        <v>91</v>
      </c>
      <c r="G81" s="28" t="s">
        <v>56</v>
      </c>
      <c r="H81" s="215">
        <f>'прил10 (ведом 24-25)'!M378</f>
        <v>1122.5915299999999</v>
      </c>
      <c r="I81" s="215">
        <f>'прил10 (ведом 24-25)'!N378</f>
        <v>6539.5915300000006</v>
      </c>
    </row>
    <row r="82" spans="1:9" ht="36" x14ac:dyDescent="0.35">
      <c r="A82" s="325"/>
      <c r="B82" s="492" t="s">
        <v>76</v>
      </c>
      <c r="C82" s="206" t="s">
        <v>39</v>
      </c>
      <c r="D82" s="207" t="s">
        <v>89</v>
      </c>
      <c r="E82" s="207" t="s">
        <v>37</v>
      </c>
      <c r="F82" s="208" t="s">
        <v>91</v>
      </c>
      <c r="G82" s="28" t="s">
        <v>77</v>
      </c>
      <c r="H82" s="215">
        <f>'прил10 (ведом 24-25)'!M379</f>
        <v>37266.408470000002</v>
      </c>
      <c r="I82" s="215">
        <f>'прил10 (ведом 24-25)'!N379</f>
        <v>42444.608470000006</v>
      </c>
    </row>
    <row r="83" spans="1:9" ht="18" x14ac:dyDescent="0.35">
      <c r="A83" s="325"/>
      <c r="B83" s="493" t="s">
        <v>57</v>
      </c>
      <c r="C83" s="206" t="s">
        <v>39</v>
      </c>
      <c r="D83" s="207" t="s">
        <v>89</v>
      </c>
      <c r="E83" s="207" t="s">
        <v>37</v>
      </c>
      <c r="F83" s="208" t="s">
        <v>91</v>
      </c>
      <c r="G83" s="28" t="s">
        <v>58</v>
      </c>
      <c r="H83" s="215">
        <f>'прил10 (ведом 24-25)'!M380</f>
        <v>44.5</v>
      </c>
      <c r="I83" s="215">
        <f>'прил10 (ведом 24-25)'!N380</f>
        <v>44.3</v>
      </c>
    </row>
    <row r="84" spans="1:9" ht="36" x14ac:dyDescent="0.35">
      <c r="A84" s="325"/>
      <c r="B84" s="493" t="s">
        <v>207</v>
      </c>
      <c r="C84" s="206" t="s">
        <v>39</v>
      </c>
      <c r="D84" s="207" t="s">
        <v>89</v>
      </c>
      <c r="E84" s="207" t="s">
        <v>37</v>
      </c>
      <c r="F84" s="208" t="s">
        <v>272</v>
      </c>
      <c r="G84" s="28"/>
      <c r="H84" s="215">
        <f>H85+H86</f>
        <v>5321.7999999999993</v>
      </c>
      <c r="I84" s="215">
        <f>I85+I86</f>
        <v>5321.7999999999993</v>
      </c>
    </row>
    <row r="85" spans="1:9" ht="36" x14ac:dyDescent="0.35">
      <c r="A85" s="325"/>
      <c r="B85" s="493" t="s">
        <v>55</v>
      </c>
      <c r="C85" s="206" t="s">
        <v>39</v>
      </c>
      <c r="D85" s="207" t="s">
        <v>89</v>
      </c>
      <c r="E85" s="207" t="s">
        <v>37</v>
      </c>
      <c r="F85" s="208" t="s">
        <v>272</v>
      </c>
      <c r="G85" s="28" t="s">
        <v>56</v>
      </c>
      <c r="H85" s="215">
        <f>'прил10 (ведом 24-25)'!M382</f>
        <v>1064.3499999999999</v>
      </c>
      <c r="I85" s="215">
        <f>'прил10 (ведом 24-25)'!N382</f>
        <v>1064.3499999999999</v>
      </c>
    </row>
    <row r="86" spans="1:9" ht="36" x14ac:dyDescent="0.35">
      <c r="A86" s="325"/>
      <c r="B86" s="497" t="s">
        <v>76</v>
      </c>
      <c r="C86" s="206" t="s">
        <v>39</v>
      </c>
      <c r="D86" s="207" t="s">
        <v>89</v>
      </c>
      <c r="E86" s="207" t="s">
        <v>37</v>
      </c>
      <c r="F86" s="208" t="s">
        <v>272</v>
      </c>
      <c r="G86" s="28" t="s">
        <v>77</v>
      </c>
      <c r="H86" s="215">
        <f>'прил10 (ведом 24-25)'!M383</f>
        <v>4257.45</v>
      </c>
      <c r="I86" s="215">
        <f>'прил10 (ведом 24-25)'!N383</f>
        <v>4257.45</v>
      </c>
    </row>
    <row r="87" spans="1:9" ht="162" x14ac:dyDescent="0.35">
      <c r="A87" s="325"/>
      <c r="B87" s="492" t="s">
        <v>267</v>
      </c>
      <c r="C87" s="206" t="s">
        <v>39</v>
      </c>
      <c r="D87" s="207" t="s">
        <v>89</v>
      </c>
      <c r="E87" s="207" t="s">
        <v>37</v>
      </c>
      <c r="F87" s="208" t="s">
        <v>268</v>
      </c>
      <c r="G87" s="28"/>
      <c r="H87" s="215">
        <f>H88</f>
        <v>89</v>
      </c>
      <c r="I87" s="215">
        <f>I88</f>
        <v>92.5</v>
      </c>
    </row>
    <row r="88" spans="1:9" ht="36" x14ac:dyDescent="0.35">
      <c r="A88" s="325"/>
      <c r="B88" s="493" t="s">
        <v>76</v>
      </c>
      <c r="C88" s="206" t="s">
        <v>39</v>
      </c>
      <c r="D88" s="207" t="s">
        <v>89</v>
      </c>
      <c r="E88" s="207" t="s">
        <v>37</v>
      </c>
      <c r="F88" s="208" t="s">
        <v>268</v>
      </c>
      <c r="G88" s="28" t="s">
        <v>77</v>
      </c>
      <c r="H88" s="215">
        <f>'прил10 (ведом 24-25)'!M385</f>
        <v>89</v>
      </c>
      <c r="I88" s="215">
        <f>'прил10 (ведом 24-25)'!N385</f>
        <v>92.5</v>
      </c>
    </row>
    <row r="89" spans="1:9" ht="90" x14ac:dyDescent="0.35">
      <c r="A89" s="325"/>
      <c r="B89" s="493" t="s">
        <v>343</v>
      </c>
      <c r="C89" s="206" t="s">
        <v>39</v>
      </c>
      <c r="D89" s="207" t="s">
        <v>89</v>
      </c>
      <c r="E89" s="207" t="s">
        <v>37</v>
      </c>
      <c r="F89" s="208" t="s">
        <v>269</v>
      </c>
      <c r="G89" s="28"/>
      <c r="H89" s="215">
        <f>H90</f>
        <v>11000</v>
      </c>
      <c r="I89" s="215">
        <f>I90</f>
        <v>11000</v>
      </c>
    </row>
    <row r="90" spans="1:9" ht="36" x14ac:dyDescent="0.35">
      <c r="A90" s="325"/>
      <c r="B90" s="493" t="s">
        <v>76</v>
      </c>
      <c r="C90" s="206" t="s">
        <v>39</v>
      </c>
      <c r="D90" s="207" t="s">
        <v>89</v>
      </c>
      <c r="E90" s="207" t="s">
        <v>37</v>
      </c>
      <c r="F90" s="208" t="s">
        <v>269</v>
      </c>
      <c r="G90" s="28" t="s">
        <v>77</v>
      </c>
      <c r="H90" s="215">
        <f>'прил10 (ведом 24-25)'!M387</f>
        <v>11000</v>
      </c>
      <c r="I90" s="215">
        <f>'прил10 (ведом 24-25)'!N387</f>
        <v>11000</v>
      </c>
    </row>
    <row r="91" spans="1:9" ht="36" x14ac:dyDescent="0.35">
      <c r="A91" s="325"/>
      <c r="B91" s="492" t="s">
        <v>212</v>
      </c>
      <c r="C91" s="206" t="s">
        <v>39</v>
      </c>
      <c r="D91" s="207" t="s">
        <v>30</v>
      </c>
      <c r="E91" s="207" t="s">
        <v>43</v>
      </c>
      <c r="F91" s="208" t="s">
        <v>44</v>
      </c>
      <c r="G91" s="236"/>
      <c r="H91" s="215">
        <f>H92+H110+H115+H118+H121</f>
        <v>91427.300000000017</v>
      </c>
      <c r="I91" s="215">
        <f>I92+I110+I115+I118+I121</f>
        <v>91171.300000000017</v>
      </c>
    </row>
    <row r="92" spans="1:9" ht="36" x14ac:dyDescent="0.35">
      <c r="A92" s="325"/>
      <c r="B92" s="492" t="s">
        <v>281</v>
      </c>
      <c r="C92" s="206" t="s">
        <v>39</v>
      </c>
      <c r="D92" s="207" t="s">
        <v>30</v>
      </c>
      <c r="E92" s="207" t="s">
        <v>37</v>
      </c>
      <c r="F92" s="208" t="s">
        <v>44</v>
      </c>
      <c r="G92" s="236"/>
      <c r="H92" s="215">
        <f>H93+H97+H107+H104+H102</f>
        <v>83246.600000000006</v>
      </c>
      <c r="I92" s="215">
        <f>I93+I97+I107+I104+I102</f>
        <v>82758.600000000006</v>
      </c>
    </row>
    <row r="93" spans="1:9" ht="36" x14ac:dyDescent="0.35">
      <c r="A93" s="325"/>
      <c r="B93" s="492" t="s">
        <v>47</v>
      </c>
      <c r="C93" s="206" t="s">
        <v>39</v>
      </c>
      <c r="D93" s="207" t="s">
        <v>30</v>
      </c>
      <c r="E93" s="207" t="s">
        <v>37</v>
      </c>
      <c r="F93" s="208" t="s">
        <v>48</v>
      </c>
      <c r="G93" s="28"/>
      <c r="H93" s="215">
        <f>SUM(H94:H96)</f>
        <v>12618</v>
      </c>
      <c r="I93" s="215">
        <f>SUM(I94:I96)</f>
        <v>12624.6</v>
      </c>
    </row>
    <row r="94" spans="1:9" ht="90" x14ac:dyDescent="0.35">
      <c r="A94" s="325"/>
      <c r="B94" s="492" t="s">
        <v>49</v>
      </c>
      <c r="C94" s="206" t="s">
        <v>39</v>
      </c>
      <c r="D94" s="207" t="s">
        <v>30</v>
      </c>
      <c r="E94" s="207" t="s">
        <v>37</v>
      </c>
      <c r="F94" s="208" t="s">
        <v>48</v>
      </c>
      <c r="G94" s="28" t="s">
        <v>50</v>
      </c>
      <c r="H94" s="215">
        <f>'прил10 (ведом 24-25)'!M393</f>
        <v>11816.7</v>
      </c>
      <c r="I94" s="215">
        <f>'прил10 (ведом 24-25)'!N393</f>
        <v>11816.7</v>
      </c>
    </row>
    <row r="95" spans="1:9" ht="36" x14ac:dyDescent="0.35">
      <c r="A95" s="325"/>
      <c r="B95" s="492" t="s">
        <v>55</v>
      </c>
      <c r="C95" s="206" t="s">
        <v>39</v>
      </c>
      <c r="D95" s="207" t="s">
        <v>30</v>
      </c>
      <c r="E95" s="207" t="s">
        <v>37</v>
      </c>
      <c r="F95" s="208" t="s">
        <v>48</v>
      </c>
      <c r="G95" s="28" t="s">
        <v>56</v>
      </c>
      <c r="H95" s="215">
        <f>'прил10 (ведом 24-25)'!M394</f>
        <v>784.4</v>
      </c>
      <c r="I95" s="215">
        <f>'прил10 (ведом 24-25)'!N394</f>
        <v>791.1</v>
      </c>
    </row>
    <row r="96" spans="1:9" ht="18" x14ac:dyDescent="0.35">
      <c r="A96" s="325"/>
      <c r="B96" s="492" t="s">
        <v>57</v>
      </c>
      <c r="C96" s="206" t="s">
        <v>39</v>
      </c>
      <c r="D96" s="207" t="s">
        <v>30</v>
      </c>
      <c r="E96" s="207" t="s">
        <v>37</v>
      </c>
      <c r="F96" s="208" t="s">
        <v>48</v>
      </c>
      <c r="G96" s="28" t="s">
        <v>58</v>
      </c>
      <c r="H96" s="215">
        <f>'прил10 (ведом 24-25)'!M395</f>
        <v>16.899999999999999</v>
      </c>
      <c r="I96" s="215">
        <f>'прил10 (ведом 24-25)'!N395</f>
        <v>16.8</v>
      </c>
    </row>
    <row r="97" spans="1:9" ht="36" x14ac:dyDescent="0.35">
      <c r="A97" s="325"/>
      <c r="B97" s="492" t="s">
        <v>461</v>
      </c>
      <c r="C97" s="206" t="s">
        <v>39</v>
      </c>
      <c r="D97" s="207" t="s">
        <v>30</v>
      </c>
      <c r="E97" s="207" t="s">
        <v>37</v>
      </c>
      <c r="F97" s="208" t="s">
        <v>91</v>
      </c>
      <c r="G97" s="28"/>
      <c r="H97" s="215">
        <f>SUM(H98:H101)</f>
        <v>61101.2</v>
      </c>
      <c r="I97" s="215">
        <f>SUM(I98:I101)</f>
        <v>61130.5</v>
      </c>
    </row>
    <row r="98" spans="1:9" ht="90" x14ac:dyDescent="0.35">
      <c r="A98" s="325"/>
      <c r="B98" s="492" t="s">
        <v>49</v>
      </c>
      <c r="C98" s="206" t="s">
        <v>39</v>
      </c>
      <c r="D98" s="207" t="s">
        <v>30</v>
      </c>
      <c r="E98" s="207" t="s">
        <v>37</v>
      </c>
      <c r="F98" s="208" t="s">
        <v>91</v>
      </c>
      <c r="G98" s="28" t="s">
        <v>50</v>
      </c>
      <c r="H98" s="215">
        <f>'прил10 (ведом 24-25)'!M397</f>
        <v>37625.5</v>
      </c>
      <c r="I98" s="215">
        <f>'прил10 (ведом 24-25)'!N397</f>
        <v>37625.5</v>
      </c>
    </row>
    <row r="99" spans="1:9" ht="36" x14ac:dyDescent="0.35">
      <c r="A99" s="325"/>
      <c r="B99" s="492" t="s">
        <v>55</v>
      </c>
      <c r="C99" s="206" t="s">
        <v>39</v>
      </c>
      <c r="D99" s="207" t="s">
        <v>30</v>
      </c>
      <c r="E99" s="207" t="s">
        <v>37</v>
      </c>
      <c r="F99" s="208" t="s">
        <v>91</v>
      </c>
      <c r="G99" s="28" t="s">
        <v>56</v>
      </c>
      <c r="H99" s="215">
        <f>'прил10 (ведом 24-25)'!M398</f>
        <v>3061.4</v>
      </c>
      <c r="I99" s="215">
        <f>'прил10 (ведом 24-25)'!N398</f>
        <v>3091.4</v>
      </c>
    </row>
    <row r="100" spans="1:9" ht="36" x14ac:dyDescent="0.35">
      <c r="A100" s="325"/>
      <c r="B100" s="493" t="s">
        <v>76</v>
      </c>
      <c r="C100" s="206" t="s">
        <v>39</v>
      </c>
      <c r="D100" s="207" t="s">
        <v>30</v>
      </c>
      <c r="E100" s="207" t="s">
        <v>37</v>
      </c>
      <c r="F100" s="208" t="s">
        <v>91</v>
      </c>
      <c r="G100" s="28" t="s">
        <v>77</v>
      </c>
      <c r="H100" s="215">
        <f>'прил10 (ведом 24-25)'!M399</f>
        <v>20409.3</v>
      </c>
      <c r="I100" s="215">
        <f>'прил10 (ведом 24-25)'!N399</f>
        <v>20409.3</v>
      </c>
    </row>
    <row r="101" spans="1:9" ht="18" x14ac:dyDescent="0.35">
      <c r="A101" s="325"/>
      <c r="B101" s="493" t="s">
        <v>57</v>
      </c>
      <c r="C101" s="206" t="s">
        <v>39</v>
      </c>
      <c r="D101" s="207" t="s">
        <v>30</v>
      </c>
      <c r="E101" s="207" t="s">
        <v>37</v>
      </c>
      <c r="F101" s="208" t="s">
        <v>91</v>
      </c>
      <c r="G101" s="28" t="s">
        <v>58</v>
      </c>
      <c r="H101" s="215">
        <f>'прил10 (ведом 24-25)'!M400</f>
        <v>5</v>
      </c>
      <c r="I101" s="215">
        <f>'прил10 (ведом 24-25)'!N400</f>
        <v>4.3</v>
      </c>
    </row>
    <row r="102" spans="1:9" ht="36" x14ac:dyDescent="0.35">
      <c r="A102" s="325"/>
      <c r="B102" s="496" t="s">
        <v>569</v>
      </c>
      <c r="C102" s="689" t="s">
        <v>39</v>
      </c>
      <c r="D102" s="690" t="s">
        <v>30</v>
      </c>
      <c r="E102" s="690" t="s">
        <v>37</v>
      </c>
      <c r="F102" s="691" t="s">
        <v>568</v>
      </c>
      <c r="G102" s="10"/>
      <c r="H102" s="215">
        <f>H103</f>
        <v>518.6</v>
      </c>
      <c r="I102" s="215">
        <f>I103</f>
        <v>0</v>
      </c>
    </row>
    <row r="103" spans="1:9" ht="36" x14ac:dyDescent="0.35">
      <c r="A103" s="325"/>
      <c r="B103" s="496" t="s">
        <v>76</v>
      </c>
      <c r="C103" s="689" t="s">
        <v>39</v>
      </c>
      <c r="D103" s="690" t="s">
        <v>30</v>
      </c>
      <c r="E103" s="690" t="s">
        <v>37</v>
      </c>
      <c r="F103" s="691" t="s">
        <v>568</v>
      </c>
      <c r="G103" s="10" t="s">
        <v>77</v>
      </c>
      <c r="H103" s="215">
        <f>'прил10 (ведом 24-25)'!M402</f>
        <v>518.6</v>
      </c>
      <c r="I103" s="215">
        <f>'прил10 (ведом 24-25)'!N402</f>
        <v>0</v>
      </c>
    </row>
    <row r="104" spans="1:9" ht="90" x14ac:dyDescent="0.35">
      <c r="A104" s="325"/>
      <c r="B104" s="493" t="s">
        <v>343</v>
      </c>
      <c r="C104" s="206" t="s">
        <v>39</v>
      </c>
      <c r="D104" s="207" t="s">
        <v>30</v>
      </c>
      <c r="E104" s="207" t="s">
        <v>37</v>
      </c>
      <c r="F104" s="208" t="s">
        <v>269</v>
      </c>
      <c r="G104" s="28"/>
      <c r="H104" s="215">
        <f>SUM(H105:H106)</f>
        <v>6836.2000000000007</v>
      </c>
      <c r="I104" s="215">
        <f>SUM(I105:I106)</f>
        <v>6836.8</v>
      </c>
    </row>
    <row r="105" spans="1:9" ht="90" x14ac:dyDescent="0.35">
      <c r="A105" s="325"/>
      <c r="B105" s="493" t="s">
        <v>49</v>
      </c>
      <c r="C105" s="206" t="s">
        <v>39</v>
      </c>
      <c r="D105" s="207" t="s">
        <v>30</v>
      </c>
      <c r="E105" s="207" t="s">
        <v>37</v>
      </c>
      <c r="F105" s="208" t="s">
        <v>269</v>
      </c>
      <c r="G105" s="28" t="s">
        <v>50</v>
      </c>
      <c r="H105" s="215">
        <f>'прил10 (ведом 24-25)'!M404</f>
        <v>6820.6</v>
      </c>
      <c r="I105" s="215">
        <f>'прил10 (ведом 24-25)'!N404</f>
        <v>6821.2</v>
      </c>
    </row>
    <row r="106" spans="1:9" ht="36" x14ac:dyDescent="0.35">
      <c r="A106" s="325"/>
      <c r="B106" s="496" t="s">
        <v>55</v>
      </c>
      <c r="C106" s="689" t="s">
        <v>39</v>
      </c>
      <c r="D106" s="690" t="s">
        <v>30</v>
      </c>
      <c r="E106" s="690" t="s">
        <v>37</v>
      </c>
      <c r="F106" s="691" t="s">
        <v>269</v>
      </c>
      <c r="G106" s="10" t="s">
        <v>56</v>
      </c>
      <c r="H106" s="215">
        <f>'прил10 (ведом 24-25)'!M405</f>
        <v>15.6</v>
      </c>
      <c r="I106" s="215">
        <f>'прил10 (ведом 24-25)'!N405</f>
        <v>15.6</v>
      </c>
    </row>
    <row r="107" spans="1:9" ht="216" x14ac:dyDescent="0.35">
      <c r="A107" s="325"/>
      <c r="B107" s="493" t="s">
        <v>432</v>
      </c>
      <c r="C107" s="206" t="s">
        <v>39</v>
      </c>
      <c r="D107" s="207" t="s">
        <v>30</v>
      </c>
      <c r="E107" s="207" t="s">
        <v>37</v>
      </c>
      <c r="F107" s="208" t="s">
        <v>344</v>
      </c>
      <c r="G107" s="28"/>
      <c r="H107" s="215">
        <f>SUM(H108:H109)</f>
        <v>2172.6</v>
      </c>
      <c r="I107" s="215">
        <f>SUM(I108:I109)</f>
        <v>2166.6999999999998</v>
      </c>
    </row>
    <row r="108" spans="1:9" ht="90" x14ac:dyDescent="0.35">
      <c r="A108" s="325"/>
      <c r="B108" s="496" t="s">
        <v>49</v>
      </c>
      <c r="C108" s="689" t="s">
        <v>39</v>
      </c>
      <c r="D108" s="690" t="s">
        <v>30</v>
      </c>
      <c r="E108" s="690" t="s">
        <v>37</v>
      </c>
      <c r="F108" s="691" t="s">
        <v>344</v>
      </c>
      <c r="G108" s="10" t="s">
        <v>50</v>
      </c>
      <c r="H108" s="215">
        <f>'прил10 (ведом 24-25)'!M370</f>
        <v>8.1999999999999993</v>
      </c>
      <c r="I108" s="215">
        <f>'прил10 (ведом 24-25)'!N370</f>
        <v>8.1999999999999993</v>
      </c>
    </row>
    <row r="109" spans="1:9" ht="36" x14ac:dyDescent="0.35">
      <c r="A109" s="325"/>
      <c r="B109" s="493" t="s">
        <v>76</v>
      </c>
      <c r="C109" s="206" t="s">
        <v>39</v>
      </c>
      <c r="D109" s="207" t="s">
        <v>30</v>
      </c>
      <c r="E109" s="207" t="s">
        <v>37</v>
      </c>
      <c r="F109" s="208" t="s">
        <v>344</v>
      </c>
      <c r="G109" s="28" t="s">
        <v>77</v>
      </c>
      <c r="H109" s="215">
        <f>'прил10 (ведом 24-25)'!M371</f>
        <v>2164.4</v>
      </c>
      <c r="I109" s="215">
        <f>'прил10 (ведом 24-25)'!N371</f>
        <v>2158.5</v>
      </c>
    </row>
    <row r="110" spans="1:9" ht="36" x14ac:dyDescent="0.35">
      <c r="A110" s="325"/>
      <c r="B110" s="493" t="s">
        <v>280</v>
      </c>
      <c r="C110" s="206" t="s">
        <v>39</v>
      </c>
      <c r="D110" s="207" t="s">
        <v>30</v>
      </c>
      <c r="E110" s="207" t="s">
        <v>39</v>
      </c>
      <c r="F110" s="208" t="s">
        <v>44</v>
      </c>
      <c r="G110" s="28"/>
      <c r="H110" s="215">
        <f>H111+H113</f>
        <v>7904.6</v>
      </c>
      <c r="I110" s="215">
        <f>I111+I113</f>
        <v>8136.6</v>
      </c>
    </row>
    <row r="111" spans="1:9" ht="36" x14ac:dyDescent="0.35">
      <c r="A111" s="325"/>
      <c r="B111" s="493" t="s">
        <v>467</v>
      </c>
      <c r="C111" s="206" t="s">
        <v>39</v>
      </c>
      <c r="D111" s="207" t="s">
        <v>30</v>
      </c>
      <c r="E111" s="207" t="s">
        <v>39</v>
      </c>
      <c r="F111" s="208" t="s">
        <v>466</v>
      </c>
      <c r="G111" s="28"/>
      <c r="H111" s="215">
        <f>H112</f>
        <v>2107.5</v>
      </c>
      <c r="I111" s="215">
        <f>I112</f>
        <v>2107.5</v>
      </c>
    </row>
    <row r="112" spans="1:9" ht="36" x14ac:dyDescent="0.35">
      <c r="A112" s="325"/>
      <c r="B112" s="493" t="s">
        <v>76</v>
      </c>
      <c r="C112" s="206" t="s">
        <v>39</v>
      </c>
      <c r="D112" s="207" t="s">
        <v>30</v>
      </c>
      <c r="E112" s="207" t="s">
        <v>39</v>
      </c>
      <c r="F112" s="208" t="s">
        <v>466</v>
      </c>
      <c r="G112" s="28" t="s">
        <v>77</v>
      </c>
      <c r="H112" s="215">
        <f>'прил10 (ведом 24-25)'!M408</f>
        <v>2107.5</v>
      </c>
      <c r="I112" s="215">
        <f>'прил10 (ведом 24-25)'!N408</f>
        <v>2107.5</v>
      </c>
    </row>
    <row r="113" spans="1:9" ht="108" x14ac:dyDescent="0.35">
      <c r="A113" s="325"/>
      <c r="B113" s="493" t="s">
        <v>437</v>
      </c>
      <c r="C113" s="206" t="s">
        <v>39</v>
      </c>
      <c r="D113" s="207" t="s">
        <v>30</v>
      </c>
      <c r="E113" s="207" t="s">
        <v>39</v>
      </c>
      <c r="F113" s="208" t="s">
        <v>436</v>
      </c>
      <c r="G113" s="28"/>
      <c r="H113" s="215">
        <f>H114</f>
        <v>5797.1</v>
      </c>
      <c r="I113" s="215">
        <f>I114</f>
        <v>6029.1</v>
      </c>
    </row>
    <row r="114" spans="1:9" ht="36" x14ac:dyDescent="0.35">
      <c r="A114" s="325"/>
      <c r="B114" s="493" t="s">
        <v>76</v>
      </c>
      <c r="C114" s="206" t="s">
        <v>39</v>
      </c>
      <c r="D114" s="207" t="s">
        <v>30</v>
      </c>
      <c r="E114" s="207" t="s">
        <v>39</v>
      </c>
      <c r="F114" s="208" t="s">
        <v>436</v>
      </c>
      <c r="G114" s="28" t="s">
        <v>77</v>
      </c>
      <c r="H114" s="215">
        <f>'прил10 (ведом 24-25)'!M410</f>
        <v>5797.1</v>
      </c>
      <c r="I114" s="215">
        <f>'прил10 (ведом 24-25)'!N410</f>
        <v>6029.1</v>
      </c>
    </row>
    <row r="115" spans="1:9" ht="36" x14ac:dyDescent="0.35">
      <c r="A115" s="325"/>
      <c r="B115" s="498" t="s">
        <v>349</v>
      </c>
      <c r="C115" s="682" t="s">
        <v>39</v>
      </c>
      <c r="D115" s="683" t="s">
        <v>30</v>
      </c>
      <c r="E115" s="683" t="s">
        <v>63</v>
      </c>
      <c r="F115" s="684" t="s">
        <v>44</v>
      </c>
      <c r="G115" s="236"/>
      <c r="H115" s="215">
        <f>H116</f>
        <v>141.5</v>
      </c>
      <c r="I115" s="215">
        <f>I116</f>
        <v>141.5</v>
      </c>
    </row>
    <row r="116" spans="1:9" ht="54" x14ac:dyDescent="0.35">
      <c r="A116" s="325"/>
      <c r="B116" s="498" t="s">
        <v>469</v>
      </c>
      <c r="C116" s="682" t="s">
        <v>39</v>
      </c>
      <c r="D116" s="683" t="s">
        <v>30</v>
      </c>
      <c r="E116" s="683" t="s">
        <v>63</v>
      </c>
      <c r="F116" s="684" t="s">
        <v>105</v>
      </c>
      <c r="G116" s="236"/>
      <c r="H116" s="215">
        <f>H117</f>
        <v>141.5</v>
      </c>
      <c r="I116" s="215">
        <f>I117</f>
        <v>141.5</v>
      </c>
    </row>
    <row r="117" spans="1:9" ht="36" x14ac:dyDescent="0.35">
      <c r="A117" s="325"/>
      <c r="B117" s="498" t="s">
        <v>55</v>
      </c>
      <c r="C117" s="682" t="s">
        <v>39</v>
      </c>
      <c r="D117" s="683" t="s">
        <v>30</v>
      </c>
      <c r="E117" s="683" t="s">
        <v>63</v>
      </c>
      <c r="F117" s="684" t="s">
        <v>105</v>
      </c>
      <c r="G117" s="236" t="s">
        <v>56</v>
      </c>
      <c r="H117" s="215">
        <f>'прил10 (ведом 24-25)'!M296</f>
        <v>141.5</v>
      </c>
      <c r="I117" s="215">
        <f>'прил10 (ведом 24-25)'!N296</f>
        <v>141.5</v>
      </c>
    </row>
    <row r="118" spans="1:9" ht="36" x14ac:dyDescent="0.35">
      <c r="A118" s="325"/>
      <c r="B118" s="498" t="s">
        <v>465</v>
      </c>
      <c r="C118" s="682" t="s">
        <v>39</v>
      </c>
      <c r="D118" s="683" t="s">
        <v>30</v>
      </c>
      <c r="E118" s="683" t="s">
        <v>52</v>
      </c>
      <c r="F118" s="684" t="s">
        <v>44</v>
      </c>
      <c r="G118" s="236"/>
      <c r="H118" s="215">
        <f>H119</f>
        <v>24</v>
      </c>
      <c r="I118" s="215">
        <f>I119</f>
        <v>24</v>
      </c>
    </row>
    <row r="119" spans="1:9" ht="18" x14ac:dyDescent="0.35">
      <c r="A119" s="325"/>
      <c r="B119" s="498" t="s">
        <v>470</v>
      </c>
      <c r="C119" s="682" t="s">
        <v>39</v>
      </c>
      <c r="D119" s="683" t="s">
        <v>30</v>
      </c>
      <c r="E119" s="683" t="s">
        <v>52</v>
      </c>
      <c r="F119" s="684" t="s">
        <v>464</v>
      </c>
      <c r="G119" s="236"/>
      <c r="H119" s="215">
        <f>H120</f>
        <v>24</v>
      </c>
      <c r="I119" s="215">
        <f>I120</f>
        <v>24</v>
      </c>
    </row>
    <row r="120" spans="1:9" ht="36" x14ac:dyDescent="0.35">
      <c r="A120" s="325"/>
      <c r="B120" s="498" t="s">
        <v>55</v>
      </c>
      <c r="C120" s="682" t="s">
        <v>39</v>
      </c>
      <c r="D120" s="683" t="s">
        <v>30</v>
      </c>
      <c r="E120" s="683" t="s">
        <v>52</v>
      </c>
      <c r="F120" s="684" t="s">
        <v>464</v>
      </c>
      <c r="G120" s="236" t="s">
        <v>56</v>
      </c>
      <c r="H120" s="215">
        <f>'прил10 (ведом 24-25)'!M299</f>
        <v>24</v>
      </c>
      <c r="I120" s="215">
        <f>'прил10 (ведом 24-25)'!N299</f>
        <v>24</v>
      </c>
    </row>
    <row r="121" spans="1:9" ht="36" x14ac:dyDescent="0.35">
      <c r="A121" s="325"/>
      <c r="B121" s="498" t="s">
        <v>468</v>
      </c>
      <c r="C121" s="682" t="s">
        <v>39</v>
      </c>
      <c r="D121" s="683" t="s">
        <v>30</v>
      </c>
      <c r="E121" s="683" t="s">
        <v>65</v>
      </c>
      <c r="F121" s="684" t="s">
        <v>44</v>
      </c>
      <c r="G121" s="236"/>
      <c r="H121" s="215">
        <f>H122</f>
        <v>110.6</v>
      </c>
      <c r="I121" s="215">
        <f>I122</f>
        <v>110.6</v>
      </c>
    </row>
    <row r="122" spans="1:9" ht="36" x14ac:dyDescent="0.35">
      <c r="A122" s="325"/>
      <c r="B122" s="498" t="s">
        <v>127</v>
      </c>
      <c r="C122" s="682" t="s">
        <v>39</v>
      </c>
      <c r="D122" s="683" t="s">
        <v>30</v>
      </c>
      <c r="E122" s="683" t="s">
        <v>65</v>
      </c>
      <c r="F122" s="684" t="s">
        <v>90</v>
      </c>
      <c r="G122" s="236"/>
      <c r="H122" s="215">
        <f>H123</f>
        <v>110.6</v>
      </c>
      <c r="I122" s="215">
        <f>I123</f>
        <v>110.6</v>
      </c>
    </row>
    <row r="123" spans="1:9" ht="36" x14ac:dyDescent="0.35">
      <c r="A123" s="325"/>
      <c r="B123" s="498" t="s">
        <v>55</v>
      </c>
      <c r="C123" s="682" t="s">
        <v>39</v>
      </c>
      <c r="D123" s="683" t="s">
        <v>30</v>
      </c>
      <c r="E123" s="683" t="s">
        <v>65</v>
      </c>
      <c r="F123" s="684" t="s">
        <v>90</v>
      </c>
      <c r="G123" s="236" t="s">
        <v>56</v>
      </c>
      <c r="H123" s="215">
        <f>'прил10 (ведом 24-25)'!M302</f>
        <v>110.6</v>
      </c>
      <c r="I123" s="215">
        <f>'прил10 (ведом 24-25)'!N302</f>
        <v>110.6</v>
      </c>
    </row>
    <row r="124" spans="1:9" ht="18" x14ac:dyDescent="0.35">
      <c r="A124" s="325"/>
      <c r="B124" s="499"/>
      <c r="C124" s="682"/>
      <c r="D124" s="683"/>
      <c r="E124" s="683"/>
      <c r="F124" s="684"/>
      <c r="G124" s="236"/>
      <c r="H124" s="215"/>
      <c r="I124" s="215"/>
    </row>
    <row r="125" spans="1:9" s="335" customFormat="1" ht="52.2" x14ac:dyDescent="0.3">
      <c r="A125" s="340">
        <v>2</v>
      </c>
      <c r="B125" s="491" t="s">
        <v>213</v>
      </c>
      <c r="C125" s="341" t="s">
        <v>63</v>
      </c>
      <c r="D125" s="341" t="s">
        <v>42</v>
      </c>
      <c r="E125" s="341" t="s">
        <v>43</v>
      </c>
      <c r="F125" s="342" t="s">
        <v>44</v>
      </c>
      <c r="G125" s="334"/>
      <c r="H125" s="252">
        <f>H126+H152+H146</f>
        <v>96417.300000000017</v>
      </c>
      <c r="I125" s="252">
        <f>I126+I152+I146</f>
        <v>96420.200000000026</v>
      </c>
    </row>
    <row r="126" spans="1:9" s="335" customFormat="1" ht="54" x14ac:dyDescent="0.35">
      <c r="A126" s="325"/>
      <c r="B126" s="500" t="s">
        <v>214</v>
      </c>
      <c r="C126" s="206" t="s">
        <v>63</v>
      </c>
      <c r="D126" s="207" t="s">
        <v>45</v>
      </c>
      <c r="E126" s="207" t="s">
        <v>43</v>
      </c>
      <c r="F126" s="208" t="s">
        <v>44</v>
      </c>
      <c r="G126" s="236"/>
      <c r="H126" s="215">
        <f>H127+H132+H135+H140+H143</f>
        <v>84485.200000000012</v>
      </c>
      <c r="I126" s="215">
        <f>I127+I132+I135+I140+I143</f>
        <v>84484.500000000015</v>
      </c>
    </row>
    <row r="127" spans="1:9" s="335" customFormat="1" ht="36" x14ac:dyDescent="0.35">
      <c r="A127" s="325"/>
      <c r="B127" s="500" t="s">
        <v>275</v>
      </c>
      <c r="C127" s="206" t="s">
        <v>63</v>
      </c>
      <c r="D127" s="207" t="s">
        <v>45</v>
      </c>
      <c r="E127" s="207" t="s">
        <v>37</v>
      </c>
      <c r="F127" s="208" t="s">
        <v>44</v>
      </c>
      <c r="G127" s="236"/>
      <c r="H127" s="215">
        <f>H128+H130</f>
        <v>60029.8</v>
      </c>
      <c r="I127" s="215">
        <f>I128+I130</f>
        <v>60086.6</v>
      </c>
    </row>
    <row r="128" spans="1:9" s="335" customFormat="1" ht="36" x14ac:dyDescent="0.35">
      <c r="A128" s="325"/>
      <c r="B128" s="492" t="s">
        <v>461</v>
      </c>
      <c r="C128" s="206" t="s">
        <v>63</v>
      </c>
      <c r="D128" s="207" t="s">
        <v>45</v>
      </c>
      <c r="E128" s="207" t="s">
        <v>37</v>
      </c>
      <c r="F128" s="208" t="s">
        <v>91</v>
      </c>
      <c r="G128" s="28"/>
      <c r="H128" s="215">
        <f>H129</f>
        <v>54257</v>
      </c>
      <c r="I128" s="215">
        <f>I129</f>
        <v>54257.7</v>
      </c>
    </row>
    <row r="129" spans="1:9" s="335" customFormat="1" ht="36" x14ac:dyDescent="0.35">
      <c r="A129" s="325"/>
      <c r="B129" s="495" t="s">
        <v>76</v>
      </c>
      <c r="C129" s="206" t="s">
        <v>63</v>
      </c>
      <c r="D129" s="207" t="s">
        <v>45</v>
      </c>
      <c r="E129" s="207" t="s">
        <v>37</v>
      </c>
      <c r="F129" s="208" t="s">
        <v>91</v>
      </c>
      <c r="G129" s="28" t="s">
        <v>77</v>
      </c>
      <c r="H129" s="215">
        <f>'прил10 (ведом 24-25)'!M434</f>
        <v>54257</v>
      </c>
      <c r="I129" s="215">
        <f>'прил10 (ведом 24-25)'!N434</f>
        <v>54257.7</v>
      </c>
    </row>
    <row r="130" spans="1:9" s="335" customFormat="1" ht="36" x14ac:dyDescent="0.35">
      <c r="A130" s="325"/>
      <c r="B130" s="501" t="s">
        <v>313</v>
      </c>
      <c r="C130" s="206" t="s">
        <v>63</v>
      </c>
      <c r="D130" s="207" t="s">
        <v>45</v>
      </c>
      <c r="E130" s="207" t="s">
        <v>37</v>
      </c>
      <c r="F130" s="208" t="s">
        <v>314</v>
      </c>
      <c r="G130" s="28"/>
      <c r="H130" s="215">
        <f>'прил10 (ведом 24-25)'!M435</f>
        <v>5772.8</v>
      </c>
      <c r="I130" s="215">
        <f>'прил10 (ведом 24-25)'!N435</f>
        <v>5828.9</v>
      </c>
    </row>
    <row r="131" spans="1:9" s="335" customFormat="1" ht="36" x14ac:dyDescent="0.35">
      <c r="A131" s="325"/>
      <c r="B131" s="501" t="s">
        <v>76</v>
      </c>
      <c r="C131" s="206" t="s">
        <v>63</v>
      </c>
      <c r="D131" s="207" t="s">
        <v>45</v>
      </c>
      <c r="E131" s="207" t="s">
        <v>37</v>
      </c>
      <c r="F131" s="208" t="s">
        <v>314</v>
      </c>
      <c r="G131" s="28" t="s">
        <v>77</v>
      </c>
      <c r="H131" s="215">
        <f>'прил10 (ведом 24-25)'!M436</f>
        <v>5772.8</v>
      </c>
      <c r="I131" s="215">
        <f>'прил10 (ведом 24-25)'!N436</f>
        <v>5828.9</v>
      </c>
    </row>
    <row r="132" spans="1:9" s="335" customFormat="1" ht="18" x14ac:dyDescent="0.35">
      <c r="A132" s="325"/>
      <c r="B132" s="501" t="s">
        <v>276</v>
      </c>
      <c r="C132" s="206" t="s">
        <v>63</v>
      </c>
      <c r="D132" s="207" t="s">
        <v>45</v>
      </c>
      <c r="E132" s="207" t="s">
        <v>39</v>
      </c>
      <c r="F132" s="208" t="s">
        <v>44</v>
      </c>
      <c r="G132" s="28"/>
      <c r="H132" s="215">
        <f>H133</f>
        <v>375</v>
      </c>
      <c r="I132" s="215">
        <f>I133</f>
        <v>375</v>
      </c>
    </row>
    <row r="133" spans="1:9" s="335" customFormat="1" ht="36" x14ac:dyDescent="0.35">
      <c r="A133" s="325"/>
      <c r="B133" s="501" t="s">
        <v>211</v>
      </c>
      <c r="C133" s="206" t="s">
        <v>63</v>
      </c>
      <c r="D133" s="207" t="s">
        <v>45</v>
      </c>
      <c r="E133" s="207" t="s">
        <v>39</v>
      </c>
      <c r="F133" s="208" t="s">
        <v>278</v>
      </c>
      <c r="G133" s="28"/>
      <c r="H133" s="215">
        <f>H134</f>
        <v>375</v>
      </c>
      <c r="I133" s="215">
        <f>I134</f>
        <v>375</v>
      </c>
    </row>
    <row r="134" spans="1:9" s="335" customFormat="1" ht="18" x14ac:dyDescent="0.35">
      <c r="A134" s="325"/>
      <c r="B134" s="501" t="s">
        <v>120</v>
      </c>
      <c r="C134" s="206" t="s">
        <v>63</v>
      </c>
      <c r="D134" s="207" t="s">
        <v>45</v>
      </c>
      <c r="E134" s="207" t="s">
        <v>39</v>
      </c>
      <c r="F134" s="208" t="s">
        <v>278</v>
      </c>
      <c r="G134" s="28" t="s">
        <v>121</v>
      </c>
      <c r="H134" s="215">
        <f>'прил10 (ведом 24-25)'!M442</f>
        <v>375</v>
      </c>
      <c r="I134" s="215">
        <f>'прил10 (ведом 24-25)'!N442</f>
        <v>375</v>
      </c>
    </row>
    <row r="135" spans="1:9" s="335" customFormat="1" ht="18" x14ac:dyDescent="0.35">
      <c r="A135" s="325"/>
      <c r="B135" s="492" t="s">
        <v>315</v>
      </c>
      <c r="C135" s="343" t="s">
        <v>63</v>
      </c>
      <c r="D135" s="344" t="s">
        <v>45</v>
      </c>
      <c r="E135" s="344" t="s">
        <v>63</v>
      </c>
      <c r="F135" s="345" t="s">
        <v>44</v>
      </c>
      <c r="G135" s="346"/>
      <c r="H135" s="215">
        <f>H136+H138</f>
        <v>12452.699999999999</v>
      </c>
      <c r="I135" s="215">
        <f>I136+I138</f>
        <v>12395</v>
      </c>
    </row>
    <row r="136" spans="1:9" s="335" customFormat="1" ht="36" x14ac:dyDescent="0.35">
      <c r="A136" s="325"/>
      <c r="B136" s="492" t="s">
        <v>461</v>
      </c>
      <c r="C136" s="343" t="s">
        <v>63</v>
      </c>
      <c r="D136" s="344" t="s">
        <v>45</v>
      </c>
      <c r="E136" s="344" t="s">
        <v>63</v>
      </c>
      <c r="F136" s="345" t="s">
        <v>91</v>
      </c>
      <c r="G136" s="346"/>
      <c r="H136" s="215">
        <f>H137</f>
        <v>11901.3</v>
      </c>
      <c r="I136" s="215">
        <f>I137</f>
        <v>11901.3</v>
      </c>
    </row>
    <row r="137" spans="1:9" s="335" customFormat="1" ht="36" x14ac:dyDescent="0.35">
      <c r="A137" s="325"/>
      <c r="B137" s="495" t="s">
        <v>76</v>
      </c>
      <c r="C137" s="206" t="s">
        <v>63</v>
      </c>
      <c r="D137" s="207" t="s">
        <v>45</v>
      </c>
      <c r="E137" s="207" t="s">
        <v>63</v>
      </c>
      <c r="F137" s="208" t="s">
        <v>91</v>
      </c>
      <c r="G137" s="28" t="s">
        <v>77</v>
      </c>
      <c r="H137" s="215">
        <f>'прил10 (ведом 24-25)'!M452</f>
        <v>11901.3</v>
      </c>
      <c r="I137" s="215">
        <f>'прил10 (ведом 24-25)'!N452</f>
        <v>11901.3</v>
      </c>
    </row>
    <row r="138" spans="1:9" s="335" customFormat="1" ht="18" x14ac:dyDescent="0.35">
      <c r="A138" s="325"/>
      <c r="B138" s="503" t="s">
        <v>558</v>
      </c>
      <c r="C138" s="689" t="s">
        <v>63</v>
      </c>
      <c r="D138" s="690" t="s">
        <v>45</v>
      </c>
      <c r="E138" s="690" t="s">
        <v>63</v>
      </c>
      <c r="F138" s="691" t="s">
        <v>557</v>
      </c>
      <c r="G138" s="10"/>
      <c r="H138" s="215">
        <f>H139</f>
        <v>551.4</v>
      </c>
      <c r="I138" s="215">
        <f>I139</f>
        <v>493.7</v>
      </c>
    </row>
    <row r="139" spans="1:9" s="335" customFormat="1" ht="36" x14ac:dyDescent="0.35">
      <c r="A139" s="325"/>
      <c r="B139" s="503" t="s">
        <v>76</v>
      </c>
      <c r="C139" s="689" t="s">
        <v>63</v>
      </c>
      <c r="D139" s="690" t="s">
        <v>45</v>
      </c>
      <c r="E139" s="690" t="s">
        <v>63</v>
      </c>
      <c r="F139" s="691" t="s">
        <v>557</v>
      </c>
      <c r="G139" s="10" t="s">
        <v>77</v>
      </c>
      <c r="H139" s="215">
        <f>'прил10 (ведом 24-25)'!M454</f>
        <v>551.4</v>
      </c>
      <c r="I139" s="215">
        <f>'прил10 (ведом 24-25)'!N454</f>
        <v>493.7</v>
      </c>
    </row>
    <row r="140" spans="1:9" s="335" customFormat="1" ht="36" x14ac:dyDescent="0.35">
      <c r="A140" s="325"/>
      <c r="B140" s="495" t="s">
        <v>317</v>
      </c>
      <c r="C140" s="343" t="s">
        <v>63</v>
      </c>
      <c r="D140" s="344" t="s">
        <v>45</v>
      </c>
      <c r="E140" s="344" t="s">
        <v>52</v>
      </c>
      <c r="F140" s="208" t="s">
        <v>44</v>
      </c>
      <c r="G140" s="28"/>
      <c r="H140" s="215">
        <f>H141</f>
        <v>11327.1</v>
      </c>
      <c r="I140" s="215">
        <f>I141</f>
        <v>11327.3</v>
      </c>
    </row>
    <row r="141" spans="1:9" s="335" customFormat="1" ht="36" x14ac:dyDescent="0.35">
      <c r="A141" s="325"/>
      <c r="B141" s="492" t="s">
        <v>461</v>
      </c>
      <c r="C141" s="343" t="s">
        <v>63</v>
      </c>
      <c r="D141" s="344" t="s">
        <v>45</v>
      </c>
      <c r="E141" s="344" t="s">
        <v>52</v>
      </c>
      <c r="F141" s="345" t="s">
        <v>91</v>
      </c>
      <c r="G141" s="346"/>
      <c r="H141" s="215">
        <f>SUM(H142:H142)</f>
        <v>11327.1</v>
      </c>
      <c r="I141" s="215">
        <f>SUM(I142:I142)</f>
        <v>11327.3</v>
      </c>
    </row>
    <row r="142" spans="1:9" s="335" customFormat="1" ht="90" x14ac:dyDescent="0.35">
      <c r="A142" s="325"/>
      <c r="B142" s="493" t="s">
        <v>49</v>
      </c>
      <c r="C142" s="206" t="s">
        <v>63</v>
      </c>
      <c r="D142" s="207" t="s">
        <v>45</v>
      </c>
      <c r="E142" s="207" t="s">
        <v>52</v>
      </c>
      <c r="F142" s="208" t="s">
        <v>91</v>
      </c>
      <c r="G142" s="28" t="s">
        <v>50</v>
      </c>
      <c r="H142" s="215">
        <f>'прил10 (ведом 24-25)'!M457</f>
        <v>11327.1</v>
      </c>
      <c r="I142" s="215">
        <f>'прил10 (ведом 24-25)'!N457</f>
        <v>11327.3</v>
      </c>
    </row>
    <row r="143" spans="1:9" s="335" customFormat="1" ht="36" x14ac:dyDescent="0.35">
      <c r="A143" s="325"/>
      <c r="B143" s="501" t="s">
        <v>280</v>
      </c>
      <c r="C143" s="206" t="s">
        <v>63</v>
      </c>
      <c r="D143" s="207" t="s">
        <v>45</v>
      </c>
      <c r="E143" s="207" t="s">
        <v>65</v>
      </c>
      <c r="F143" s="208" t="s">
        <v>44</v>
      </c>
      <c r="G143" s="28"/>
      <c r="H143" s="215">
        <f>H144</f>
        <v>300.60000000000002</v>
      </c>
      <c r="I143" s="215">
        <f>I144</f>
        <v>300.60000000000002</v>
      </c>
    </row>
    <row r="144" spans="1:9" s="335" customFormat="1" ht="36" x14ac:dyDescent="0.35">
      <c r="A144" s="325"/>
      <c r="B144" s="501" t="s">
        <v>467</v>
      </c>
      <c r="C144" s="206" t="s">
        <v>63</v>
      </c>
      <c r="D144" s="207" t="s">
        <v>45</v>
      </c>
      <c r="E144" s="207" t="s">
        <v>65</v>
      </c>
      <c r="F144" s="208" t="s">
        <v>466</v>
      </c>
      <c r="G144" s="28"/>
      <c r="H144" s="215">
        <f>H145</f>
        <v>300.60000000000002</v>
      </c>
      <c r="I144" s="215">
        <f>I145</f>
        <v>300.60000000000002</v>
      </c>
    </row>
    <row r="145" spans="1:9" s="335" customFormat="1" ht="36" x14ac:dyDescent="0.35">
      <c r="A145" s="325"/>
      <c r="B145" s="501" t="s">
        <v>76</v>
      </c>
      <c r="C145" s="206" t="s">
        <v>63</v>
      </c>
      <c r="D145" s="207" t="s">
        <v>45</v>
      </c>
      <c r="E145" s="207" t="s">
        <v>65</v>
      </c>
      <c r="F145" s="208" t="s">
        <v>466</v>
      </c>
      <c r="G145" s="28" t="s">
        <v>77</v>
      </c>
      <c r="H145" s="215">
        <f>'прил10 (ведом 24-25)'!M445</f>
        <v>300.60000000000002</v>
      </c>
      <c r="I145" s="215">
        <f>'прил10 (ведом 24-25)'!N445</f>
        <v>300.60000000000002</v>
      </c>
    </row>
    <row r="146" spans="1:9" s="335" customFormat="1" ht="36" x14ac:dyDescent="0.35">
      <c r="A146" s="325"/>
      <c r="B146" s="493" t="s">
        <v>325</v>
      </c>
      <c r="C146" s="343" t="s">
        <v>63</v>
      </c>
      <c r="D146" s="344" t="s">
        <v>89</v>
      </c>
      <c r="E146" s="344" t="s">
        <v>43</v>
      </c>
      <c r="F146" s="208" t="s">
        <v>44</v>
      </c>
      <c r="G146" s="28"/>
      <c r="H146" s="215">
        <f>H147</f>
        <v>436</v>
      </c>
      <c r="I146" s="215">
        <f>I147</f>
        <v>435.1</v>
      </c>
    </row>
    <row r="147" spans="1:9" s="335" customFormat="1" ht="90" x14ac:dyDescent="0.35">
      <c r="A147" s="325"/>
      <c r="B147" s="501" t="s">
        <v>318</v>
      </c>
      <c r="C147" s="343" t="s">
        <v>63</v>
      </c>
      <c r="D147" s="344" t="s">
        <v>89</v>
      </c>
      <c r="E147" s="344" t="s">
        <v>63</v>
      </c>
      <c r="F147" s="208" t="s">
        <v>44</v>
      </c>
      <c r="G147" s="28"/>
      <c r="H147" s="215">
        <f>H150+H148</f>
        <v>436</v>
      </c>
      <c r="I147" s="215">
        <f>I150+I148</f>
        <v>435.1</v>
      </c>
    </row>
    <row r="148" spans="1:9" s="335" customFormat="1" ht="36" x14ac:dyDescent="0.35">
      <c r="A148" s="325"/>
      <c r="B148" s="501" t="s">
        <v>313</v>
      </c>
      <c r="C148" s="343" t="s">
        <v>63</v>
      </c>
      <c r="D148" s="344" t="s">
        <v>89</v>
      </c>
      <c r="E148" s="344" t="s">
        <v>63</v>
      </c>
      <c r="F148" s="208" t="s">
        <v>314</v>
      </c>
      <c r="G148" s="28"/>
      <c r="H148" s="215">
        <f>H149</f>
        <v>393.9</v>
      </c>
      <c r="I148" s="215">
        <f>I149</f>
        <v>393</v>
      </c>
    </row>
    <row r="149" spans="1:9" s="335" customFormat="1" ht="36" x14ac:dyDescent="0.35">
      <c r="A149" s="325"/>
      <c r="B149" s="493" t="s">
        <v>55</v>
      </c>
      <c r="C149" s="343" t="s">
        <v>63</v>
      </c>
      <c r="D149" s="344" t="s">
        <v>89</v>
      </c>
      <c r="E149" s="344" t="s">
        <v>63</v>
      </c>
      <c r="F149" s="208" t="s">
        <v>314</v>
      </c>
      <c r="G149" s="28" t="s">
        <v>56</v>
      </c>
      <c r="H149" s="215">
        <f>'прил10 (ведом 24-25)'!M461</f>
        <v>393.9</v>
      </c>
      <c r="I149" s="215">
        <f>'прил10 (ведом 24-25)'!N461</f>
        <v>393</v>
      </c>
    </row>
    <row r="150" spans="1:9" s="335" customFormat="1" ht="36" x14ac:dyDescent="0.35">
      <c r="A150" s="325"/>
      <c r="B150" s="501" t="s">
        <v>410</v>
      </c>
      <c r="C150" s="206" t="s">
        <v>63</v>
      </c>
      <c r="D150" s="207" t="s">
        <v>89</v>
      </c>
      <c r="E150" s="207" t="s">
        <v>63</v>
      </c>
      <c r="F150" s="208" t="s">
        <v>411</v>
      </c>
      <c r="G150" s="28"/>
      <c r="H150" s="215">
        <f>H151</f>
        <v>42.1</v>
      </c>
      <c r="I150" s="215">
        <f>I151</f>
        <v>42.1</v>
      </c>
    </row>
    <row r="151" spans="1:9" s="335" customFormat="1" ht="36" x14ac:dyDescent="0.35">
      <c r="A151" s="325"/>
      <c r="B151" s="501" t="s">
        <v>76</v>
      </c>
      <c r="C151" s="206" t="s">
        <v>63</v>
      </c>
      <c r="D151" s="207" t="s">
        <v>89</v>
      </c>
      <c r="E151" s="207" t="s">
        <v>63</v>
      </c>
      <c r="F151" s="208" t="s">
        <v>411</v>
      </c>
      <c r="G151" s="28" t="s">
        <v>77</v>
      </c>
      <c r="H151" s="215">
        <f>'прил10 (ведом 24-25)'!M463</f>
        <v>42.1</v>
      </c>
      <c r="I151" s="215">
        <f>'прил10 (ведом 24-25)'!N463</f>
        <v>42.1</v>
      </c>
    </row>
    <row r="152" spans="1:9" s="335" customFormat="1" ht="36" x14ac:dyDescent="0.35">
      <c r="A152" s="325"/>
      <c r="B152" s="492" t="s">
        <v>216</v>
      </c>
      <c r="C152" s="206" t="s">
        <v>63</v>
      </c>
      <c r="D152" s="207" t="s">
        <v>30</v>
      </c>
      <c r="E152" s="207" t="s">
        <v>43</v>
      </c>
      <c r="F152" s="208" t="s">
        <v>44</v>
      </c>
      <c r="G152" s="236"/>
      <c r="H152" s="215">
        <f>H153+H162</f>
        <v>11496.1</v>
      </c>
      <c r="I152" s="215">
        <f>I153+I162</f>
        <v>11500.6</v>
      </c>
    </row>
    <row r="153" spans="1:9" s="335" customFormat="1" ht="36" x14ac:dyDescent="0.35">
      <c r="A153" s="325"/>
      <c r="B153" s="492" t="s">
        <v>281</v>
      </c>
      <c r="C153" s="206" t="s">
        <v>63</v>
      </c>
      <c r="D153" s="207" t="s">
        <v>30</v>
      </c>
      <c r="E153" s="207" t="s">
        <v>37</v>
      </c>
      <c r="F153" s="208" t="s">
        <v>44</v>
      </c>
      <c r="G153" s="28"/>
      <c r="H153" s="215">
        <f>H154+H158</f>
        <v>11442</v>
      </c>
      <c r="I153" s="215">
        <f>I154+I158</f>
        <v>11446.5</v>
      </c>
    </row>
    <row r="154" spans="1:9" ht="36" x14ac:dyDescent="0.35">
      <c r="A154" s="325"/>
      <c r="B154" s="492" t="s">
        <v>47</v>
      </c>
      <c r="C154" s="206" t="s">
        <v>63</v>
      </c>
      <c r="D154" s="207" t="s">
        <v>30</v>
      </c>
      <c r="E154" s="207" t="s">
        <v>37</v>
      </c>
      <c r="F154" s="208" t="s">
        <v>48</v>
      </c>
      <c r="G154" s="346"/>
      <c r="H154" s="215">
        <f>SUM(H155:H157)</f>
        <v>3511.3</v>
      </c>
      <c r="I154" s="215">
        <f>SUM(I155:I157)</f>
        <v>3512.3</v>
      </c>
    </row>
    <row r="155" spans="1:9" ht="90" x14ac:dyDescent="0.35">
      <c r="A155" s="325"/>
      <c r="B155" s="492" t="s">
        <v>49</v>
      </c>
      <c r="C155" s="206" t="s">
        <v>63</v>
      </c>
      <c r="D155" s="207" t="s">
        <v>30</v>
      </c>
      <c r="E155" s="207" t="s">
        <v>37</v>
      </c>
      <c r="F155" s="208" t="s">
        <v>48</v>
      </c>
      <c r="G155" s="346" t="s">
        <v>50</v>
      </c>
      <c r="H155" s="215">
        <f>'прил10 (ведом 24-25)'!M469</f>
        <v>3251.8</v>
      </c>
      <c r="I155" s="215">
        <f>'прил10 (ведом 24-25)'!N469</f>
        <v>3251.8</v>
      </c>
    </row>
    <row r="156" spans="1:9" ht="36" x14ac:dyDescent="0.35">
      <c r="A156" s="325"/>
      <c r="B156" s="492" t="s">
        <v>55</v>
      </c>
      <c r="C156" s="206" t="s">
        <v>63</v>
      </c>
      <c r="D156" s="207" t="s">
        <v>30</v>
      </c>
      <c r="E156" s="207" t="s">
        <v>37</v>
      </c>
      <c r="F156" s="208" t="s">
        <v>48</v>
      </c>
      <c r="G156" s="346" t="s">
        <v>56</v>
      </c>
      <c r="H156" s="215">
        <f>'прил10 (ведом 24-25)'!M470</f>
        <v>251</v>
      </c>
      <c r="I156" s="215">
        <f>'прил10 (ведом 24-25)'!N470</f>
        <v>252</v>
      </c>
    </row>
    <row r="157" spans="1:9" ht="18" x14ac:dyDescent="0.35">
      <c r="A157" s="325"/>
      <c r="B157" s="493" t="s">
        <v>57</v>
      </c>
      <c r="C157" s="206" t="s">
        <v>63</v>
      </c>
      <c r="D157" s="207" t="s">
        <v>30</v>
      </c>
      <c r="E157" s="207" t="s">
        <v>37</v>
      </c>
      <c r="F157" s="208" t="s">
        <v>48</v>
      </c>
      <c r="G157" s="28" t="s">
        <v>58</v>
      </c>
      <c r="H157" s="215">
        <f>'прил10 (ведом 24-25)'!M471</f>
        <v>8.5</v>
      </c>
      <c r="I157" s="215">
        <f>'прил10 (ведом 24-25)'!N471</f>
        <v>8.5</v>
      </c>
    </row>
    <row r="158" spans="1:9" ht="36" x14ac:dyDescent="0.35">
      <c r="A158" s="325"/>
      <c r="B158" s="492" t="s">
        <v>461</v>
      </c>
      <c r="C158" s="206" t="s">
        <v>63</v>
      </c>
      <c r="D158" s="207" t="s">
        <v>30</v>
      </c>
      <c r="E158" s="207" t="s">
        <v>37</v>
      </c>
      <c r="F158" s="208" t="s">
        <v>91</v>
      </c>
      <c r="G158" s="28"/>
      <c r="H158" s="215">
        <f>SUM(H159:H161)</f>
        <v>7930.7</v>
      </c>
      <c r="I158" s="215">
        <f>SUM(I159:I161)</f>
        <v>7934.2</v>
      </c>
    </row>
    <row r="159" spans="1:9" ht="90" x14ac:dyDescent="0.35">
      <c r="A159" s="325"/>
      <c r="B159" s="492" t="s">
        <v>49</v>
      </c>
      <c r="C159" s="206" t="s">
        <v>63</v>
      </c>
      <c r="D159" s="207" t="s">
        <v>30</v>
      </c>
      <c r="E159" s="207" t="s">
        <v>37</v>
      </c>
      <c r="F159" s="208" t="s">
        <v>91</v>
      </c>
      <c r="G159" s="346" t="s">
        <v>50</v>
      </c>
      <c r="H159" s="215">
        <f>'прил10 (ведом 24-25)'!M473</f>
        <v>7499.9</v>
      </c>
      <c r="I159" s="215">
        <f>'прил10 (ведом 24-25)'!N473</f>
        <v>7499.9</v>
      </c>
    </row>
    <row r="160" spans="1:9" ht="36" x14ac:dyDescent="0.35">
      <c r="A160" s="325"/>
      <c r="B160" s="493" t="s">
        <v>55</v>
      </c>
      <c r="C160" s="206" t="s">
        <v>63</v>
      </c>
      <c r="D160" s="207" t="s">
        <v>30</v>
      </c>
      <c r="E160" s="207" t="s">
        <v>37</v>
      </c>
      <c r="F160" s="208" t="s">
        <v>91</v>
      </c>
      <c r="G160" s="346" t="s">
        <v>56</v>
      </c>
      <c r="H160" s="215">
        <f>'прил10 (ведом 24-25)'!M474</f>
        <v>429.2</v>
      </c>
      <c r="I160" s="215">
        <f>'прил10 (ведом 24-25)'!N474</f>
        <v>432.8</v>
      </c>
    </row>
    <row r="161" spans="1:9" ht="18" x14ac:dyDescent="0.35">
      <c r="A161" s="325"/>
      <c r="B161" s="493" t="s">
        <v>57</v>
      </c>
      <c r="C161" s="206" t="s">
        <v>63</v>
      </c>
      <c r="D161" s="207" t="s">
        <v>30</v>
      </c>
      <c r="E161" s="207" t="s">
        <v>37</v>
      </c>
      <c r="F161" s="208" t="s">
        <v>91</v>
      </c>
      <c r="G161" s="28" t="s">
        <v>58</v>
      </c>
      <c r="H161" s="215">
        <f>'прил10 (ведом 24-25)'!M475</f>
        <v>1.6</v>
      </c>
      <c r="I161" s="215">
        <f>'прил10 (ведом 24-25)'!N475</f>
        <v>1.5</v>
      </c>
    </row>
    <row r="162" spans="1:9" ht="36" x14ac:dyDescent="0.35">
      <c r="A162" s="325"/>
      <c r="B162" s="493" t="s">
        <v>349</v>
      </c>
      <c r="C162" s="206" t="s">
        <v>63</v>
      </c>
      <c r="D162" s="207" t="s">
        <v>30</v>
      </c>
      <c r="E162" s="207" t="s">
        <v>39</v>
      </c>
      <c r="F162" s="208" t="s">
        <v>44</v>
      </c>
      <c r="G162" s="148"/>
      <c r="H162" s="215">
        <f>H163</f>
        <v>54.1</v>
      </c>
      <c r="I162" s="215">
        <f>I163</f>
        <v>54.1</v>
      </c>
    </row>
    <row r="163" spans="1:9" ht="54" x14ac:dyDescent="0.35">
      <c r="A163" s="325"/>
      <c r="B163" s="493" t="s">
        <v>350</v>
      </c>
      <c r="C163" s="206" t="s">
        <v>63</v>
      </c>
      <c r="D163" s="207" t="s">
        <v>30</v>
      </c>
      <c r="E163" s="207" t="s">
        <v>39</v>
      </c>
      <c r="F163" s="208" t="s">
        <v>105</v>
      </c>
      <c r="G163" s="148"/>
      <c r="H163" s="215">
        <f>H164</f>
        <v>54.1</v>
      </c>
      <c r="I163" s="215">
        <f>I164</f>
        <v>54.1</v>
      </c>
    </row>
    <row r="164" spans="1:9" ht="36" x14ac:dyDescent="0.35">
      <c r="A164" s="325"/>
      <c r="B164" s="493" t="s">
        <v>55</v>
      </c>
      <c r="C164" s="206" t="s">
        <v>63</v>
      </c>
      <c r="D164" s="207" t="s">
        <v>30</v>
      </c>
      <c r="E164" s="207" t="s">
        <v>39</v>
      </c>
      <c r="F164" s="208" t="s">
        <v>105</v>
      </c>
      <c r="G164" s="28" t="s">
        <v>56</v>
      </c>
      <c r="H164" s="215">
        <f>'прил10 (ведом 24-25)'!M427</f>
        <v>54.1</v>
      </c>
      <c r="I164" s="215">
        <f>'прил10 (ведом 24-25)'!N427</f>
        <v>54.1</v>
      </c>
    </row>
    <row r="165" spans="1:9" ht="18" x14ac:dyDescent="0.35">
      <c r="A165" s="325"/>
      <c r="B165" s="499"/>
      <c r="C165" s="683"/>
      <c r="D165" s="347"/>
      <c r="E165" s="291"/>
      <c r="F165" s="348"/>
      <c r="G165" s="236"/>
      <c r="H165" s="215"/>
      <c r="I165" s="215"/>
    </row>
    <row r="166" spans="1:9" s="335" customFormat="1" ht="52.2" x14ac:dyDescent="0.3">
      <c r="A166" s="340">
        <v>3</v>
      </c>
      <c r="B166" s="504" t="s">
        <v>217</v>
      </c>
      <c r="C166" s="341" t="s">
        <v>52</v>
      </c>
      <c r="D166" s="341" t="s">
        <v>42</v>
      </c>
      <c r="E166" s="341" t="s">
        <v>43</v>
      </c>
      <c r="F166" s="342" t="s">
        <v>44</v>
      </c>
      <c r="G166" s="334"/>
      <c r="H166" s="252">
        <f>H167+H174+H203</f>
        <v>80035.7</v>
      </c>
      <c r="I166" s="252">
        <f>I167+I174+I203</f>
        <v>38662.9</v>
      </c>
    </row>
    <row r="167" spans="1:9" s="335" customFormat="1" ht="18" x14ac:dyDescent="0.35">
      <c r="A167" s="340"/>
      <c r="B167" s="532" t="s">
        <v>218</v>
      </c>
      <c r="C167" s="206" t="s">
        <v>52</v>
      </c>
      <c r="D167" s="207" t="s">
        <v>45</v>
      </c>
      <c r="E167" s="207" t="s">
        <v>43</v>
      </c>
      <c r="F167" s="208" t="s">
        <v>44</v>
      </c>
      <c r="G167" s="334"/>
      <c r="H167" s="215">
        <f>H168+H171</f>
        <v>1079.7</v>
      </c>
      <c r="I167" s="215">
        <f>I168+I171</f>
        <v>1079.7</v>
      </c>
    </row>
    <row r="168" spans="1:9" s="335" customFormat="1" ht="18" x14ac:dyDescent="0.35">
      <c r="A168" s="340"/>
      <c r="B168" s="493" t="s">
        <v>276</v>
      </c>
      <c r="C168" s="206" t="s">
        <v>52</v>
      </c>
      <c r="D168" s="207" t="s">
        <v>45</v>
      </c>
      <c r="E168" s="207" t="s">
        <v>37</v>
      </c>
      <c r="F168" s="208" t="s">
        <v>44</v>
      </c>
      <c r="G168" s="28"/>
      <c r="H168" s="215">
        <f>H169</f>
        <v>450</v>
      </c>
      <c r="I168" s="215">
        <f>I169</f>
        <v>450</v>
      </c>
    </row>
    <row r="169" spans="1:9" s="335" customFormat="1" ht="36" x14ac:dyDescent="0.35">
      <c r="A169" s="340"/>
      <c r="B169" s="493" t="s">
        <v>277</v>
      </c>
      <c r="C169" s="206" t="s">
        <v>52</v>
      </c>
      <c r="D169" s="207" t="s">
        <v>45</v>
      </c>
      <c r="E169" s="207" t="s">
        <v>37</v>
      </c>
      <c r="F169" s="208" t="s">
        <v>278</v>
      </c>
      <c r="G169" s="28"/>
      <c r="H169" s="215">
        <f>H170</f>
        <v>450</v>
      </c>
      <c r="I169" s="215">
        <f>I170</f>
        <v>450</v>
      </c>
    </row>
    <row r="170" spans="1:9" s="335" customFormat="1" ht="18" x14ac:dyDescent="0.35">
      <c r="A170" s="340"/>
      <c r="B170" s="493" t="s">
        <v>120</v>
      </c>
      <c r="C170" s="206" t="s">
        <v>52</v>
      </c>
      <c r="D170" s="207" t="s">
        <v>45</v>
      </c>
      <c r="E170" s="207" t="s">
        <v>37</v>
      </c>
      <c r="F170" s="208" t="s">
        <v>278</v>
      </c>
      <c r="G170" s="28" t="s">
        <v>121</v>
      </c>
      <c r="H170" s="215">
        <f>'прил10 (ведом 24-25)'!M511</f>
        <v>450</v>
      </c>
      <c r="I170" s="215">
        <f>'прил10 (ведом 24-25)'!N511</f>
        <v>450</v>
      </c>
    </row>
    <row r="171" spans="1:9" ht="54" x14ac:dyDescent="0.35">
      <c r="A171" s="325"/>
      <c r="B171" s="493" t="s">
        <v>290</v>
      </c>
      <c r="C171" s="206" t="s">
        <v>52</v>
      </c>
      <c r="D171" s="207" t="s">
        <v>45</v>
      </c>
      <c r="E171" s="207" t="s">
        <v>39</v>
      </c>
      <c r="F171" s="208" t="s">
        <v>44</v>
      </c>
      <c r="G171" s="28"/>
      <c r="H171" s="215">
        <f>H172</f>
        <v>629.70000000000005</v>
      </c>
      <c r="I171" s="215">
        <f>I172</f>
        <v>629.70000000000005</v>
      </c>
    </row>
    <row r="172" spans="1:9" ht="36" x14ac:dyDescent="0.35">
      <c r="A172" s="325"/>
      <c r="B172" s="493" t="s">
        <v>219</v>
      </c>
      <c r="C172" s="206" t="s">
        <v>52</v>
      </c>
      <c r="D172" s="207" t="s">
        <v>45</v>
      </c>
      <c r="E172" s="207" t="s">
        <v>39</v>
      </c>
      <c r="F172" s="208" t="s">
        <v>291</v>
      </c>
      <c r="G172" s="28"/>
      <c r="H172" s="215">
        <f>H173</f>
        <v>629.70000000000005</v>
      </c>
      <c r="I172" s="215">
        <f>I173</f>
        <v>629.70000000000005</v>
      </c>
    </row>
    <row r="173" spans="1:9" ht="36" x14ac:dyDescent="0.35">
      <c r="A173" s="325"/>
      <c r="B173" s="493" t="s">
        <v>55</v>
      </c>
      <c r="C173" s="206" t="s">
        <v>52</v>
      </c>
      <c r="D173" s="207" t="s">
        <v>45</v>
      </c>
      <c r="E173" s="207" t="s">
        <v>39</v>
      </c>
      <c r="F173" s="208" t="s">
        <v>291</v>
      </c>
      <c r="G173" s="28" t="s">
        <v>56</v>
      </c>
      <c r="H173" s="215">
        <f>'прил10 (ведом 24-25)'!M501</f>
        <v>629.70000000000005</v>
      </c>
      <c r="I173" s="215">
        <f>'прил10 (ведом 24-25)'!N501</f>
        <v>629.70000000000005</v>
      </c>
    </row>
    <row r="174" spans="1:9" ht="18" x14ac:dyDescent="0.35">
      <c r="A174" s="325"/>
      <c r="B174" s="492" t="s">
        <v>220</v>
      </c>
      <c r="C174" s="206" t="s">
        <v>52</v>
      </c>
      <c r="D174" s="207" t="s">
        <v>89</v>
      </c>
      <c r="E174" s="207" t="s">
        <v>43</v>
      </c>
      <c r="F174" s="208" t="s">
        <v>44</v>
      </c>
      <c r="G174" s="236"/>
      <c r="H174" s="215">
        <f>H175+H180+H193+H196</f>
        <v>67050.3</v>
      </c>
      <c r="I174" s="215">
        <f>I175+I180+I193+I196</f>
        <v>37583.200000000004</v>
      </c>
    </row>
    <row r="175" spans="1:9" ht="36" x14ac:dyDescent="0.35">
      <c r="A175" s="325"/>
      <c r="B175" s="492" t="s">
        <v>281</v>
      </c>
      <c r="C175" s="206" t="s">
        <v>52</v>
      </c>
      <c r="D175" s="207" t="s">
        <v>89</v>
      </c>
      <c r="E175" s="207" t="s">
        <v>37</v>
      </c>
      <c r="F175" s="208" t="s">
        <v>44</v>
      </c>
      <c r="G175" s="28"/>
      <c r="H175" s="215">
        <f>H176</f>
        <v>3058.7000000000003</v>
      </c>
      <c r="I175" s="215">
        <f>I176</f>
        <v>3059.7999999999997</v>
      </c>
    </row>
    <row r="176" spans="1:9" ht="36" x14ac:dyDescent="0.35">
      <c r="A176" s="325"/>
      <c r="B176" s="492" t="s">
        <v>47</v>
      </c>
      <c r="C176" s="206" t="s">
        <v>52</v>
      </c>
      <c r="D176" s="207" t="s">
        <v>89</v>
      </c>
      <c r="E176" s="207" t="s">
        <v>37</v>
      </c>
      <c r="F176" s="208" t="s">
        <v>48</v>
      </c>
      <c r="G176" s="28"/>
      <c r="H176" s="215">
        <f>SUM(H177:H179)</f>
        <v>3058.7000000000003</v>
      </c>
      <c r="I176" s="215">
        <f>SUM(I177:I179)</f>
        <v>3059.7999999999997</v>
      </c>
    </row>
    <row r="177" spans="1:9" ht="90" x14ac:dyDescent="0.35">
      <c r="A177" s="325"/>
      <c r="B177" s="492" t="s">
        <v>49</v>
      </c>
      <c r="C177" s="206" t="s">
        <v>52</v>
      </c>
      <c r="D177" s="207" t="s">
        <v>89</v>
      </c>
      <c r="E177" s="207" t="s">
        <v>37</v>
      </c>
      <c r="F177" s="208" t="s">
        <v>48</v>
      </c>
      <c r="G177" s="28" t="s">
        <v>50</v>
      </c>
      <c r="H177" s="215">
        <f>'прил10 (ведом 24-25)'!M529</f>
        <v>2997.5</v>
      </c>
      <c r="I177" s="215">
        <f>'прил10 (ведом 24-25)'!N529</f>
        <v>2997.5</v>
      </c>
    </row>
    <row r="178" spans="1:9" ht="36" x14ac:dyDescent="0.35">
      <c r="A178" s="325"/>
      <c r="B178" s="493" t="s">
        <v>55</v>
      </c>
      <c r="C178" s="206" t="s">
        <v>52</v>
      </c>
      <c r="D178" s="207" t="s">
        <v>89</v>
      </c>
      <c r="E178" s="207" t="s">
        <v>37</v>
      </c>
      <c r="F178" s="208" t="s">
        <v>48</v>
      </c>
      <c r="G178" s="28" t="s">
        <v>56</v>
      </c>
      <c r="H178" s="215">
        <f>'прил10 (ведом 24-25)'!M530</f>
        <v>59.4</v>
      </c>
      <c r="I178" s="215">
        <f>'прил10 (ведом 24-25)'!N530</f>
        <v>60.6</v>
      </c>
    </row>
    <row r="179" spans="1:9" ht="18" x14ac:dyDescent="0.35">
      <c r="A179" s="325"/>
      <c r="B179" s="493" t="s">
        <v>57</v>
      </c>
      <c r="C179" s="206" t="s">
        <v>52</v>
      </c>
      <c r="D179" s="207" t="s">
        <v>89</v>
      </c>
      <c r="E179" s="207" t="s">
        <v>37</v>
      </c>
      <c r="F179" s="208" t="s">
        <v>48</v>
      </c>
      <c r="G179" s="28" t="s">
        <v>58</v>
      </c>
      <c r="H179" s="215">
        <f>'прил10 (ведом 24-25)'!M531</f>
        <v>1.8</v>
      </c>
      <c r="I179" s="215">
        <f>'прил10 (ведом 24-25)'!N531</f>
        <v>1.7</v>
      </c>
    </row>
    <row r="180" spans="1:9" ht="18" x14ac:dyDescent="0.35">
      <c r="A180" s="325"/>
      <c r="B180" s="492" t="s">
        <v>359</v>
      </c>
      <c r="C180" s="206" t="s">
        <v>52</v>
      </c>
      <c r="D180" s="207" t="s">
        <v>89</v>
      </c>
      <c r="E180" s="207" t="s">
        <v>39</v>
      </c>
      <c r="F180" s="208" t="s">
        <v>44</v>
      </c>
      <c r="G180" s="28"/>
      <c r="H180" s="215">
        <f>H181+H185+H187+H191+H189</f>
        <v>60346.3</v>
      </c>
      <c r="I180" s="215">
        <f>I181+I185+I187+I191+I189</f>
        <v>30862.2</v>
      </c>
    </row>
    <row r="181" spans="1:9" ht="36" x14ac:dyDescent="0.35">
      <c r="A181" s="325"/>
      <c r="B181" s="492" t="s">
        <v>461</v>
      </c>
      <c r="C181" s="206" t="s">
        <v>52</v>
      </c>
      <c r="D181" s="207" t="s">
        <v>89</v>
      </c>
      <c r="E181" s="207" t="s">
        <v>39</v>
      </c>
      <c r="F181" s="208" t="s">
        <v>91</v>
      </c>
      <c r="G181" s="28"/>
      <c r="H181" s="215">
        <f>SUM(H182:H184)</f>
        <v>23967.3</v>
      </c>
      <c r="I181" s="215">
        <f>SUM(I182:I184)</f>
        <v>24334.7</v>
      </c>
    </row>
    <row r="182" spans="1:9" ht="90" x14ac:dyDescent="0.35">
      <c r="A182" s="325"/>
      <c r="B182" s="492" t="s">
        <v>49</v>
      </c>
      <c r="C182" s="206" t="s">
        <v>52</v>
      </c>
      <c r="D182" s="207" t="s">
        <v>89</v>
      </c>
      <c r="E182" s="207" t="s">
        <v>39</v>
      </c>
      <c r="F182" s="208" t="s">
        <v>91</v>
      </c>
      <c r="G182" s="28" t="s">
        <v>50</v>
      </c>
      <c r="H182" s="215">
        <f>'прил10 (ведом 24-25)'!M515</f>
        <v>20027.900000000001</v>
      </c>
      <c r="I182" s="215">
        <f>'прил10 (ведом 24-25)'!N515</f>
        <v>20027.900000000001</v>
      </c>
    </row>
    <row r="183" spans="1:9" ht="36" x14ac:dyDescent="0.35">
      <c r="A183" s="325"/>
      <c r="B183" s="492" t="s">
        <v>55</v>
      </c>
      <c r="C183" s="206" t="s">
        <v>52</v>
      </c>
      <c r="D183" s="207" t="s">
        <v>89</v>
      </c>
      <c r="E183" s="207" t="s">
        <v>39</v>
      </c>
      <c r="F183" s="208" t="s">
        <v>91</v>
      </c>
      <c r="G183" s="28" t="s">
        <v>56</v>
      </c>
      <c r="H183" s="215">
        <f>'прил10 (ведом 24-25)'!M516</f>
        <v>3880.8</v>
      </c>
      <c r="I183" s="215">
        <f>'прил10 (ведом 24-25)'!N516</f>
        <v>4250.2</v>
      </c>
    </row>
    <row r="184" spans="1:9" ht="18" x14ac:dyDescent="0.35">
      <c r="A184" s="325"/>
      <c r="B184" s="492" t="s">
        <v>57</v>
      </c>
      <c r="C184" s="206" t="s">
        <v>52</v>
      </c>
      <c r="D184" s="207" t="s">
        <v>89</v>
      </c>
      <c r="E184" s="207" t="s">
        <v>39</v>
      </c>
      <c r="F184" s="208" t="s">
        <v>91</v>
      </c>
      <c r="G184" s="28" t="s">
        <v>58</v>
      </c>
      <c r="H184" s="215">
        <f>'прил10 (ведом 24-25)'!M517</f>
        <v>58.6</v>
      </c>
      <c r="I184" s="215">
        <f>'прил10 (ведом 24-25)'!N517</f>
        <v>56.6</v>
      </c>
    </row>
    <row r="185" spans="1:9" ht="36" x14ac:dyDescent="0.35">
      <c r="A185" s="325"/>
      <c r="B185" s="496" t="s">
        <v>219</v>
      </c>
      <c r="C185" s="689" t="s">
        <v>52</v>
      </c>
      <c r="D185" s="690" t="s">
        <v>89</v>
      </c>
      <c r="E185" s="690" t="s">
        <v>39</v>
      </c>
      <c r="F185" s="691" t="s">
        <v>291</v>
      </c>
      <c r="G185" s="10"/>
      <c r="H185" s="215">
        <f>H186</f>
        <v>4225.2</v>
      </c>
      <c r="I185" s="215">
        <f>I186</f>
        <v>4225.2</v>
      </c>
    </row>
    <row r="186" spans="1:9" ht="36" x14ac:dyDescent="0.35">
      <c r="A186" s="325"/>
      <c r="B186" s="496" t="s">
        <v>55</v>
      </c>
      <c r="C186" s="689" t="s">
        <v>52</v>
      </c>
      <c r="D186" s="690" t="s">
        <v>89</v>
      </c>
      <c r="E186" s="690" t="s">
        <v>39</v>
      </c>
      <c r="F186" s="691" t="s">
        <v>291</v>
      </c>
      <c r="G186" s="10" t="s">
        <v>56</v>
      </c>
      <c r="H186" s="215">
        <f>'прил10 (ведом 24-25)'!M519</f>
        <v>4225.2</v>
      </c>
      <c r="I186" s="215">
        <f>'прил10 (ведом 24-25)'!N519</f>
        <v>4225.2</v>
      </c>
    </row>
    <row r="187" spans="1:9" ht="180" x14ac:dyDescent="0.35">
      <c r="A187" s="325"/>
      <c r="B187" s="493" t="s">
        <v>433</v>
      </c>
      <c r="C187" s="206" t="s">
        <v>52</v>
      </c>
      <c r="D187" s="207" t="s">
        <v>89</v>
      </c>
      <c r="E187" s="207" t="s">
        <v>39</v>
      </c>
      <c r="F187" s="208" t="s">
        <v>388</v>
      </c>
      <c r="G187" s="28"/>
      <c r="H187" s="215">
        <f>H188</f>
        <v>187.5</v>
      </c>
      <c r="I187" s="215">
        <f>I188</f>
        <v>187.5</v>
      </c>
    </row>
    <row r="188" spans="1:9" ht="90" x14ac:dyDescent="0.35">
      <c r="A188" s="325"/>
      <c r="B188" s="493" t="s">
        <v>49</v>
      </c>
      <c r="C188" s="206" t="s">
        <v>52</v>
      </c>
      <c r="D188" s="207" t="s">
        <v>89</v>
      </c>
      <c r="E188" s="207" t="s">
        <v>39</v>
      </c>
      <c r="F188" s="208" t="s">
        <v>388</v>
      </c>
      <c r="G188" s="28" t="s">
        <v>50</v>
      </c>
      <c r="H188" s="215">
        <f>'прил10 (ведом 24-25)'!M521</f>
        <v>187.5</v>
      </c>
      <c r="I188" s="215">
        <f>'прил10 (ведом 24-25)'!N521</f>
        <v>187.5</v>
      </c>
    </row>
    <row r="189" spans="1:9" ht="72" x14ac:dyDescent="0.35">
      <c r="A189" s="325"/>
      <c r="B189" s="496" t="s">
        <v>723</v>
      </c>
      <c r="C189" s="689" t="s">
        <v>52</v>
      </c>
      <c r="D189" s="690" t="s">
        <v>89</v>
      </c>
      <c r="E189" s="690" t="s">
        <v>39</v>
      </c>
      <c r="F189" s="691" t="s">
        <v>722</v>
      </c>
      <c r="G189" s="10"/>
      <c r="H189" s="215">
        <f>H190</f>
        <v>29851.5</v>
      </c>
      <c r="I189" s="215">
        <f>I190</f>
        <v>0</v>
      </c>
    </row>
    <row r="190" spans="1:9" ht="36" x14ac:dyDescent="0.35">
      <c r="A190" s="325"/>
      <c r="B190" s="496" t="s">
        <v>55</v>
      </c>
      <c r="C190" s="689" t="s">
        <v>52</v>
      </c>
      <c r="D190" s="690" t="s">
        <v>89</v>
      </c>
      <c r="E190" s="690" t="s">
        <v>39</v>
      </c>
      <c r="F190" s="691" t="s">
        <v>722</v>
      </c>
      <c r="G190" s="10" t="s">
        <v>56</v>
      </c>
      <c r="H190" s="215">
        <f>'прил10 (ведом 24-25)'!M505</f>
        <v>29851.5</v>
      </c>
      <c r="I190" s="215">
        <f>'прил10 (ведом 24-25)'!N505</f>
        <v>0</v>
      </c>
    </row>
    <row r="191" spans="1:9" ht="54" x14ac:dyDescent="0.35">
      <c r="A191" s="325"/>
      <c r="B191" s="493" t="s">
        <v>435</v>
      </c>
      <c r="C191" s="206" t="s">
        <v>52</v>
      </c>
      <c r="D191" s="207" t="s">
        <v>89</v>
      </c>
      <c r="E191" s="207" t="s">
        <v>39</v>
      </c>
      <c r="F191" s="208" t="s">
        <v>408</v>
      </c>
      <c r="G191" s="28"/>
      <c r="H191" s="215">
        <f>H192</f>
        <v>2114.8000000000002</v>
      </c>
      <c r="I191" s="215">
        <f>I192</f>
        <v>2114.8000000000002</v>
      </c>
    </row>
    <row r="192" spans="1:9" ht="90" x14ac:dyDescent="0.35">
      <c r="A192" s="325"/>
      <c r="B192" s="493" t="s">
        <v>49</v>
      </c>
      <c r="C192" s="206" t="s">
        <v>52</v>
      </c>
      <c r="D192" s="207" t="s">
        <v>89</v>
      </c>
      <c r="E192" s="207" t="s">
        <v>39</v>
      </c>
      <c r="F192" s="208" t="s">
        <v>408</v>
      </c>
      <c r="G192" s="28" t="s">
        <v>50</v>
      </c>
      <c r="H192" s="215">
        <f>'прил10 (ведом 24-25)'!M523</f>
        <v>2114.8000000000002</v>
      </c>
      <c r="I192" s="215">
        <f>'прил10 (ведом 24-25)'!N523</f>
        <v>2114.8000000000002</v>
      </c>
    </row>
    <row r="193" spans="1:9" ht="36" x14ac:dyDescent="0.35">
      <c r="A193" s="325"/>
      <c r="B193" s="493" t="s">
        <v>349</v>
      </c>
      <c r="C193" s="206" t="s">
        <v>52</v>
      </c>
      <c r="D193" s="207" t="s">
        <v>89</v>
      </c>
      <c r="E193" s="207" t="s">
        <v>63</v>
      </c>
      <c r="F193" s="208" t="s">
        <v>44</v>
      </c>
      <c r="G193" s="28"/>
      <c r="H193" s="215">
        <f>H194</f>
        <v>38.4</v>
      </c>
      <c r="I193" s="215">
        <f>I194</f>
        <v>38.4</v>
      </c>
    </row>
    <row r="194" spans="1:9" ht="54" x14ac:dyDescent="0.35">
      <c r="A194" s="325"/>
      <c r="B194" s="493" t="s">
        <v>350</v>
      </c>
      <c r="C194" s="206" t="s">
        <v>52</v>
      </c>
      <c r="D194" s="207" t="s">
        <v>89</v>
      </c>
      <c r="E194" s="207" t="s">
        <v>63</v>
      </c>
      <c r="F194" s="208" t="s">
        <v>105</v>
      </c>
      <c r="G194" s="28"/>
      <c r="H194" s="215">
        <f>H195</f>
        <v>38.4</v>
      </c>
      <c r="I194" s="215">
        <f>I195</f>
        <v>38.4</v>
      </c>
    </row>
    <row r="195" spans="1:9" ht="36" x14ac:dyDescent="0.35">
      <c r="A195" s="325"/>
      <c r="B195" s="532" t="s">
        <v>55</v>
      </c>
      <c r="C195" s="206" t="s">
        <v>52</v>
      </c>
      <c r="D195" s="207" t="s">
        <v>89</v>
      </c>
      <c r="E195" s="207" t="s">
        <v>63</v>
      </c>
      <c r="F195" s="208" t="s">
        <v>105</v>
      </c>
      <c r="G195" s="28" t="s">
        <v>56</v>
      </c>
      <c r="H195" s="215">
        <f>'прил10 (ведом 24-25)'!M484</f>
        <v>38.4</v>
      </c>
      <c r="I195" s="215">
        <f>'прил10 (ведом 24-25)'!N484</f>
        <v>38.4</v>
      </c>
    </row>
    <row r="196" spans="1:9" ht="18" x14ac:dyDescent="0.35">
      <c r="A196" s="325"/>
      <c r="B196" s="496" t="s">
        <v>556</v>
      </c>
      <c r="C196" s="689" t="s">
        <v>52</v>
      </c>
      <c r="D196" s="690" t="s">
        <v>89</v>
      </c>
      <c r="E196" s="690" t="s">
        <v>52</v>
      </c>
      <c r="F196" s="691" t="s">
        <v>44</v>
      </c>
      <c r="G196" s="10"/>
      <c r="H196" s="215">
        <f>H197+H201</f>
        <v>3606.9000000000005</v>
      </c>
      <c r="I196" s="215">
        <f>I197+I201</f>
        <v>3622.8</v>
      </c>
    </row>
    <row r="197" spans="1:9" ht="36" x14ac:dyDescent="0.35">
      <c r="A197" s="325"/>
      <c r="B197" s="496" t="s">
        <v>461</v>
      </c>
      <c r="C197" s="689" t="s">
        <v>52</v>
      </c>
      <c r="D197" s="690" t="s">
        <v>89</v>
      </c>
      <c r="E197" s="690" t="s">
        <v>52</v>
      </c>
      <c r="F197" s="691" t="s">
        <v>91</v>
      </c>
      <c r="G197" s="10"/>
      <c r="H197" s="215">
        <f>H198+H199+H200</f>
        <v>2687.1000000000004</v>
      </c>
      <c r="I197" s="215">
        <f>I198+I199+I200</f>
        <v>2703</v>
      </c>
    </row>
    <row r="198" spans="1:9" ht="90" x14ac:dyDescent="0.35">
      <c r="A198" s="325"/>
      <c r="B198" s="496" t="s">
        <v>49</v>
      </c>
      <c r="C198" s="689" t="s">
        <v>52</v>
      </c>
      <c r="D198" s="690" t="s">
        <v>89</v>
      </c>
      <c r="E198" s="690" t="s">
        <v>52</v>
      </c>
      <c r="F198" s="691" t="s">
        <v>91</v>
      </c>
      <c r="G198" s="10" t="s">
        <v>50</v>
      </c>
      <c r="H198" s="215">
        <f>'прил10 (ведом 24-25)'!M491</f>
        <v>2045</v>
      </c>
      <c r="I198" s="215">
        <f>'прил10 (ведом 24-25)'!N491</f>
        <v>2045</v>
      </c>
    </row>
    <row r="199" spans="1:9" ht="36" x14ac:dyDescent="0.35">
      <c r="A199" s="325"/>
      <c r="B199" s="496" t="s">
        <v>55</v>
      </c>
      <c r="C199" s="689" t="s">
        <v>52</v>
      </c>
      <c r="D199" s="690" t="s">
        <v>89</v>
      </c>
      <c r="E199" s="690" t="s">
        <v>52</v>
      </c>
      <c r="F199" s="691" t="s">
        <v>91</v>
      </c>
      <c r="G199" s="10" t="s">
        <v>56</v>
      </c>
      <c r="H199" s="215">
        <f>'прил10 (ведом 24-25)'!M492</f>
        <v>634.29999999999995</v>
      </c>
      <c r="I199" s="215">
        <f>'прил10 (ведом 24-25)'!N492</f>
        <v>651</v>
      </c>
    </row>
    <row r="200" spans="1:9" ht="18" x14ac:dyDescent="0.35">
      <c r="A200" s="325"/>
      <c r="B200" s="496" t="s">
        <v>57</v>
      </c>
      <c r="C200" s="689" t="s">
        <v>52</v>
      </c>
      <c r="D200" s="690" t="s">
        <v>89</v>
      </c>
      <c r="E200" s="690" t="s">
        <v>52</v>
      </c>
      <c r="F200" s="691" t="s">
        <v>91</v>
      </c>
      <c r="G200" s="10" t="s">
        <v>58</v>
      </c>
      <c r="H200" s="215">
        <f>'прил10 (ведом 24-25)'!M493</f>
        <v>7.8</v>
      </c>
      <c r="I200" s="215">
        <f>'прил10 (ведом 24-25)'!N493</f>
        <v>7</v>
      </c>
    </row>
    <row r="201" spans="1:9" ht="36" x14ac:dyDescent="0.35">
      <c r="A201" s="325"/>
      <c r="B201" s="496" t="s">
        <v>219</v>
      </c>
      <c r="C201" s="689" t="s">
        <v>52</v>
      </c>
      <c r="D201" s="690" t="s">
        <v>89</v>
      </c>
      <c r="E201" s="690" t="s">
        <v>52</v>
      </c>
      <c r="F201" s="691" t="s">
        <v>291</v>
      </c>
      <c r="G201" s="10"/>
      <c r="H201" s="215">
        <f>H202</f>
        <v>919.8</v>
      </c>
      <c r="I201" s="215">
        <f>I202</f>
        <v>919.8</v>
      </c>
    </row>
    <row r="202" spans="1:9" ht="36" x14ac:dyDescent="0.35">
      <c r="A202" s="325"/>
      <c r="B202" s="496" t="s">
        <v>55</v>
      </c>
      <c r="C202" s="689" t="s">
        <v>52</v>
      </c>
      <c r="D202" s="690" t="s">
        <v>89</v>
      </c>
      <c r="E202" s="690" t="s">
        <v>52</v>
      </c>
      <c r="F202" s="691" t="s">
        <v>291</v>
      </c>
      <c r="G202" s="10" t="s">
        <v>56</v>
      </c>
      <c r="H202" s="215">
        <f>'прил10 (ведом 24-25)'!M495</f>
        <v>919.8</v>
      </c>
      <c r="I202" s="215">
        <f>'прил10 (ведом 24-25)'!N495</f>
        <v>919.8</v>
      </c>
    </row>
    <row r="203" spans="1:9" ht="18" x14ac:dyDescent="0.35">
      <c r="A203" s="325"/>
      <c r="B203" s="546" t="s">
        <v>337</v>
      </c>
      <c r="C203" s="682" t="s">
        <v>52</v>
      </c>
      <c r="D203" s="683" t="s">
        <v>31</v>
      </c>
      <c r="E203" s="683" t="s">
        <v>43</v>
      </c>
      <c r="F203" s="684" t="s">
        <v>44</v>
      </c>
      <c r="G203" s="10"/>
      <c r="H203" s="215">
        <f t="shared" ref="H203:I205" si="0">H204</f>
        <v>11905.7</v>
      </c>
      <c r="I203" s="215">
        <f t="shared" si="0"/>
        <v>0</v>
      </c>
    </row>
    <row r="204" spans="1:9" ht="54" x14ac:dyDescent="0.35">
      <c r="A204" s="325"/>
      <c r="B204" s="496" t="s">
        <v>409</v>
      </c>
      <c r="C204" s="682" t="s">
        <v>52</v>
      </c>
      <c r="D204" s="683" t="s">
        <v>31</v>
      </c>
      <c r="E204" s="683" t="s">
        <v>63</v>
      </c>
      <c r="F204" s="684" t="s">
        <v>44</v>
      </c>
      <c r="G204" s="654"/>
      <c r="H204" s="215">
        <f t="shared" si="0"/>
        <v>11905.7</v>
      </c>
      <c r="I204" s="215">
        <f t="shared" si="0"/>
        <v>0</v>
      </c>
    </row>
    <row r="205" spans="1:9" ht="108" x14ac:dyDescent="0.35">
      <c r="A205" s="325"/>
      <c r="B205" s="549" t="s">
        <v>500</v>
      </c>
      <c r="C205" s="682" t="s">
        <v>52</v>
      </c>
      <c r="D205" s="683" t="s">
        <v>31</v>
      </c>
      <c r="E205" s="683" t="s">
        <v>63</v>
      </c>
      <c r="F205" s="691" t="s">
        <v>499</v>
      </c>
      <c r="G205" s="654"/>
      <c r="H205" s="215">
        <f t="shared" si="0"/>
        <v>11905.7</v>
      </c>
      <c r="I205" s="215">
        <f t="shared" si="0"/>
        <v>0</v>
      </c>
    </row>
    <row r="206" spans="1:9" ht="36" x14ac:dyDescent="0.35">
      <c r="A206" s="325"/>
      <c r="B206" s="502" t="s">
        <v>203</v>
      </c>
      <c r="C206" s="682" t="s">
        <v>52</v>
      </c>
      <c r="D206" s="683" t="s">
        <v>31</v>
      </c>
      <c r="E206" s="683" t="s">
        <v>63</v>
      </c>
      <c r="F206" s="691" t="s">
        <v>499</v>
      </c>
      <c r="G206" s="654" t="s">
        <v>204</v>
      </c>
      <c r="H206" s="215">
        <f>'прил10 (ведом 24-25)'!M287</f>
        <v>11905.7</v>
      </c>
      <c r="I206" s="215">
        <f>'прил10 (ведом 24-25)'!N287</f>
        <v>0</v>
      </c>
    </row>
    <row r="207" spans="1:9" ht="18" x14ac:dyDescent="0.35">
      <c r="A207" s="325"/>
      <c r="B207" s="496"/>
      <c r="C207" s="689"/>
      <c r="D207" s="690"/>
      <c r="E207" s="690"/>
      <c r="F207" s="691"/>
      <c r="G207" s="10"/>
      <c r="H207" s="215"/>
      <c r="I207" s="215"/>
    </row>
    <row r="208" spans="1:9" ht="18" x14ac:dyDescent="0.35">
      <c r="A208" s="325"/>
      <c r="B208" s="499"/>
      <c r="C208" s="682"/>
      <c r="D208" s="683"/>
      <c r="E208" s="683"/>
      <c r="F208" s="684"/>
      <c r="G208" s="236"/>
      <c r="H208" s="215"/>
      <c r="I208" s="215"/>
    </row>
    <row r="209" spans="1:9" s="335" customFormat="1" ht="52.2" x14ac:dyDescent="0.3">
      <c r="A209" s="340">
        <v>4</v>
      </c>
      <c r="B209" s="491" t="s">
        <v>221</v>
      </c>
      <c r="C209" s="332" t="s">
        <v>65</v>
      </c>
      <c r="D209" s="332" t="s">
        <v>42</v>
      </c>
      <c r="E209" s="332" t="s">
        <v>43</v>
      </c>
      <c r="F209" s="333" t="s">
        <v>44</v>
      </c>
      <c r="G209" s="334"/>
      <c r="H209" s="252">
        <f>H210+H216</f>
        <v>7587.1</v>
      </c>
      <c r="I209" s="252">
        <f>I210+I216</f>
        <v>7592.7999999999993</v>
      </c>
    </row>
    <row r="210" spans="1:9" s="335" customFormat="1" ht="18" x14ac:dyDescent="0.35">
      <c r="A210" s="325"/>
      <c r="B210" s="492" t="s">
        <v>222</v>
      </c>
      <c r="C210" s="206" t="s">
        <v>65</v>
      </c>
      <c r="D210" s="207" t="s">
        <v>45</v>
      </c>
      <c r="E210" s="207" t="s">
        <v>43</v>
      </c>
      <c r="F210" s="208" t="s">
        <v>44</v>
      </c>
      <c r="G210" s="236"/>
      <c r="H210" s="215">
        <f>H211</f>
        <v>3836.5</v>
      </c>
      <c r="I210" s="215">
        <f>I211</f>
        <v>3836.5</v>
      </c>
    </row>
    <row r="211" spans="1:9" s="335" customFormat="1" ht="72" x14ac:dyDescent="0.35">
      <c r="A211" s="325"/>
      <c r="B211" s="492" t="s">
        <v>286</v>
      </c>
      <c r="C211" s="206" t="s">
        <v>65</v>
      </c>
      <c r="D211" s="207" t="s">
        <v>45</v>
      </c>
      <c r="E211" s="207" t="s">
        <v>37</v>
      </c>
      <c r="F211" s="208" t="s">
        <v>44</v>
      </c>
      <c r="G211" s="28"/>
      <c r="H211" s="215">
        <f>H212</f>
        <v>3836.5</v>
      </c>
      <c r="I211" s="215">
        <f>I212</f>
        <v>3836.5</v>
      </c>
    </row>
    <row r="212" spans="1:9" ht="36" x14ac:dyDescent="0.35">
      <c r="A212" s="325"/>
      <c r="B212" s="492" t="s">
        <v>461</v>
      </c>
      <c r="C212" s="206" t="s">
        <v>65</v>
      </c>
      <c r="D212" s="207" t="s">
        <v>45</v>
      </c>
      <c r="E212" s="207" t="s">
        <v>37</v>
      </c>
      <c r="F212" s="208" t="s">
        <v>91</v>
      </c>
      <c r="G212" s="28"/>
      <c r="H212" s="215">
        <f>SUM(H213:H215)</f>
        <v>3836.5</v>
      </c>
      <c r="I212" s="215">
        <f>SUM(I213:I215)</f>
        <v>3836.5</v>
      </c>
    </row>
    <row r="213" spans="1:9" ht="90" x14ac:dyDescent="0.35">
      <c r="A213" s="325"/>
      <c r="B213" s="492" t="s">
        <v>49</v>
      </c>
      <c r="C213" s="206" t="s">
        <v>65</v>
      </c>
      <c r="D213" s="207" t="s">
        <v>45</v>
      </c>
      <c r="E213" s="207" t="s">
        <v>37</v>
      </c>
      <c r="F213" s="208" t="s">
        <v>91</v>
      </c>
      <c r="G213" s="28" t="s">
        <v>50</v>
      </c>
      <c r="H213" s="215">
        <f>'прил10 (ведом 24-25)'!M553</f>
        <v>3509.5</v>
      </c>
      <c r="I213" s="215">
        <f>'прил10 (ведом 24-25)'!N553</f>
        <v>3509.5</v>
      </c>
    </row>
    <row r="214" spans="1:9" ht="36" x14ac:dyDescent="0.35">
      <c r="A214" s="325"/>
      <c r="B214" s="493" t="s">
        <v>55</v>
      </c>
      <c r="C214" s="206" t="s">
        <v>65</v>
      </c>
      <c r="D214" s="207" t="s">
        <v>45</v>
      </c>
      <c r="E214" s="207" t="s">
        <v>37</v>
      </c>
      <c r="F214" s="208" t="s">
        <v>91</v>
      </c>
      <c r="G214" s="28" t="s">
        <v>56</v>
      </c>
      <c r="H214" s="215">
        <f>'прил10 (ведом 24-25)'!M554</f>
        <v>324.3</v>
      </c>
      <c r="I214" s="215">
        <f>'прил10 (ведом 24-25)'!N554</f>
        <v>324.3</v>
      </c>
    </row>
    <row r="215" spans="1:9" ht="18" x14ac:dyDescent="0.35">
      <c r="A215" s="325"/>
      <c r="B215" s="493" t="s">
        <v>57</v>
      </c>
      <c r="C215" s="206" t="s">
        <v>65</v>
      </c>
      <c r="D215" s="207" t="s">
        <v>45</v>
      </c>
      <c r="E215" s="207" t="s">
        <v>37</v>
      </c>
      <c r="F215" s="208" t="s">
        <v>91</v>
      </c>
      <c r="G215" s="28" t="s">
        <v>58</v>
      </c>
      <c r="H215" s="215">
        <f>'прил10 (ведом 24-25)'!M555</f>
        <v>2.7</v>
      </c>
      <c r="I215" s="215">
        <f>'прил10 (ведом 24-25)'!N555</f>
        <v>2.7</v>
      </c>
    </row>
    <row r="216" spans="1:9" s="335" customFormat="1" ht="18" x14ac:dyDescent="0.35">
      <c r="A216" s="325"/>
      <c r="B216" s="492" t="s">
        <v>220</v>
      </c>
      <c r="C216" s="206" t="s">
        <v>65</v>
      </c>
      <c r="D216" s="207" t="s">
        <v>89</v>
      </c>
      <c r="E216" s="207" t="s">
        <v>43</v>
      </c>
      <c r="F216" s="208" t="s">
        <v>44</v>
      </c>
      <c r="G216" s="28"/>
      <c r="H216" s="215">
        <f>H217+H222+H225+H228</f>
        <v>3750.6</v>
      </c>
      <c r="I216" s="215">
        <f>I217+I222+I225+I228</f>
        <v>3756.2999999999997</v>
      </c>
    </row>
    <row r="217" spans="1:9" s="335" customFormat="1" ht="36" x14ac:dyDescent="0.35">
      <c r="A217" s="325"/>
      <c r="B217" s="492" t="s">
        <v>281</v>
      </c>
      <c r="C217" s="206" t="s">
        <v>65</v>
      </c>
      <c r="D217" s="207" t="s">
        <v>89</v>
      </c>
      <c r="E217" s="207" t="s">
        <v>37</v>
      </c>
      <c r="F217" s="208" t="s">
        <v>44</v>
      </c>
      <c r="G217" s="28"/>
      <c r="H217" s="215">
        <f>H218</f>
        <v>3623.7</v>
      </c>
      <c r="I217" s="215">
        <f>I218</f>
        <v>3629.3999999999996</v>
      </c>
    </row>
    <row r="218" spans="1:9" s="335" customFormat="1" ht="36" x14ac:dyDescent="0.35">
      <c r="A218" s="325"/>
      <c r="B218" s="492" t="s">
        <v>47</v>
      </c>
      <c r="C218" s="206" t="s">
        <v>65</v>
      </c>
      <c r="D218" s="207" t="s">
        <v>89</v>
      </c>
      <c r="E218" s="207" t="s">
        <v>37</v>
      </c>
      <c r="F218" s="208" t="s">
        <v>48</v>
      </c>
      <c r="G218" s="28"/>
      <c r="H218" s="215">
        <f>SUM(H219:H221)</f>
        <v>3623.7</v>
      </c>
      <c r="I218" s="215">
        <f>SUM(I219:I221)</f>
        <v>3629.3999999999996</v>
      </c>
    </row>
    <row r="219" spans="1:9" s="335" customFormat="1" ht="90" x14ac:dyDescent="0.35">
      <c r="A219" s="325"/>
      <c r="B219" s="492" t="s">
        <v>49</v>
      </c>
      <c r="C219" s="206" t="s">
        <v>65</v>
      </c>
      <c r="D219" s="207" t="s">
        <v>89</v>
      </c>
      <c r="E219" s="207" t="s">
        <v>37</v>
      </c>
      <c r="F219" s="208" t="s">
        <v>48</v>
      </c>
      <c r="G219" s="28" t="s">
        <v>50</v>
      </c>
      <c r="H219" s="215">
        <f>'прил10 (ведом 24-25)'!M561</f>
        <v>3261.7</v>
      </c>
      <c r="I219" s="215">
        <f>'прил10 (ведом 24-25)'!N561</f>
        <v>3261.7</v>
      </c>
    </row>
    <row r="220" spans="1:9" ht="36" x14ac:dyDescent="0.35">
      <c r="A220" s="325"/>
      <c r="B220" s="492" t="s">
        <v>55</v>
      </c>
      <c r="C220" s="206" t="s">
        <v>65</v>
      </c>
      <c r="D220" s="207" t="s">
        <v>89</v>
      </c>
      <c r="E220" s="207" t="s">
        <v>37</v>
      </c>
      <c r="F220" s="208" t="s">
        <v>48</v>
      </c>
      <c r="G220" s="28" t="s">
        <v>56</v>
      </c>
      <c r="H220" s="215">
        <f>'прил10 (ведом 24-25)'!M562</f>
        <v>360.8</v>
      </c>
      <c r="I220" s="215">
        <f>'прил10 (ведом 24-25)'!N562</f>
        <v>366.5</v>
      </c>
    </row>
    <row r="221" spans="1:9" ht="18" x14ac:dyDescent="0.35">
      <c r="A221" s="325"/>
      <c r="B221" s="492" t="s">
        <v>57</v>
      </c>
      <c r="C221" s="206" t="s">
        <v>65</v>
      </c>
      <c r="D221" s="207" t="s">
        <v>89</v>
      </c>
      <c r="E221" s="207" t="s">
        <v>37</v>
      </c>
      <c r="F221" s="208" t="s">
        <v>48</v>
      </c>
      <c r="G221" s="28" t="s">
        <v>58</v>
      </c>
      <c r="H221" s="215">
        <f>'прил10 (ведом 24-25)'!M563</f>
        <v>1.2</v>
      </c>
      <c r="I221" s="215">
        <f>'прил10 (ведом 24-25)'!N563</f>
        <v>1.2</v>
      </c>
    </row>
    <row r="222" spans="1:9" ht="36" x14ac:dyDescent="0.35">
      <c r="A222" s="325"/>
      <c r="B222" s="505" t="s">
        <v>349</v>
      </c>
      <c r="C222" s="207" t="s">
        <v>65</v>
      </c>
      <c r="D222" s="207" t="s">
        <v>89</v>
      </c>
      <c r="E222" s="207" t="s">
        <v>39</v>
      </c>
      <c r="F222" s="208" t="s">
        <v>44</v>
      </c>
      <c r="G222" s="28"/>
      <c r="H222" s="215">
        <f>H223</f>
        <v>67.900000000000006</v>
      </c>
      <c r="I222" s="215">
        <f>I223</f>
        <v>67.900000000000006</v>
      </c>
    </row>
    <row r="223" spans="1:9" ht="54" x14ac:dyDescent="0.35">
      <c r="A223" s="325"/>
      <c r="B223" s="505" t="s">
        <v>350</v>
      </c>
      <c r="C223" s="206" t="s">
        <v>65</v>
      </c>
      <c r="D223" s="207" t="s">
        <v>89</v>
      </c>
      <c r="E223" s="207" t="s">
        <v>39</v>
      </c>
      <c r="F223" s="208" t="s">
        <v>105</v>
      </c>
      <c r="G223" s="28"/>
      <c r="H223" s="215">
        <f>H224</f>
        <v>67.900000000000006</v>
      </c>
      <c r="I223" s="215">
        <f>I224</f>
        <v>67.900000000000006</v>
      </c>
    </row>
    <row r="224" spans="1:9" ht="36" x14ac:dyDescent="0.35">
      <c r="A224" s="325"/>
      <c r="B224" s="505" t="s">
        <v>55</v>
      </c>
      <c r="C224" s="206" t="s">
        <v>65</v>
      </c>
      <c r="D224" s="207" t="s">
        <v>89</v>
      </c>
      <c r="E224" s="207" t="s">
        <v>39</v>
      </c>
      <c r="F224" s="208" t="s">
        <v>105</v>
      </c>
      <c r="G224" s="28" t="s">
        <v>56</v>
      </c>
      <c r="H224" s="215">
        <f>'прил10 (ведом 24-25)'!M540</f>
        <v>67.900000000000006</v>
      </c>
      <c r="I224" s="215">
        <f>'прил10 (ведом 24-25)'!N540</f>
        <v>67.900000000000006</v>
      </c>
    </row>
    <row r="225" spans="1:9" ht="36" x14ac:dyDescent="0.35">
      <c r="A225" s="325"/>
      <c r="B225" s="493" t="s">
        <v>465</v>
      </c>
      <c r="C225" s="207" t="s">
        <v>65</v>
      </c>
      <c r="D225" s="207" t="s">
        <v>89</v>
      </c>
      <c r="E225" s="207" t="s">
        <v>63</v>
      </c>
      <c r="F225" s="208" t="s">
        <v>44</v>
      </c>
      <c r="G225" s="28"/>
      <c r="H225" s="215">
        <f>H226</f>
        <v>14.8</v>
      </c>
      <c r="I225" s="215">
        <f>I226</f>
        <v>14.8</v>
      </c>
    </row>
    <row r="226" spans="1:9" ht="18" x14ac:dyDescent="0.35">
      <c r="A226" s="325"/>
      <c r="B226" s="493" t="s">
        <v>463</v>
      </c>
      <c r="C226" s="207" t="s">
        <v>65</v>
      </c>
      <c r="D226" s="207" t="s">
        <v>89</v>
      </c>
      <c r="E226" s="207" t="s">
        <v>63</v>
      </c>
      <c r="F226" s="208" t="s">
        <v>464</v>
      </c>
      <c r="G226" s="28"/>
      <c r="H226" s="215">
        <f>H227</f>
        <v>14.8</v>
      </c>
      <c r="I226" s="215">
        <f>I227</f>
        <v>14.8</v>
      </c>
    </row>
    <row r="227" spans="1:9" ht="36" x14ac:dyDescent="0.35">
      <c r="A227" s="325"/>
      <c r="B227" s="505" t="s">
        <v>55</v>
      </c>
      <c r="C227" s="207" t="s">
        <v>65</v>
      </c>
      <c r="D227" s="207" t="s">
        <v>89</v>
      </c>
      <c r="E227" s="207" t="s">
        <v>63</v>
      </c>
      <c r="F227" s="208" t="s">
        <v>464</v>
      </c>
      <c r="G227" s="28" t="s">
        <v>56</v>
      </c>
      <c r="H227" s="215">
        <f>'прил10 (ведом 24-25)'!M543</f>
        <v>14.8</v>
      </c>
      <c r="I227" s="215">
        <f>'прил10 (ведом 24-25)'!N543</f>
        <v>14.8</v>
      </c>
    </row>
    <row r="228" spans="1:9" ht="36" x14ac:dyDescent="0.35">
      <c r="A228" s="325"/>
      <c r="B228" s="505" t="s">
        <v>468</v>
      </c>
      <c r="C228" s="207" t="s">
        <v>65</v>
      </c>
      <c r="D228" s="207" t="s">
        <v>89</v>
      </c>
      <c r="E228" s="207" t="s">
        <v>52</v>
      </c>
      <c r="F228" s="684" t="s">
        <v>44</v>
      </c>
      <c r="G228" s="236"/>
      <c r="H228" s="215">
        <f>H229</f>
        <v>44.2</v>
      </c>
      <c r="I228" s="215">
        <f>I229</f>
        <v>44.2</v>
      </c>
    </row>
    <row r="229" spans="1:9" ht="36" x14ac:dyDescent="0.35">
      <c r="A229" s="325"/>
      <c r="B229" s="506" t="s">
        <v>127</v>
      </c>
      <c r="C229" s="207" t="s">
        <v>65</v>
      </c>
      <c r="D229" s="207" t="s">
        <v>89</v>
      </c>
      <c r="E229" s="207" t="s">
        <v>52</v>
      </c>
      <c r="F229" s="349" t="s">
        <v>90</v>
      </c>
      <c r="G229" s="236"/>
      <c r="H229" s="215">
        <f>H230</f>
        <v>44.2</v>
      </c>
      <c r="I229" s="215">
        <f>I230</f>
        <v>44.2</v>
      </c>
    </row>
    <row r="230" spans="1:9" ht="36" x14ac:dyDescent="0.35">
      <c r="A230" s="325"/>
      <c r="B230" s="505" t="s">
        <v>55</v>
      </c>
      <c r="C230" s="207" t="s">
        <v>65</v>
      </c>
      <c r="D230" s="207" t="s">
        <v>89</v>
      </c>
      <c r="E230" s="207" t="s">
        <v>52</v>
      </c>
      <c r="F230" s="684" t="s">
        <v>90</v>
      </c>
      <c r="G230" s="236" t="s">
        <v>56</v>
      </c>
      <c r="H230" s="215">
        <f>'прил10 (ведом 24-25)'!M546</f>
        <v>44.2</v>
      </c>
      <c r="I230" s="215">
        <f>'прил10 (ведом 24-25)'!N546</f>
        <v>44.2</v>
      </c>
    </row>
    <row r="231" spans="1:9" ht="18" x14ac:dyDescent="0.35">
      <c r="A231" s="325"/>
      <c r="B231" s="492"/>
      <c r="C231" s="207"/>
      <c r="D231" s="207"/>
      <c r="E231" s="207"/>
      <c r="F231" s="208"/>
      <c r="G231" s="28"/>
      <c r="H231" s="215"/>
      <c r="I231" s="215"/>
    </row>
    <row r="232" spans="1:9" s="335" customFormat="1" ht="52.2" x14ac:dyDescent="0.3">
      <c r="A232" s="340">
        <v>5</v>
      </c>
      <c r="B232" s="491" t="s">
        <v>80</v>
      </c>
      <c r="C232" s="341" t="s">
        <v>81</v>
      </c>
      <c r="D232" s="341" t="s">
        <v>42</v>
      </c>
      <c r="E232" s="341" t="s">
        <v>43</v>
      </c>
      <c r="F232" s="342" t="s">
        <v>44</v>
      </c>
      <c r="G232" s="334"/>
      <c r="H232" s="252">
        <f>H246+H233+H239+H252</f>
        <v>14347.499999999998</v>
      </c>
      <c r="I232" s="252">
        <f>I246+I233+I239+I252</f>
        <v>12720.499999999996</v>
      </c>
    </row>
    <row r="233" spans="1:9" ht="54" x14ac:dyDescent="0.35">
      <c r="A233" s="325"/>
      <c r="B233" s="500" t="s">
        <v>82</v>
      </c>
      <c r="C233" s="206" t="s">
        <v>81</v>
      </c>
      <c r="D233" s="207" t="s">
        <v>45</v>
      </c>
      <c r="E233" s="207" t="s">
        <v>43</v>
      </c>
      <c r="F233" s="208" t="s">
        <v>44</v>
      </c>
      <c r="G233" s="236"/>
      <c r="H233" s="215">
        <f>H234</f>
        <v>1990.3000000000002</v>
      </c>
      <c r="I233" s="215">
        <f>I234</f>
        <v>362.29999999999995</v>
      </c>
    </row>
    <row r="234" spans="1:9" ht="72" x14ac:dyDescent="0.35">
      <c r="A234" s="325"/>
      <c r="B234" s="492" t="s">
        <v>83</v>
      </c>
      <c r="C234" s="206" t="s">
        <v>81</v>
      </c>
      <c r="D234" s="207" t="s">
        <v>45</v>
      </c>
      <c r="E234" s="207" t="s">
        <v>37</v>
      </c>
      <c r="F234" s="208" t="s">
        <v>44</v>
      </c>
      <c r="G234" s="28"/>
      <c r="H234" s="215">
        <f>H235+H237</f>
        <v>1990.3000000000002</v>
      </c>
      <c r="I234" s="215">
        <f>I235+I237</f>
        <v>362.29999999999995</v>
      </c>
    </row>
    <row r="235" spans="1:9" ht="36" x14ac:dyDescent="0.35">
      <c r="A235" s="325"/>
      <c r="B235" s="532" t="s">
        <v>448</v>
      </c>
      <c r="C235" s="206" t="s">
        <v>81</v>
      </c>
      <c r="D235" s="207" t="s">
        <v>45</v>
      </c>
      <c r="E235" s="207" t="s">
        <v>37</v>
      </c>
      <c r="F235" s="208" t="s">
        <v>84</v>
      </c>
      <c r="G235" s="28"/>
      <c r="H235" s="215">
        <f>H236</f>
        <v>1926.4</v>
      </c>
      <c r="I235" s="215">
        <f>I236</f>
        <v>298.39999999999998</v>
      </c>
    </row>
    <row r="236" spans="1:9" ht="36" x14ac:dyDescent="0.35">
      <c r="A236" s="325"/>
      <c r="B236" s="493" t="s">
        <v>55</v>
      </c>
      <c r="C236" s="206" t="s">
        <v>81</v>
      </c>
      <c r="D236" s="207" t="s">
        <v>45</v>
      </c>
      <c r="E236" s="207" t="s">
        <v>37</v>
      </c>
      <c r="F236" s="208" t="s">
        <v>84</v>
      </c>
      <c r="G236" s="28" t="s">
        <v>56</v>
      </c>
      <c r="H236" s="215">
        <f>'прил10 (ведом 24-25)'!M84</f>
        <v>1926.4</v>
      </c>
      <c r="I236" s="215">
        <f>'прил10 (ведом 24-25)'!N84</f>
        <v>298.39999999999998</v>
      </c>
    </row>
    <row r="237" spans="1:9" ht="36" x14ac:dyDescent="0.35">
      <c r="A237" s="325"/>
      <c r="B237" s="493" t="s">
        <v>85</v>
      </c>
      <c r="C237" s="206" t="s">
        <v>81</v>
      </c>
      <c r="D237" s="207" t="s">
        <v>45</v>
      </c>
      <c r="E237" s="207" t="s">
        <v>37</v>
      </c>
      <c r="F237" s="208" t="s">
        <v>86</v>
      </c>
      <c r="G237" s="28"/>
      <c r="H237" s="215">
        <f>H238</f>
        <v>63.9</v>
      </c>
      <c r="I237" s="215">
        <f>I238</f>
        <v>63.9</v>
      </c>
    </row>
    <row r="238" spans="1:9" ht="36" x14ac:dyDescent="0.35">
      <c r="A238" s="325"/>
      <c r="B238" s="493" t="s">
        <v>55</v>
      </c>
      <c r="C238" s="206" t="s">
        <v>81</v>
      </c>
      <c r="D238" s="207" t="s">
        <v>45</v>
      </c>
      <c r="E238" s="207" t="s">
        <v>37</v>
      </c>
      <c r="F238" s="208" t="s">
        <v>86</v>
      </c>
      <c r="G238" s="28" t="s">
        <v>56</v>
      </c>
      <c r="H238" s="215">
        <f>'прил10 (ведом 24-25)'!M86</f>
        <v>63.9</v>
      </c>
      <c r="I238" s="215">
        <f>'прил10 (ведом 24-25)'!N86</f>
        <v>63.9</v>
      </c>
    </row>
    <row r="239" spans="1:9" ht="36" x14ac:dyDescent="0.35">
      <c r="A239" s="325"/>
      <c r="B239" s="507" t="s">
        <v>125</v>
      </c>
      <c r="C239" s="206" t="s">
        <v>81</v>
      </c>
      <c r="D239" s="207" t="s">
        <v>89</v>
      </c>
      <c r="E239" s="207" t="s">
        <v>43</v>
      </c>
      <c r="F239" s="208" t="s">
        <v>44</v>
      </c>
      <c r="G239" s="236"/>
      <c r="H239" s="215">
        <f>H240+H243</f>
        <v>1480.3999999999999</v>
      </c>
      <c r="I239" s="215">
        <f>I240+I243</f>
        <v>1480.3999999999999</v>
      </c>
    </row>
    <row r="240" spans="1:9" ht="36" x14ac:dyDescent="0.35">
      <c r="A240" s="325"/>
      <c r="B240" s="493" t="s">
        <v>270</v>
      </c>
      <c r="C240" s="206" t="s">
        <v>81</v>
      </c>
      <c r="D240" s="207" t="s">
        <v>89</v>
      </c>
      <c r="E240" s="207" t="s">
        <v>37</v>
      </c>
      <c r="F240" s="208" t="s">
        <v>44</v>
      </c>
      <c r="G240" s="28"/>
      <c r="H240" s="215">
        <f>H241</f>
        <v>21.8</v>
      </c>
      <c r="I240" s="215">
        <f>I241</f>
        <v>21.8</v>
      </c>
    </row>
    <row r="241" spans="1:9" ht="36" x14ac:dyDescent="0.35">
      <c r="A241" s="325"/>
      <c r="B241" s="531" t="s">
        <v>127</v>
      </c>
      <c r="C241" s="206" t="s">
        <v>81</v>
      </c>
      <c r="D241" s="207" t="s">
        <v>89</v>
      </c>
      <c r="E241" s="207" t="s">
        <v>37</v>
      </c>
      <c r="F241" s="208" t="s">
        <v>90</v>
      </c>
      <c r="G241" s="28"/>
      <c r="H241" s="215">
        <f>H242</f>
        <v>21.8</v>
      </c>
      <c r="I241" s="215">
        <f>I242</f>
        <v>21.8</v>
      </c>
    </row>
    <row r="242" spans="1:9" ht="36" x14ac:dyDescent="0.35">
      <c r="A242" s="325"/>
      <c r="B242" s="493" t="s">
        <v>55</v>
      </c>
      <c r="C242" s="206" t="s">
        <v>81</v>
      </c>
      <c r="D242" s="207" t="s">
        <v>89</v>
      </c>
      <c r="E242" s="207" t="s">
        <v>37</v>
      </c>
      <c r="F242" s="208" t="s">
        <v>90</v>
      </c>
      <c r="G242" s="28" t="s">
        <v>56</v>
      </c>
      <c r="H242" s="215">
        <f>'прил10 (ведом 24-25)'!M92</f>
        <v>21.8</v>
      </c>
      <c r="I242" s="215">
        <f>'прил10 (ведом 24-25)'!N92</f>
        <v>21.8</v>
      </c>
    </row>
    <row r="243" spans="1:9" ht="54" x14ac:dyDescent="0.35">
      <c r="A243" s="325"/>
      <c r="B243" s="531" t="s">
        <v>126</v>
      </c>
      <c r="C243" s="206" t="s">
        <v>81</v>
      </c>
      <c r="D243" s="207" t="s">
        <v>89</v>
      </c>
      <c r="E243" s="207" t="s">
        <v>39</v>
      </c>
      <c r="F243" s="208" t="s">
        <v>44</v>
      </c>
      <c r="G243" s="28"/>
      <c r="H243" s="215">
        <f>H244</f>
        <v>1458.6</v>
      </c>
      <c r="I243" s="215">
        <f>I244</f>
        <v>1458.6</v>
      </c>
    </row>
    <row r="244" spans="1:9" ht="36" x14ac:dyDescent="0.35">
      <c r="A244" s="325"/>
      <c r="B244" s="531" t="s">
        <v>127</v>
      </c>
      <c r="C244" s="206" t="s">
        <v>81</v>
      </c>
      <c r="D244" s="207" t="s">
        <v>89</v>
      </c>
      <c r="E244" s="207" t="s">
        <v>39</v>
      </c>
      <c r="F244" s="208" t="s">
        <v>90</v>
      </c>
      <c r="G244" s="28"/>
      <c r="H244" s="215">
        <f>H245</f>
        <v>1458.6</v>
      </c>
      <c r="I244" s="215">
        <f>I245</f>
        <v>1458.6</v>
      </c>
    </row>
    <row r="245" spans="1:9" ht="36" x14ac:dyDescent="0.35">
      <c r="A245" s="325"/>
      <c r="B245" s="493" t="s">
        <v>55</v>
      </c>
      <c r="C245" s="206" t="s">
        <v>81</v>
      </c>
      <c r="D245" s="207" t="s">
        <v>89</v>
      </c>
      <c r="E245" s="207" t="s">
        <v>39</v>
      </c>
      <c r="F245" s="208" t="s">
        <v>90</v>
      </c>
      <c r="G245" s="28" t="s">
        <v>56</v>
      </c>
      <c r="H245" s="215">
        <f>'прил10 (ведом 24-25)'!M95</f>
        <v>1458.6</v>
      </c>
      <c r="I245" s="215">
        <f>'прил10 (ведом 24-25)'!N95</f>
        <v>1458.6</v>
      </c>
    </row>
    <row r="246" spans="1:9" ht="54" x14ac:dyDescent="0.35">
      <c r="A246" s="325"/>
      <c r="B246" s="509" t="s">
        <v>366</v>
      </c>
      <c r="C246" s="206" t="s">
        <v>81</v>
      </c>
      <c r="D246" s="207" t="s">
        <v>30</v>
      </c>
      <c r="E246" s="207" t="s">
        <v>43</v>
      </c>
      <c r="F246" s="208" t="s">
        <v>44</v>
      </c>
      <c r="G246" s="28"/>
      <c r="H246" s="215">
        <f>H247</f>
        <v>10854.999999999998</v>
      </c>
      <c r="I246" s="215">
        <f>I247</f>
        <v>10855.999999999998</v>
      </c>
    </row>
    <row r="247" spans="1:9" ht="72" x14ac:dyDescent="0.35">
      <c r="A247" s="325"/>
      <c r="B247" s="508" t="s">
        <v>321</v>
      </c>
      <c r="C247" s="206" t="s">
        <v>81</v>
      </c>
      <c r="D247" s="207" t="s">
        <v>30</v>
      </c>
      <c r="E247" s="207" t="s">
        <v>37</v>
      </c>
      <c r="F247" s="208" t="s">
        <v>44</v>
      </c>
      <c r="G247" s="28"/>
      <c r="H247" s="215">
        <f>H248</f>
        <v>10854.999999999998</v>
      </c>
      <c r="I247" s="215">
        <f>I248</f>
        <v>10855.999999999998</v>
      </c>
    </row>
    <row r="248" spans="1:9" ht="36" x14ac:dyDescent="0.35">
      <c r="A248" s="325"/>
      <c r="B248" s="492" t="s">
        <v>461</v>
      </c>
      <c r="C248" s="206" t="s">
        <v>81</v>
      </c>
      <c r="D248" s="207" t="s">
        <v>30</v>
      </c>
      <c r="E248" s="207" t="s">
        <v>37</v>
      </c>
      <c r="F248" s="208" t="s">
        <v>91</v>
      </c>
      <c r="G248" s="28"/>
      <c r="H248" s="215">
        <f>SUM(H249:H251)</f>
        <v>10854.999999999998</v>
      </c>
      <c r="I248" s="215">
        <f>SUM(I249:I251)</f>
        <v>10855.999999999998</v>
      </c>
    </row>
    <row r="249" spans="1:9" s="335" customFormat="1" ht="90" x14ac:dyDescent="0.35">
      <c r="A249" s="325"/>
      <c r="B249" s="492" t="s">
        <v>49</v>
      </c>
      <c r="C249" s="206" t="s">
        <v>81</v>
      </c>
      <c r="D249" s="207" t="s">
        <v>30</v>
      </c>
      <c r="E249" s="207" t="s">
        <v>37</v>
      </c>
      <c r="F249" s="208" t="s">
        <v>91</v>
      </c>
      <c r="G249" s="28" t="s">
        <v>50</v>
      </c>
      <c r="H249" s="215">
        <f>'прил10 (ведом 24-25)'!M99</f>
        <v>8959.9</v>
      </c>
      <c r="I249" s="215">
        <f>'прил10 (ведом 24-25)'!N99</f>
        <v>8959.9</v>
      </c>
    </row>
    <row r="250" spans="1:9" ht="36" x14ac:dyDescent="0.35">
      <c r="A250" s="325"/>
      <c r="B250" s="492" t="s">
        <v>55</v>
      </c>
      <c r="C250" s="206" t="s">
        <v>81</v>
      </c>
      <c r="D250" s="207" t="s">
        <v>30</v>
      </c>
      <c r="E250" s="207" t="s">
        <v>37</v>
      </c>
      <c r="F250" s="208" t="s">
        <v>91</v>
      </c>
      <c r="G250" s="28" t="s">
        <v>56</v>
      </c>
      <c r="H250" s="215">
        <f>'прил10 (ведом 24-25)'!M100</f>
        <v>1891.8</v>
      </c>
      <c r="I250" s="215">
        <f>'прил10 (ведом 24-25)'!N100</f>
        <v>1892.8</v>
      </c>
    </row>
    <row r="251" spans="1:9" ht="18" x14ac:dyDescent="0.35">
      <c r="A251" s="325"/>
      <c r="B251" s="493" t="s">
        <v>57</v>
      </c>
      <c r="C251" s="206" t="s">
        <v>81</v>
      </c>
      <c r="D251" s="207" t="s">
        <v>30</v>
      </c>
      <c r="E251" s="207" t="s">
        <v>37</v>
      </c>
      <c r="F251" s="208" t="s">
        <v>91</v>
      </c>
      <c r="G251" s="28" t="s">
        <v>58</v>
      </c>
      <c r="H251" s="215">
        <f>'прил10 (ведом 24-25)'!M101</f>
        <v>3.3</v>
      </c>
      <c r="I251" s="215">
        <f>'прил10 (ведом 24-25)'!N101</f>
        <v>3.3</v>
      </c>
    </row>
    <row r="252" spans="1:9" ht="54" x14ac:dyDescent="0.35">
      <c r="A252" s="325"/>
      <c r="B252" s="533" t="s">
        <v>487</v>
      </c>
      <c r="C252" s="206" t="s">
        <v>81</v>
      </c>
      <c r="D252" s="207" t="s">
        <v>31</v>
      </c>
      <c r="E252" s="207" t="s">
        <v>43</v>
      </c>
      <c r="F252" s="208" t="s">
        <v>44</v>
      </c>
      <c r="G252" s="28"/>
      <c r="H252" s="215">
        <f t="shared" ref="H252:I254" si="1">H253</f>
        <v>21.8</v>
      </c>
      <c r="I252" s="215">
        <f t="shared" si="1"/>
        <v>21.8</v>
      </c>
    </row>
    <row r="253" spans="1:9" ht="54" x14ac:dyDescent="0.35">
      <c r="A253" s="325"/>
      <c r="B253" s="534" t="s">
        <v>488</v>
      </c>
      <c r="C253" s="206" t="s">
        <v>81</v>
      </c>
      <c r="D253" s="207" t="s">
        <v>31</v>
      </c>
      <c r="E253" s="207" t="s">
        <v>37</v>
      </c>
      <c r="F253" s="208" t="s">
        <v>44</v>
      </c>
      <c r="G253" s="28"/>
      <c r="H253" s="215">
        <f t="shared" si="1"/>
        <v>21.8</v>
      </c>
      <c r="I253" s="215">
        <f t="shared" si="1"/>
        <v>21.8</v>
      </c>
    </row>
    <row r="254" spans="1:9" ht="36" x14ac:dyDescent="0.35">
      <c r="A254" s="325"/>
      <c r="B254" s="535" t="s">
        <v>85</v>
      </c>
      <c r="C254" s="206" t="s">
        <v>81</v>
      </c>
      <c r="D254" s="207" t="s">
        <v>31</v>
      </c>
      <c r="E254" s="207" t="s">
        <v>37</v>
      </c>
      <c r="F254" s="208" t="s">
        <v>86</v>
      </c>
      <c r="G254" s="28"/>
      <c r="H254" s="215">
        <f t="shared" si="1"/>
        <v>21.8</v>
      </c>
      <c r="I254" s="215">
        <f t="shared" si="1"/>
        <v>21.8</v>
      </c>
    </row>
    <row r="255" spans="1:9" ht="36" x14ac:dyDescent="0.35">
      <c r="A255" s="325"/>
      <c r="B255" s="536" t="s">
        <v>55</v>
      </c>
      <c r="C255" s="206" t="s">
        <v>81</v>
      </c>
      <c r="D255" s="207" t="s">
        <v>31</v>
      </c>
      <c r="E255" s="207" t="s">
        <v>37</v>
      </c>
      <c r="F255" s="208" t="s">
        <v>86</v>
      </c>
      <c r="G255" s="28" t="s">
        <v>56</v>
      </c>
      <c r="H255" s="215">
        <f>'прил10 (ведом 24-25)'!M105</f>
        <v>21.8</v>
      </c>
      <c r="I255" s="215">
        <f>'прил10 (ведом 24-25)'!N105</f>
        <v>21.8</v>
      </c>
    </row>
    <row r="256" spans="1:9" ht="18" x14ac:dyDescent="0.35">
      <c r="A256" s="350"/>
      <c r="B256" s="495"/>
      <c r="C256" s="351"/>
      <c r="D256" s="683"/>
      <c r="E256" s="683"/>
      <c r="F256" s="684"/>
      <c r="G256" s="236"/>
      <c r="H256" s="215"/>
      <c r="I256" s="215"/>
    </row>
    <row r="257" spans="1:9" s="335" customFormat="1" ht="52.2" x14ac:dyDescent="0.3">
      <c r="A257" s="340">
        <v>6</v>
      </c>
      <c r="B257" s="504" t="s">
        <v>223</v>
      </c>
      <c r="C257" s="332" t="s">
        <v>224</v>
      </c>
      <c r="D257" s="332" t="s">
        <v>42</v>
      </c>
      <c r="E257" s="332" t="s">
        <v>43</v>
      </c>
      <c r="F257" s="333" t="s">
        <v>44</v>
      </c>
      <c r="G257" s="334"/>
      <c r="H257" s="252">
        <f>H258</f>
        <v>41658.69999999999</v>
      </c>
      <c r="I257" s="252">
        <f>I258</f>
        <v>41669.199999999997</v>
      </c>
    </row>
    <row r="258" spans="1:9" ht="18" x14ac:dyDescent="0.35">
      <c r="A258" s="325"/>
      <c r="B258" s="492" t="s">
        <v>337</v>
      </c>
      <c r="C258" s="352" t="s">
        <v>224</v>
      </c>
      <c r="D258" s="353" t="s">
        <v>45</v>
      </c>
      <c r="E258" s="207" t="s">
        <v>43</v>
      </c>
      <c r="F258" s="208" t="s">
        <v>44</v>
      </c>
      <c r="G258" s="28"/>
      <c r="H258" s="215">
        <f>H259+H266+H269+H272</f>
        <v>41658.69999999999</v>
      </c>
      <c r="I258" s="215">
        <f>I259+I266+I269+I272</f>
        <v>41669.199999999997</v>
      </c>
    </row>
    <row r="259" spans="1:9" ht="54" x14ac:dyDescent="0.35">
      <c r="A259" s="325"/>
      <c r="B259" s="492" t="s">
        <v>302</v>
      </c>
      <c r="C259" s="352" t="s">
        <v>224</v>
      </c>
      <c r="D259" s="353" t="s">
        <v>45</v>
      </c>
      <c r="E259" s="207" t="s">
        <v>37</v>
      </c>
      <c r="F259" s="208" t="s">
        <v>44</v>
      </c>
      <c r="G259" s="28"/>
      <c r="H259" s="215">
        <f>H260+H264</f>
        <v>31334.299999999996</v>
      </c>
      <c r="I259" s="215">
        <f>I260+I264</f>
        <v>31334.999999999996</v>
      </c>
    </row>
    <row r="260" spans="1:9" ht="36" x14ac:dyDescent="0.35">
      <c r="A260" s="325"/>
      <c r="B260" s="492" t="s">
        <v>47</v>
      </c>
      <c r="C260" s="352" t="s">
        <v>224</v>
      </c>
      <c r="D260" s="353" t="s">
        <v>45</v>
      </c>
      <c r="E260" s="207" t="s">
        <v>37</v>
      </c>
      <c r="F260" s="208" t="s">
        <v>48</v>
      </c>
      <c r="G260" s="28"/>
      <c r="H260" s="215">
        <f>SUM(H261:H263)</f>
        <v>31235.499999999996</v>
      </c>
      <c r="I260" s="215">
        <f>SUM(I261:I263)</f>
        <v>31236.199999999997</v>
      </c>
    </row>
    <row r="261" spans="1:9" ht="90" x14ac:dyDescent="0.35">
      <c r="A261" s="325"/>
      <c r="B261" s="492" t="s">
        <v>49</v>
      </c>
      <c r="C261" s="352" t="s">
        <v>224</v>
      </c>
      <c r="D261" s="353" t="s">
        <v>45</v>
      </c>
      <c r="E261" s="207" t="s">
        <v>37</v>
      </c>
      <c r="F261" s="208" t="s">
        <v>48</v>
      </c>
      <c r="G261" s="28" t="s">
        <v>50</v>
      </c>
      <c r="H261" s="215">
        <f>'прил10 (ведом 24-25)'!M177</f>
        <v>30515.599999999999</v>
      </c>
      <c r="I261" s="215">
        <f>'прил10 (ведом 24-25)'!N177</f>
        <v>30515.599999999999</v>
      </c>
    </row>
    <row r="262" spans="1:9" ht="36" x14ac:dyDescent="0.35">
      <c r="A262" s="325"/>
      <c r="B262" s="493" t="s">
        <v>55</v>
      </c>
      <c r="C262" s="352" t="s">
        <v>224</v>
      </c>
      <c r="D262" s="353" t="s">
        <v>45</v>
      </c>
      <c r="E262" s="207" t="s">
        <v>37</v>
      </c>
      <c r="F262" s="208" t="s">
        <v>48</v>
      </c>
      <c r="G262" s="28" t="s">
        <v>56</v>
      </c>
      <c r="H262" s="215">
        <f>'прил10 (ведом 24-25)'!M178</f>
        <v>715.3</v>
      </c>
      <c r="I262" s="215">
        <f>'прил10 (ведом 24-25)'!N178</f>
        <v>716.1</v>
      </c>
    </row>
    <row r="263" spans="1:9" ht="18" x14ac:dyDescent="0.35">
      <c r="A263" s="325"/>
      <c r="B263" s="493" t="s">
        <v>57</v>
      </c>
      <c r="C263" s="352" t="s">
        <v>224</v>
      </c>
      <c r="D263" s="353" t="s">
        <v>45</v>
      </c>
      <c r="E263" s="207" t="s">
        <v>37</v>
      </c>
      <c r="F263" s="208" t="s">
        <v>48</v>
      </c>
      <c r="G263" s="28" t="s">
        <v>58</v>
      </c>
      <c r="H263" s="215">
        <f>'прил10 (ведом 24-25)'!M179</f>
        <v>4.5999999999999996</v>
      </c>
      <c r="I263" s="215">
        <f>'прил10 (ведом 24-25)'!N179</f>
        <v>4.5</v>
      </c>
    </row>
    <row r="264" spans="1:9" ht="36" x14ac:dyDescent="0.35">
      <c r="A264" s="325"/>
      <c r="B264" s="496" t="s">
        <v>529</v>
      </c>
      <c r="C264" s="352" t="s">
        <v>224</v>
      </c>
      <c r="D264" s="353" t="s">
        <v>45</v>
      </c>
      <c r="E264" s="207" t="s">
        <v>37</v>
      </c>
      <c r="F264" s="208" t="s">
        <v>528</v>
      </c>
      <c r="G264" s="28"/>
      <c r="H264" s="215">
        <f>H265</f>
        <v>98.8</v>
      </c>
      <c r="I264" s="215">
        <f>I265</f>
        <v>98.8</v>
      </c>
    </row>
    <row r="265" spans="1:9" ht="36" x14ac:dyDescent="0.35">
      <c r="A265" s="325"/>
      <c r="B265" s="496" t="s">
        <v>55</v>
      </c>
      <c r="C265" s="352" t="s">
        <v>224</v>
      </c>
      <c r="D265" s="353" t="s">
        <v>45</v>
      </c>
      <c r="E265" s="207" t="s">
        <v>37</v>
      </c>
      <c r="F265" s="208" t="s">
        <v>528</v>
      </c>
      <c r="G265" s="28" t="s">
        <v>56</v>
      </c>
      <c r="H265" s="215">
        <f>'прил10 (ведом 24-25)'!M195</f>
        <v>98.8</v>
      </c>
      <c r="I265" s="215">
        <f>'прил10 (ведом 24-25)'!N195</f>
        <v>98.8</v>
      </c>
    </row>
    <row r="266" spans="1:9" ht="18" x14ac:dyDescent="0.35">
      <c r="A266" s="325"/>
      <c r="B266" s="492" t="s">
        <v>303</v>
      </c>
      <c r="C266" s="352" t="s">
        <v>224</v>
      </c>
      <c r="D266" s="353" t="s">
        <v>45</v>
      </c>
      <c r="E266" s="207" t="s">
        <v>39</v>
      </c>
      <c r="F266" s="208" t="s">
        <v>44</v>
      </c>
      <c r="G266" s="28"/>
      <c r="H266" s="215">
        <f>H267</f>
        <v>7500</v>
      </c>
      <c r="I266" s="215">
        <f>I267</f>
        <v>7500</v>
      </c>
    </row>
    <row r="267" spans="1:9" ht="36" x14ac:dyDescent="0.35">
      <c r="A267" s="325"/>
      <c r="B267" s="493" t="s">
        <v>257</v>
      </c>
      <c r="C267" s="352" t="s">
        <v>224</v>
      </c>
      <c r="D267" s="353" t="s">
        <v>45</v>
      </c>
      <c r="E267" s="207" t="s">
        <v>39</v>
      </c>
      <c r="F267" s="208" t="s">
        <v>404</v>
      </c>
      <c r="G267" s="28"/>
      <c r="H267" s="215">
        <f>H268</f>
        <v>7500</v>
      </c>
      <c r="I267" s="215">
        <f>I268</f>
        <v>7500</v>
      </c>
    </row>
    <row r="268" spans="1:9" ht="18" x14ac:dyDescent="0.35">
      <c r="A268" s="325"/>
      <c r="B268" s="493" t="s">
        <v>123</v>
      </c>
      <c r="C268" s="352" t="s">
        <v>224</v>
      </c>
      <c r="D268" s="353" t="s">
        <v>45</v>
      </c>
      <c r="E268" s="207" t="s">
        <v>39</v>
      </c>
      <c r="F268" s="208" t="s">
        <v>404</v>
      </c>
      <c r="G268" s="28" t="s">
        <v>124</v>
      </c>
      <c r="H268" s="215">
        <f>'прил10 (ведом 24-25)'!M202</f>
        <v>7500</v>
      </c>
      <c r="I268" s="215">
        <f>'прил10 (ведом 24-25)'!N202</f>
        <v>7500</v>
      </c>
    </row>
    <row r="269" spans="1:9" ht="36" x14ac:dyDescent="0.35">
      <c r="A269" s="325"/>
      <c r="B269" s="492" t="s">
        <v>349</v>
      </c>
      <c r="C269" s="352" t="s">
        <v>224</v>
      </c>
      <c r="D269" s="353" t="s">
        <v>45</v>
      </c>
      <c r="E269" s="207" t="s">
        <v>63</v>
      </c>
      <c r="F269" s="208" t="s">
        <v>44</v>
      </c>
      <c r="G269" s="28"/>
      <c r="H269" s="215">
        <f>H270</f>
        <v>2807.2</v>
      </c>
      <c r="I269" s="215">
        <f>I270</f>
        <v>2817</v>
      </c>
    </row>
    <row r="270" spans="1:9" ht="54" x14ac:dyDescent="0.35">
      <c r="A270" s="325"/>
      <c r="B270" s="492" t="s">
        <v>350</v>
      </c>
      <c r="C270" s="352" t="s">
        <v>224</v>
      </c>
      <c r="D270" s="353" t="s">
        <v>45</v>
      </c>
      <c r="E270" s="207" t="s">
        <v>63</v>
      </c>
      <c r="F270" s="208" t="s">
        <v>105</v>
      </c>
      <c r="G270" s="28"/>
      <c r="H270" s="215">
        <f>H271</f>
        <v>2807.2</v>
      </c>
      <c r="I270" s="215">
        <f>I271</f>
        <v>2817</v>
      </c>
    </row>
    <row r="271" spans="1:9" ht="36" x14ac:dyDescent="0.35">
      <c r="A271" s="325"/>
      <c r="B271" s="492" t="s">
        <v>55</v>
      </c>
      <c r="C271" s="352" t="s">
        <v>224</v>
      </c>
      <c r="D271" s="353" t="s">
        <v>45</v>
      </c>
      <c r="E271" s="207" t="s">
        <v>63</v>
      </c>
      <c r="F271" s="208" t="s">
        <v>105</v>
      </c>
      <c r="G271" s="28" t="s">
        <v>56</v>
      </c>
      <c r="H271" s="215">
        <f>'прил10 (ведом 24-25)'!M185</f>
        <v>2807.2</v>
      </c>
      <c r="I271" s="215">
        <f>'прил10 (ведом 24-25)'!N185</f>
        <v>2817</v>
      </c>
    </row>
    <row r="272" spans="1:9" ht="36" x14ac:dyDescent="0.35">
      <c r="A272" s="325"/>
      <c r="B272" s="493" t="s">
        <v>465</v>
      </c>
      <c r="C272" s="352" t="s">
        <v>224</v>
      </c>
      <c r="D272" s="353" t="s">
        <v>45</v>
      </c>
      <c r="E272" s="207" t="s">
        <v>65</v>
      </c>
      <c r="F272" s="208" t="s">
        <v>44</v>
      </c>
      <c r="G272" s="28"/>
      <c r="H272" s="215">
        <f>H273</f>
        <v>17.2</v>
      </c>
      <c r="I272" s="215">
        <f>I273</f>
        <v>17.2</v>
      </c>
    </row>
    <row r="273" spans="1:9" ht="18" x14ac:dyDescent="0.35">
      <c r="A273" s="325"/>
      <c r="B273" s="493" t="s">
        <v>463</v>
      </c>
      <c r="C273" s="352" t="s">
        <v>224</v>
      </c>
      <c r="D273" s="353" t="s">
        <v>45</v>
      </c>
      <c r="E273" s="207" t="s">
        <v>65</v>
      </c>
      <c r="F273" s="208" t="s">
        <v>464</v>
      </c>
      <c r="G273" s="28"/>
      <c r="H273" s="215">
        <f>H274</f>
        <v>17.2</v>
      </c>
      <c r="I273" s="215">
        <f>I274</f>
        <v>17.2</v>
      </c>
    </row>
    <row r="274" spans="1:9" ht="36" x14ac:dyDescent="0.35">
      <c r="A274" s="325"/>
      <c r="B274" s="493" t="s">
        <v>55</v>
      </c>
      <c r="C274" s="352" t="s">
        <v>224</v>
      </c>
      <c r="D274" s="353" t="s">
        <v>45</v>
      </c>
      <c r="E274" s="207" t="s">
        <v>65</v>
      </c>
      <c r="F274" s="208" t="s">
        <v>464</v>
      </c>
      <c r="G274" s="28" t="s">
        <v>56</v>
      </c>
      <c r="H274" s="215">
        <f>'прил10 (ведом 24-25)'!M188</f>
        <v>17.2</v>
      </c>
      <c r="I274" s="215">
        <f>'прил10 (ведом 24-25)'!N188</f>
        <v>17.2</v>
      </c>
    </row>
    <row r="275" spans="1:9" ht="18" x14ac:dyDescent="0.35">
      <c r="A275" s="325"/>
      <c r="B275" s="493"/>
      <c r="C275" s="353"/>
      <c r="D275" s="353"/>
      <c r="E275" s="353"/>
      <c r="F275" s="354"/>
      <c r="G275" s="28"/>
      <c r="H275" s="215"/>
      <c r="I275" s="215"/>
    </row>
    <row r="276" spans="1:9" s="335" customFormat="1" ht="52.2" x14ac:dyDescent="0.3">
      <c r="A276" s="331">
        <v>7</v>
      </c>
      <c r="B276" s="514" t="s">
        <v>225</v>
      </c>
      <c r="C276" s="355" t="s">
        <v>226</v>
      </c>
      <c r="D276" s="341" t="s">
        <v>42</v>
      </c>
      <c r="E276" s="341" t="s">
        <v>43</v>
      </c>
      <c r="F276" s="342" t="s">
        <v>44</v>
      </c>
      <c r="G276" s="356"/>
      <c r="H276" s="252">
        <f>H277+H281</f>
        <v>25516.300000000003</v>
      </c>
      <c r="I276" s="252">
        <f>I277+I281</f>
        <v>28698.300000000003</v>
      </c>
    </row>
    <row r="277" spans="1:9" s="335" customFormat="1" ht="36" x14ac:dyDescent="0.35">
      <c r="A277" s="331"/>
      <c r="B277" s="522" t="s">
        <v>227</v>
      </c>
      <c r="C277" s="357" t="s">
        <v>226</v>
      </c>
      <c r="D277" s="358" t="s">
        <v>45</v>
      </c>
      <c r="E277" s="358" t="s">
        <v>43</v>
      </c>
      <c r="F277" s="359" t="s">
        <v>44</v>
      </c>
      <c r="G277" s="339"/>
      <c r="H277" s="215">
        <f>H278</f>
        <v>0</v>
      </c>
      <c r="I277" s="215">
        <f>I278</f>
        <v>825.3</v>
      </c>
    </row>
    <row r="278" spans="1:9" s="335" customFormat="1" ht="36" x14ac:dyDescent="0.35">
      <c r="A278" s="331"/>
      <c r="B278" s="525" t="s">
        <v>336</v>
      </c>
      <c r="C278" s="336" t="s">
        <v>226</v>
      </c>
      <c r="D278" s="337" t="s">
        <v>45</v>
      </c>
      <c r="E278" s="337" t="s">
        <v>39</v>
      </c>
      <c r="F278" s="360" t="s">
        <v>44</v>
      </c>
      <c r="G278" s="339"/>
      <c r="H278" s="215">
        <f>H279</f>
        <v>0</v>
      </c>
      <c r="I278" s="215">
        <f>I279</f>
        <v>825.3</v>
      </c>
    </row>
    <row r="279" spans="1:9" s="335" customFormat="1" ht="36" x14ac:dyDescent="0.35">
      <c r="A279" s="331"/>
      <c r="B279" s="525" t="s">
        <v>335</v>
      </c>
      <c r="C279" s="336" t="s">
        <v>226</v>
      </c>
      <c r="D279" s="337" t="s">
        <v>45</v>
      </c>
      <c r="E279" s="337" t="s">
        <v>39</v>
      </c>
      <c r="F279" s="360" t="s">
        <v>334</v>
      </c>
      <c r="G279" s="339"/>
      <c r="H279" s="215">
        <f t="shared" ref="H279:I279" si="2">H280</f>
        <v>0</v>
      </c>
      <c r="I279" s="215">
        <f t="shared" si="2"/>
        <v>825.3</v>
      </c>
    </row>
    <row r="280" spans="1:9" s="335" customFormat="1" ht="36" x14ac:dyDescent="0.35">
      <c r="A280" s="331"/>
      <c r="B280" s="525" t="s">
        <v>55</v>
      </c>
      <c r="C280" s="336" t="s">
        <v>226</v>
      </c>
      <c r="D280" s="337" t="s">
        <v>45</v>
      </c>
      <c r="E280" s="337" t="s">
        <v>39</v>
      </c>
      <c r="F280" s="360" t="s">
        <v>334</v>
      </c>
      <c r="G280" s="339" t="s">
        <v>56</v>
      </c>
      <c r="H280" s="215">
        <f>'прил10 (ведом 24-25)'!M221</f>
        <v>0</v>
      </c>
      <c r="I280" s="215">
        <f>'прил10 (ведом 24-25)'!N221</f>
        <v>825.3</v>
      </c>
    </row>
    <row r="281" spans="1:9" ht="36" x14ac:dyDescent="0.35">
      <c r="A281" s="350"/>
      <c r="B281" s="515" t="s">
        <v>229</v>
      </c>
      <c r="C281" s="343" t="s">
        <v>226</v>
      </c>
      <c r="D281" s="351" t="s">
        <v>89</v>
      </c>
      <c r="E281" s="351" t="s">
        <v>43</v>
      </c>
      <c r="F281" s="361" t="s">
        <v>44</v>
      </c>
      <c r="G281" s="362"/>
      <c r="H281" s="215">
        <f>H282+H293+H296</f>
        <v>25516.300000000003</v>
      </c>
      <c r="I281" s="215">
        <f>I282+I293+I296</f>
        <v>27873.000000000004</v>
      </c>
    </row>
    <row r="282" spans="1:9" ht="72" x14ac:dyDescent="0.35">
      <c r="A282" s="350"/>
      <c r="B282" s="515" t="s">
        <v>300</v>
      </c>
      <c r="C282" s="343" t="s">
        <v>226</v>
      </c>
      <c r="D282" s="351" t="s">
        <v>89</v>
      </c>
      <c r="E282" s="351" t="s">
        <v>37</v>
      </c>
      <c r="F282" s="361" t="s">
        <v>44</v>
      </c>
      <c r="G282" s="362"/>
      <c r="H282" s="215">
        <f>H283+H287+H291</f>
        <v>25503.800000000003</v>
      </c>
      <c r="I282" s="215">
        <f>I283+I287+I291</f>
        <v>27095.600000000002</v>
      </c>
    </row>
    <row r="283" spans="1:9" ht="36" x14ac:dyDescent="0.35">
      <c r="A283" s="350"/>
      <c r="B283" s="515" t="s">
        <v>47</v>
      </c>
      <c r="C283" s="363" t="s">
        <v>226</v>
      </c>
      <c r="D283" s="364" t="s">
        <v>89</v>
      </c>
      <c r="E283" s="364" t="s">
        <v>37</v>
      </c>
      <c r="F283" s="365" t="s">
        <v>48</v>
      </c>
      <c r="G283" s="362"/>
      <c r="H283" s="215">
        <f>SUM(H284:H286)</f>
        <v>15766.800000000001</v>
      </c>
      <c r="I283" s="215">
        <f>SUM(I284:I286)</f>
        <v>16119.400000000001</v>
      </c>
    </row>
    <row r="284" spans="1:9" ht="90" x14ac:dyDescent="0.35">
      <c r="A284" s="350"/>
      <c r="B284" s="515" t="s">
        <v>49</v>
      </c>
      <c r="C284" s="343" t="s">
        <v>226</v>
      </c>
      <c r="D284" s="351" t="s">
        <v>89</v>
      </c>
      <c r="E284" s="351" t="s">
        <v>37</v>
      </c>
      <c r="F284" s="361" t="s">
        <v>48</v>
      </c>
      <c r="G284" s="362" t="s">
        <v>50</v>
      </c>
      <c r="H284" s="215">
        <f>'прил10 (ведом 24-25)'!M225</f>
        <v>15765.6</v>
      </c>
      <c r="I284" s="215">
        <f>'прил10 (ведом 24-25)'!N225</f>
        <v>15765.6</v>
      </c>
    </row>
    <row r="285" spans="1:9" ht="36" x14ac:dyDescent="0.35">
      <c r="A285" s="350"/>
      <c r="B285" s="525" t="s">
        <v>55</v>
      </c>
      <c r="C285" s="366" t="s">
        <v>226</v>
      </c>
      <c r="D285" s="337" t="s">
        <v>89</v>
      </c>
      <c r="E285" s="337" t="s">
        <v>37</v>
      </c>
      <c r="F285" s="360" t="s">
        <v>48</v>
      </c>
      <c r="G285" s="339" t="s">
        <v>56</v>
      </c>
      <c r="H285" s="215">
        <f>'прил10 (ведом 24-25)'!M226</f>
        <v>0</v>
      </c>
      <c r="I285" s="215">
        <f>'прил10 (ведом 24-25)'!N226</f>
        <v>352.6</v>
      </c>
    </row>
    <row r="286" spans="1:9" ht="18" x14ac:dyDescent="0.35">
      <c r="A286" s="350"/>
      <c r="B286" s="522" t="s">
        <v>57</v>
      </c>
      <c r="C286" s="366" t="s">
        <v>226</v>
      </c>
      <c r="D286" s="337" t="s">
        <v>89</v>
      </c>
      <c r="E286" s="337" t="s">
        <v>37</v>
      </c>
      <c r="F286" s="360" t="s">
        <v>48</v>
      </c>
      <c r="G286" s="339" t="s">
        <v>58</v>
      </c>
      <c r="H286" s="215">
        <f>'прил10 (ведом 24-25)'!M227</f>
        <v>1.2</v>
      </c>
      <c r="I286" s="215">
        <f>'прил10 (ведом 24-25)'!N227</f>
        <v>1.2</v>
      </c>
    </row>
    <row r="287" spans="1:9" ht="36" x14ac:dyDescent="0.35">
      <c r="A287" s="350"/>
      <c r="B287" s="492" t="s">
        <v>461</v>
      </c>
      <c r="C287" s="343" t="s">
        <v>226</v>
      </c>
      <c r="D287" s="351" t="s">
        <v>89</v>
      </c>
      <c r="E287" s="351" t="s">
        <v>37</v>
      </c>
      <c r="F287" s="361" t="s">
        <v>91</v>
      </c>
      <c r="G287" s="362"/>
      <c r="H287" s="215">
        <f>SUM(H288:H290)</f>
        <v>9737</v>
      </c>
      <c r="I287" s="215">
        <f>SUM(I288:I290)</f>
        <v>10281.799999999999</v>
      </c>
    </row>
    <row r="288" spans="1:9" ht="90" x14ac:dyDescent="0.35">
      <c r="A288" s="350"/>
      <c r="B288" s="515" t="s">
        <v>49</v>
      </c>
      <c r="C288" s="343" t="s">
        <v>226</v>
      </c>
      <c r="D288" s="351" t="s">
        <v>89</v>
      </c>
      <c r="E288" s="351" t="s">
        <v>37</v>
      </c>
      <c r="F288" s="361" t="s">
        <v>91</v>
      </c>
      <c r="G288" s="362" t="s">
        <v>50</v>
      </c>
      <c r="H288" s="215">
        <f>'прил10 (ведом 24-25)'!M229</f>
        <v>9628.6</v>
      </c>
      <c r="I288" s="215">
        <f>'прил10 (ведом 24-25)'!N229</f>
        <v>9628.6</v>
      </c>
    </row>
    <row r="289" spans="1:9" ht="36" x14ac:dyDescent="0.35">
      <c r="A289" s="350"/>
      <c r="B289" s="493" t="s">
        <v>55</v>
      </c>
      <c r="C289" s="363" t="s">
        <v>226</v>
      </c>
      <c r="D289" s="364" t="s">
        <v>89</v>
      </c>
      <c r="E289" s="364" t="s">
        <v>37</v>
      </c>
      <c r="F289" s="365" t="s">
        <v>91</v>
      </c>
      <c r="G289" s="362" t="s">
        <v>56</v>
      </c>
      <c r="H289" s="215">
        <f>'прил10 (ведом 24-25)'!M230</f>
        <v>86.899999999999977</v>
      </c>
      <c r="I289" s="215">
        <f>'прил10 (ведом 24-25)'!N230</f>
        <v>632.9</v>
      </c>
    </row>
    <row r="290" spans="1:9" ht="18" x14ac:dyDescent="0.35">
      <c r="A290" s="350"/>
      <c r="B290" s="516" t="s">
        <v>57</v>
      </c>
      <c r="C290" s="343" t="s">
        <v>226</v>
      </c>
      <c r="D290" s="351" t="s">
        <v>89</v>
      </c>
      <c r="E290" s="351" t="s">
        <v>37</v>
      </c>
      <c r="F290" s="361" t="s">
        <v>91</v>
      </c>
      <c r="G290" s="362" t="s">
        <v>58</v>
      </c>
      <c r="H290" s="215">
        <f>'прил10 (ведом 24-25)'!M231</f>
        <v>21.5</v>
      </c>
      <c r="I290" s="215">
        <f>'прил10 (ведом 24-25)'!N231</f>
        <v>20.3</v>
      </c>
    </row>
    <row r="291" spans="1:9" ht="54" x14ac:dyDescent="0.35">
      <c r="A291" s="350"/>
      <c r="B291" s="525" t="s">
        <v>352</v>
      </c>
      <c r="C291" s="366" t="s">
        <v>226</v>
      </c>
      <c r="D291" s="337" t="s">
        <v>89</v>
      </c>
      <c r="E291" s="337" t="s">
        <v>37</v>
      </c>
      <c r="F291" s="360" t="s">
        <v>351</v>
      </c>
      <c r="G291" s="339"/>
      <c r="H291" s="215">
        <f>H292</f>
        <v>0</v>
      </c>
      <c r="I291" s="215">
        <f>I292</f>
        <v>694.4</v>
      </c>
    </row>
    <row r="292" spans="1:9" ht="36" x14ac:dyDescent="0.35">
      <c r="A292" s="350"/>
      <c r="B292" s="525" t="s">
        <v>55</v>
      </c>
      <c r="C292" s="366" t="s">
        <v>226</v>
      </c>
      <c r="D292" s="337" t="s">
        <v>89</v>
      </c>
      <c r="E292" s="337" t="s">
        <v>37</v>
      </c>
      <c r="F292" s="367" t="s">
        <v>351</v>
      </c>
      <c r="G292" s="339" t="s">
        <v>56</v>
      </c>
      <c r="H292" s="215">
        <f>'прил10 (ведом 24-25)'!M233</f>
        <v>0</v>
      </c>
      <c r="I292" s="215">
        <f>'прил10 (ведом 24-25)'!N233</f>
        <v>694.4</v>
      </c>
    </row>
    <row r="293" spans="1:9" ht="36" x14ac:dyDescent="0.35">
      <c r="A293" s="350"/>
      <c r="B293" s="537" t="s">
        <v>349</v>
      </c>
      <c r="C293" s="366" t="s">
        <v>226</v>
      </c>
      <c r="D293" s="368" t="s">
        <v>89</v>
      </c>
      <c r="E293" s="368" t="s">
        <v>39</v>
      </c>
      <c r="F293" s="369" t="s">
        <v>44</v>
      </c>
      <c r="G293" s="370"/>
      <c r="H293" s="215">
        <f>H294</f>
        <v>0</v>
      </c>
      <c r="I293" s="215">
        <f>I294</f>
        <v>764.9</v>
      </c>
    </row>
    <row r="294" spans="1:9" ht="54" x14ac:dyDescent="0.35">
      <c r="A294" s="350"/>
      <c r="B294" s="538" t="s">
        <v>350</v>
      </c>
      <c r="C294" s="371" t="s">
        <v>226</v>
      </c>
      <c r="D294" s="368" t="s">
        <v>89</v>
      </c>
      <c r="E294" s="368" t="s">
        <v>39</v>
      </c>
      <c r="F294" s="369" t="s">
        <v>105</v>
      </c>
      <c r="G294" s="372"/>
      <c r="H294" s="215">
        <f>H295</f>
        <v>0</v>
      </c>
      <c r="I294" s="215">
        <f>I295</f>
        <v>764.9</v>
      </c>
    </row>
    <row r="295" spans="1:9" ht="36" x14ac:dyDescent="0.35">
      <c r="A295" s="350"/>
      <c r="B295" s="539" t="s">
        <v>55</v>
      </c>
      <c r="C295" s="371" t="s">
        <v>226</v>
      </c>
      <c r="D295" s="373" t="s">
        <v>89</v>
      </c>
      <c r="E295" s="373" t="s">
        <v>39</v>
      </c>
      <c r="F295" s="374" t="s">
        <v>105</v>
      </c>
      <c r="G295" s="375" t="s">
        <v>56</v>
      </c>
      <c r="H295" s="215">
        <f>'прил10 (ведом 24-25)'!M236</f>
        <v>0</v>
      </c>
      <c r="I295" s="215">
        <f>'прил10 (ведом 24-25)'!N236</f>
        <v>764.9</v>
      </c>
    </row>
    <row r="296" spans="1:9" ht="18" x14ac:dyDescent="0.35">
      <c r="A296" s="350"/>
      <c r="B296" s="521" t="s">
        <v>372</v>
      </c>
      <c r="C296" s="371" t="s">
        <v>226</v>
      </c>
      <c r="D296" s="368" t="s">
        <v>89</v>
      </c>
      <c r="E296" s="368" t="s">
        <v>63</v>
      </c>
      <c r="F296" s="369" t="s">
        <v>44</v>
      </c>
      <c r="G296" s="372"/>
      <c r="H296" s="215">
        <f>H297</f>
        <v>12.5</v>
      </c>
      <c r="I296" s="215">
        <f>I297</f>
        <v>12.5</v>
      </c>
    </row>
    <row r="297" spans="1:9" ht="36" x14ac:dyDescent="0.35">
      <c r="A297" s="350"/>
      <c r="B297" s="521" t="s">
        <v>335</v>
      </c>
      <c r="C297" s="376" t="s">
        <v>226</v>
      </c>
      <c r="D297" s="373" t="s">
        <v>89</v>
      </c>
      <c r="E297" s="373" t="s">
        <v>63</v>
      </c>
      <c r="F297" s="374" t="s">
        <v>334</v>
      </c>
      <c r="G297" s="372"/>
      <c r="H297" s="215">
        <f>H298</f>
        <v>12.5</v>
      </c>
      <c r="I297" s="215">
        <f>I298</f>
        <v>12.5</v>
      </c>
    </row>
    <row r="298" spans="1:9" ht="18" x14ac:dyDescent="0.35">
      <c r="A298" s="350"/>
      <c r="B298" s="522" t="s">
        <v>57</v>
      </c>
      <c r="C298" s="366" t="s">
        <v>226</v>
      </c>
      <c r="D298" s="368" t="s">
        <v>89</v>
      </c>
      <c r="E298" s="368" t="s">
        <v>63</v>
      </c>
      <c r="F298" s="369" t="s">
        <v>334</v>
      </c>
      <c r="G298" s="372" t="s">
        <v>58</v>
      </c>
      <c r="H298" s="215">
        <f>'прил10 (ведом 24-25)'!M239</f>
        <v>12.5</v>
      </c>
      <c r="I298" s="215">
        <f>'прил10 (ведом 24-25)'!N239</f>
        <v>12.5</v>
      </c>
    </row>
    <row r="299" spans="1:9" ht="18" x14ac:dyDescent="0.35">
      <c r="A299" s="350"/>
      <c r="B299" s="516"/>
      <c r="C299" s="344"/>
      <c r="D299" s="351"/>
      <c r="E299" s="351"/>
      <c r="F299" s="361"/>
      <c r="G299" s="362"/>
      <c r="H299" s="215"/>
      <c r="I299" s="215"/>
    </row>
    <row r="300" spans="1:9" s="335" customFormat="1" ht="52.2" x14ac:dyDescent="0.3">
      <c r="A300" s="340">
        <v>8</v>
      </c>
      <c r="B300" s="514" t="s">
        <v>294</v>
      </c>
      <c r="C300" s="341" t="s">
        <v>79</v>
      </c>
      <c r="D300" s="341" t="s">
        <v>42</v>
      </c>
      <c r="E300" s="341" t="s">
        <v>43</v>
      </c>
      <c r="F300" s="342" t="s">
        <v>44</v>
      </c>
      <c r="G300" s="334"/>
      <c r="H300" s="252">
        <f>H301</f>
        <v>122282.7</v>
      </c>
      <c r="I300" s="252">
        <f>I301</f>
        <v>123784.5</v>
      </c>
    </row>
    <row r="301" spans="1:9" ht="18" x14ac:dyDescent="0.35">
      <c r="A301" s="325"/>
      <c r="B301" s="492" t="s">
        <v>337</v>
      </c>
      <c r="C301" s="377" t="s">
        <v>79</v>
      </c>
      <c r="D301" s="351" t="s">
        <v>45</v>
      </c>
      <c r="E301" s="351" t="s">
        <v>43</v>
      </c>
      <c r="F301" s="378" t="s">
        <v>44</v>
      </c>
      <c r="G301" s="236"/>
      <c r="H301" s="215">
        <f>H302+H317+H325+H335</f>
        <v>122282.7</v>
      </c>
      <c r="I301" s="215">
        <f>I302+I317+I325+I335</f>
        <v>123784.5</v>
      </c>
    </row>
    <row r="302" spans="1:9" ht="36" x14ac:dyDescent="0.35">
      <c r="A302" s="325"/>
      <c r="B302" s="492" t="s">
        <v>284</v>
      </c>
      <c r="C302" s="206" t="s">
        <v>79</v>
      </c>
      <c r="D302" s="207" t="s">
        <v>45</v>
      </c>
      <c r="E302" s="207" t="s">
        <v>37</v>
      </c>
      <c r="F302" s="208" t="s">
        <v>44</v>
      </c>
      <c r="G302" s="236"/>
      <c r="H302" s="215">
        <f>H303+H306+H311+H314+H309</f>
        <v>64789.799999999996</v>
      </c>
      <c r="I302" s="215">
        <f>I303+I306+I311+I314+I309</f>
        <v>66291.600000000006</v>
      </c>
    </row>
    <row r="303" spans="1:9" ht="126" x14ac:dyDescent="0.35">
      <c r="A303" s="325"/>
      <c r="B303" s="523" t="s">
        <v>355</v>
      </c>
      <c r="C303" s="206" t="s">
        <v>79</v>
      </c>
      <c r="D303" s="207" t="s">
        <v>45</v>
      </c>
      <c r="E303" s="207" t="s">
        <v>37</v>
      </c>
      <c r="F303" s="208" t="s">
        <v>538</v>
      </c>
      <c r="G303" s="28"/>
      <c r="H303" s="215">
        <f>SUM(H304:H305)</f>
        <v>37153.799999999996</v>
      </c>
      <c r="I303" s="215">
        <f>SUM(I304:I305)</f>
        <v>38640.6</v>
      </c>
    </row>
    <row r="304" spans="1:9" ht="36" x14ac:dyDescent="0.35">
      <c r="A304" s="325"/>
      <c r="B304" s="524" t="s">
        <v>55</v>
      </c>
      <c r="C304" s="206" t="s">
        <v>79</v>
      </c>
      <c r="D304" s="207" t="s">
        <v>45</v>
      </c>
      <c r="E304" s="207" t="s">
        <v>37</v>
      </c>
      <c r="F304" s="208" t="s">
        <v>538</v>
      </c>
      <c r="G304" s="28" t="s">
        <v>56</v>
      </c>
      <c r="H304" s="215">
        <f>'прил10 (ведом 24-25)'!M572</f>
        <v>185.7</v>
      </c>
      <c r="I304" s="215">
        <f>'прил10 (ведом 24-25)'!N572</f>
        <v>193.2</v>
      </c>
    </row>
    <row r="305" spans="1:9" ht="18" x14ac:dyDescent="0.35">
      <c r="A305" s="325"/>
      <c r="B305" s="492" t="s">
        <v>120</v>
      </c>
      <c r="C305" s="206" t="s">
        <v>79</v>
      </c>
      <c r="D305" s="207" t="s">
        <v>45</v>
      </c>
      <c r="E305" s="207" t="s">
        <v>37</v>
      </c>
      <c r="F305" s="208" t="s">
        <v>538</v>
      </c>
      <c r="G305" s="28" t="s">
        <v>121</v>
      </c>
      <c r="H305" s="215">
        <f>'прил10 (ведом 24-25)'!M573</f>
        <v>36968.1</v>
      </c>
      <c r="I305" s="215">
        <f>'прил10 (ведом 24-25)'!N573</f>
        <v>38447.4</v>
      </c>
    </row>
    <row r="306" spans="1:9" ht="90" x14ac:dyDescent="0.35">
      <c r="A306" s="325"/>
      <c r="B306" s="492" t="s">
        <v>357</v>
      </c>
      <c r="C306" s="206" t="s">
        <v>79</v>
      </c>
      <c r="D306" s="207" t="s">
        <v>45</v>
      </c>
      <c r="E306" s="207" t="s">
        <v>37</v>
      </c>
      <c r="F306" s="208" t="s">
        <v>540</v>
      </c>
      <c r="G306" s="28"/>
      <c r="H306" s="215">
        <f>SUM(H307:H308)</f>
        <v>375.7</v>
      </c>
      <c r="I306" s="215">
        <f>SUM(I307:I308)</f>
        <v>390.7</v>
      </c>
    </row>
    <row r="307" spans="1:9" ht="36" x14ac:dyDescent="0.35">
      <c r="A307" s="325"/>
      <c r="B307" s="492" t="s">
        <v>55</v>
      </c>
      <c r="C307" s="206" t="s">
        <v>79</v>
      </c>
      <c r="D307" s="207" t="s">
        <v>45</v>
      </c>
      <c r="E307" s="207" t="s">
        <v>37</v>
      </c>
      <c r="F307" s="208" t="s">
        <v>540</v>
      </c>
      <c r="G307" s="28" t="s">
        <v>56</v>
      </c>
      <c r="H307" s="215">
        <f>'прил10 (ведом 24-25)'!M575</f>
        <v>1.9</v>
      </c>
      <c r="I307" s="215">
        <f>'прил10 (ведом 24-25)'!N575</f>
        <v>1.9</v>
      </c>
    </row>
    <row r="308" spans="1:9" ht="18" x14ac:dyDescent="0.35">
      <c r="A308" s="325"/>
      <c r="B308" s="492" t="s">
        <v>120</v>
      </c>
      <c r="C308" s="206" t="s">
        <v>79</v>
      </c>
      <c r="D308" s="207" t="s">
        <v>45</v>
      </c>
      <c r="E308" s="207" t="s">
        <v>37</v>
      </c>
      <c r="F308" s="208" t="s">
        <v>540</v>
      </c>
      <c r="G308" s="28" t="s">
        <v>121</v>
      </c>
      <c r="H308" s="215">
        <f>'прил10 (ведом 24-25)'!M576</f>
        <v>373.8</v>
      </c>
      <c r="I308" s="215">
        <f>'прил10 (ведом 24-25)'!N576</f>
        <v>388.8</v>
      </c>
    </row>
    <row r="309" spans="1:9" ht="126" x14ac:dyDescent="0.35">
      <c r="A309" s="325"/>
      <c r="B309" s="496" t="s">
        <v>740</v>
      </c>
      <c r="C309" s="689" t="s">
        <v>79</v>
      </c>
      <c r="D309" s="690" t="s">
        <v>45</v>
      </c>
      <c r="E309" s="690" t="s">
        <v>37</v>
      </c>
      <c r="F309" s="691" t="s">
        <v>741</v>
      </c>
      <c r="G309" s="10"/>
      <c r="H309" s="215">
        <f>H310</f>
        <v>119.9</v>
      </c>
      <c r="I309" s="215">
        <f>I310</f>
        <v>119.9</v>
      </c>
    </row>
    <row r="310" spans="1:9" ht="18" x14ac:dyDescent="0.35">
      <c r="A310" s="325"/>
      <c r="B310" s="496" t="s">
        <v>120</v>
      </c>
      <c r="C310" s="689" t="s">
        <v>79</v>
      </c>
      <c r="D310" s="690" t="s">
        <v>45</v>
      </c>
      <c r="E310" s="690" t="s">
        <v>37</v>
      </c>
      <c r="F310" s="691" t="s">
        <v>741</v>
      </c>
      <c r="G310" s="10" t="s">
        <v>121</v>
      </c>
      <c r="H310" s="215">
        <f>'прил10 (ведом 24-25)'!M578</f>
        <v>119.9</v>
      </c>
      <c r="I310" s="215">
        <f>'прил10 (ведом 24-25)'!N578</f>
        <v>119.9</v>
      </c>
    </row>
    <row r="311" spans="1:9" ht="90" x14ac:dyDescent="0.35">
      <c r="A311" s="325"/>
      <c r="B311" s="492" t="s">
        <v>356</v>
      </c>
      <c r="C311" s="206" t="s">
        <v>79</v>
      </c>
      <c r="D311" s="207" t="s">
        <v>45</v>
      </c>
      <c r="E311" s="207" t="s">
        <v>37</v>
      </c>
      <c r="F311" s="208" t="s">
        <v>539</v>
      </c>
      <c r="G311" s="28"/>
      <c r="H311" s="215">
        <f>SUM(H312:H313)</f>
        <v>26783.300000000003</v>
      </c>
      <c r="I311" s="215">
        <f>SUM(I312:I313)</f>
        <v>26783.300000000003</v>
      </c>
    </row>
    <row r="312" spans="1:9" ht="36" x14ac:dyDescent="0.35">
      <c r="A312" s="325"/>
      <c r="B312" s="524" t="s">
        <v>55</v>
      </c>
      <c r="C312" s="206" t="s">
        <v>79</v>
      </c>
      <c r="D312" s="207" t="s">
        <v>45</v>
      </c>
      <c r="E312" s="207" t="s">
        <v>37</v>
      </c>
      <c r="F312" s="208" t="s">
        <v>539</v>
      </c>
      <c r="G312" s="28" t="s">
        <v>56</v>
      </c>
      <c r="H312" s="215">
        <f>'прил10 (ведом 24-25)'!M580</f>
        <v>133.9</v>
      </c>
      <c r="I312" s="215">
        <f>'прил10 (ведом 24-25)'!N580</f>
        <v>133.9</v>
      </c>
    </row>
    <row r="313" spans="1:9" ht="18" x14ac:dyDescent="0.35">
      <c r="A313" s="325"/>
      <c r="B313" s="492" t="s">
        <v>120</v>
      </c>
      <c r="C313" s="206" t="s">
        <v>79</v>
      </c>
      <c r="D313" s="207" t="s">
        <v>45</v>
      </c>
      <c r="E313" s="207" t="s">
        <v>37</v>
      </c>
      <c r="F313" s="208" t="s">
        <v>539</v>
      </c>
      <c r="G313" s="28" t="s">
        <v>121</v>
      </c>
      <c r="H313" s="215">
        <f>'прил10 (ведом 24-25)'!M581</f>
        <v>26649.4</v>
      </c>
      <c r="I313" s="215">
        <f>'прил10 (ведом 24-25)'!N581</f>
        <v>26649.4</v>
      </c>
    </row>
    <row r="314" spans="1:9" ht="108" x14ac:dyDescent="0.35">
      <c r="A314" s="325"/>
      <c r="B314" s="492" t="s">
        <v>363</v>
      </c>
      <c r="C314" s="206" t="s">
        <v>79</v>
      </c>
      <c r="D314" s="207" t="s">
        <v>45</v>
      </c>
      <c r="E314" s="207" t="s">
        <v>37</v>
      </c>
      <c r="F314" s="208" t="s">
        <v>541</v>
      </c>
      <c r="G314" s="28"/>
      <c r="H314" s="215">
        <f>SUM(H315:H316)</f>
        <v>357.1</v>
      </c>
      <c r="I314" s="215">
        <f>SUM(I315:I316)</f>
        <v>357.1</v>
      </c>
    </row>
    <row r="315" spans="1:9" ht="36" x14ac:dyDescent="0.35">
      <c r="A315" s="325"/>
      <c r="B315" s="492" t="s">
        <v>55</v>
      </c>
      <c r="C315" s="206" t="s">
        <v>79</v>
      </c>
      <c r="D315" s="207" t="s">
        <v>45</v>
      </c>
      <c r="E315" s="207" t="s">
        <v>37</v>
      </c>
      <c r="F315" s="208" t="s">
        <v>541</v>
      </c>
      <c r="G315" s="28" t="s">
        <v>56</v>
      </c>
      <c r="H315" s="215">
        <f>'прил10 (ведом 24-25)'!M583</f>
        <v>1.8</v>
      </c>
      <c r="I315" s="215">
        <f>'прил10 (ведом 24-25)'!N583</f>
        <v>1.8</v>
      </c>
    </row>
    <row r="316" spans="1:9" ht="18" x14ac:dyDescent="0.35">
      <c r="A316" s="325"/>
      <c r="B316" s="492" t="s">
        <v>120</v>
      </c>
      <c r="C316" s="206" t="s">
        <v>79</v>
      </c>
      <c r="D316" s="207" t="s">
        <v>45</v>
      </c>
      <c r="E316" s="207" t="s">
        <v>37</v>
      </c>
      <c r="F316" s="208" t="s">
        <v>541</v>
      </c>
      <c r="G316" s="28" t="s">
        <v>121</v>
      </c>
      <c r="H316" s="215">
        <f>'прил10 (ведом 24-25)'!M584</f>
        <v>355.3</v>
      </c>
      <c r="I316" s="215">
        <f>'прил10 (ведом 24-25)'!N584</f>
        <v>355.3</v>
      </c>
    </row>
    <row r="317" spans="1:9" ht="72" x14ac:dyDescent="0.35">
      <c r="A317" s="325"/>
      <c r="B317" s="525" t="s">
        <v>299</v>
      </c>
      <c r="C317" s="379" t="s">
        <v>79</v>
      </c>
      <c r="D317" s="380" t="s">
        <v>45</v>
      </c>
      <c r="E317" s="380" t="s">
        <v>39</v>
      </c>
      <c r="F317" s="381" t="s">
        <v>44</v>
      </c>
      <c r="G317" s="382"/>
      <c r="H317" s="215">
        <f>H318+H320+H323</f>
        <v>47239.7</v>
      </c>
      <c r="I317" s="215">
        <f>I318+I320+I323</f>
        <v>47239.7</v>
      </c>
    </row>
    <row r="318" spans="1:9" ht="162" x14ac:dyDescent="0.35">
      <c r="A318" s="325"/>
      <c r="B318" s="496" t="s">
        <v>715</v>
      </c>
      <c r="C318" s="689" t="s">
        <v>79</v>
      </c>
      <c r="D318" s="690" t="s">
        <v>45</v>
      </c>
      <c r="E318" s="690" t="s">
        <v>39</v>
      </c>
      <c r="F318" s="691" t="s">
        <v>589</v>
      </c>
      <c r="G318" s="10"/>
      <c r="H318" s="215">
        <f>H319</f>
        <v>5.2</v>
      </c>
      <c r="I318" s="215">
        <f>I319</f>
        <v>5.2</v>
      </c>
    </row>
    <row r="319" spans="1:9" ht="18" x14ac:dyDescent="0.35">
      <c r="A319" s="325"/>
      <c r="B319" s="496" t="s">
        <v>120</v>
      </c>
      <c r="C319" s="689" t="s">
        <v>79</v>
      </c>
      <c r="D319" s="690" t="s">
        <v>45</v>
      </c>
      <c r="E319" s="690" t="s">
        <v>39</v>
      </c>
      <c r="F319" s="691" t="s">
        <v>589</v>
      </c>
      <c r="G319" s="10" t="s">
        <v>121</v>
      </c>
      <c r="H319" s="215">
        <f>'прил10 (ведом 24-25)'!M587</f>
        <v>5.2</v>
      </c>
      <c r="I319" s="215">
        <f>'прил10 (ведом 24-25)'!N587</f>
        <v>5.2</v>
      </c>
    </row>
    <row r="320" spans="1:9" ht="90" x14ac:dyDescent="0.35">
      <c r="A320" s="325"/>
      <c r="B320" s="522" t="s">
        <v>414</v>
      </c>
      <c r="C320" s="336" t="s">
        <v>79</v>
      </c>
      <c r="D320" s="337" t="s">
        <v>45</v>
      </c>
      <c r="E320" s="337" t="s">
        <v>39</v>
      </c>
      <c r="F320" s="338" t="s">
        <v>415</v>
      </c>
      <c r="G320" s="339"/>
      <c r="H320" s="215">
        <f>H321+H322</f>
        <v>31504.799999999999</v>
      </c>
      <c r="I320" s="215">
        <f>I321+I322</f>
        <v>31504.799999999999</v>
      </c>
    </row>
    <row r="321" spans="1:9" ht="36" x14ac:dyDescent="0.35">
      <c r="A321" s="325"/>
      <c r="B321" s="525" t="s">
        <v>55</v>
      </c>
      <c r="C321" s="336" t="s">
        <v>79</v>
      </c>
      <c r="D321" s="337" t="s">
        <v>45</v>
      </c>
      <c r="E321" s="337" t="s">
        <v>39</v>
      </c>
      <c r="F321" s="338" t="s">
        <v>415</v>
      </c>
      <c r="G321" s="484" t="s">
        <v>56</v>
      </c>
      <c r="H321" s="215">
        <f>'прил10 (ведом 24-25)'!M243</f>
        <v>45.631599999999999</v>
      </c>
      <c r="I321" s="215">
        <f>'прил10 (ведом 24-25)'!N243</f>
        <v>45.631599999999999</v>
      </c>
    </row>
    <row r="322" spans="1:9" ht="36" x14ac:dyDescent="0.35">
      <c r="A322" s="325"/>
      <c r="B322" s="522" t="s">
        <v>203</v>
      </c>
      <c r="C322" s="336" t="s">
        <v>79</v>
      </c>
      <c r="D322" s="337" t="s">
        <v>45</v>
      </c>
      <c r="E322" s="337" t="s">
        <v>39</v>
      </c>
      <c r="F322" s="338" t="s">
        <v>415</v>
      </c>
      <c r="G322" s="339" t="s">
        <v>204</v>
      </c>
      <c r="H322" s="215">
        <f>'прил10 (ведом 24-25)'!M278</f>
        <v>31459.168399999999</v>
      </c>
      <c r="I322" s="215">
        <f>'прил10 (ведом 24-25)'!N278</f>
        <v>31459.168399999999</v>
      </c>
    </row>
    <row r="323" spans="1:9" ht="90" x14ac:dyDescent="0.35">
      <c r="A323" s="325"/>
      <c r="B323" s="540" t="s">
        <v>414</v>
      </c>
      <c r="C323" s="82" t="s">
        <v>79</v>
      </c>
      <c r="D323" s="83" t="s">
        <v>45</v>
      </c>
      <c r="E323" s="83" t="s">
        <v>39</v>
      </c>
      <c r="F323" s="104" t="s">
        <v>550</v>
      </c>
      <c r="G323" s="85"/>
      <c r="H323" s="215">
        <f>H324</f>
        <v>15729.7</v>
      </c>
      <c r="I323" s="215">
        <f>I324</f>
        <v>15729.7</v>
      </c>
    </row>
    <row r="324" spans="1:9" ht="36" x14ac:dyDescent="0.35">
      <c r="A324" s="325"/>
      <c r="B324" s="540" t="s">
        <v>203</v>
      </c>
      <c r="C324" s="82" t="s">
        <v>79</v>
      </c>
      <c r="D324" s="83" t="s">
        <v>45</v>
      </c>
      <c r="E324" s="83" t="s">
        <v>39</v>
      </c>
      <c r="F324" s="104" t="s">
        <v>550</v>
      </c>
      <c r="G324" s="85" t="s">
        <v>204</v>
      </c>
      <c r="H324" s="215">
        <f>'прил10 (ведом 24-25)'!M280</f>
        <v>15729.7</v>
      </c>
      <c r="I324" s="215">
        <f>'прил10 (ведом 24-25)'!N280</f>
        <v>15729.7</v>
      </c>
    </row>
    <row r="325" spans="1:9" ht="36" x14ac:dyDescent="0.35">
      <c r="A325" s="325"/>
      <c r="B325" s="492" t="s">
        <v>229</v>
      </c>
      <c r="C325" s="206" t="s">
        <v>79</v>
      </c>
      <c r="D325" s="207" t="s">
        <v>45</v>
      </c>
      <c r="E325" s="207" t="s">
        <v>63</v>
      </c>
      <c r="F325" s="208" t="s">
        <v>44</v>
      </c>
      <c r="G325" s="28"/>
      <c r="H325" s="215">
        <f>H326+H329+H332</f>
        <v>8933.2000000000007</v>
      </c>
      <c r="I325" s="215">
        <f>I326+I329+I332</f>
        <v>8933.2000000000007</v>
      </c>
    </row>
    <row r="326" spans="1:9" ht="234" x14ac:dyDescent="0.35">
      <c r="A326" s="325"/>
      <c r="B326" s="492" t="s">
        <v>232</v>
      </c>
      <c r="C326" s="206" t="s">
        <v>79</v>
      </c>
      <c r="D326" s="207" t="s">
        <v>45</v>
      </c>
      <c r="E326" s="207" t="s">
        <v>63</v>
      </c>
      <c r="F326" s="208" t="s">
        <v>542</v>
      </c>
      <c r="G326" s="28"/>
      <c r="H326" s="215">
        <f>SUM(H327:H328)</f>
        <v>1017.2</v>
      </c>
      <c r="I326" s="215">
        <f>SUM(I327:I328)</f>
        <v>1017.2</v>
      </c>
    </row>
    <row r="327" spans="1:9" ht="90" x14ac:dyDescent="0.35">
      <c r="A327" s="325"/>
      <c r="B327" s="492" t="s">
        <v>49</v>
      </c>
      <c r="C327" s="206" t="s">
        <v>79</v>
      </c>
      <c r="D327" s="207" t="s">
        <v>45</v>
      </c>
      <c r="E327" s="207" t="s">
        <v>63</v>
      </c>
      <c r="F327" s="208" t="s">
        <v>542</v>
      </c>
      <c r="G327" s="28" t="s">
        <v>50</v>
      </c>
      <c r="H327" s="215">
        <f>'прил10 (ведом 24-25)'!M593</f>
        <v>855.2</v>
      </c>
      <c r="I327" s="215">
        <f>'прил10 (ведом 24-25)'!N593</f>
        <v>855.2</v>
      </c>
    </row>
    <row r="328" spans="1:9" ht="36" x14ac:dyDescent="0.35">
      <c r="A328" s="325"/>
      <c r="B328" s="492" t="s">
        <v>55</v>
      </c>
      <c r="C328" s="206" t="s">
        <v>79</v>
      </c>
      <c r="D328" s="207" t="s">
        <v>45</v>
      </c>
      <c r="E328" s="207" t="s">
        <v>63</v>
      </c>
      <c r="F328" s="208" t="s">
        <v>542</v>
      </c>
      <c r="G328" s="28" t="s">
        <v>56</v>
      </c>
      <c r="H328" s="215">
        <f>'прил10 (ведом 24-25)'!M594</f>
        <v>162</v>
      </c>
      <c r="I328" s="215">
        <f>'прил10 (ведом 24-25)'!N594</f>
        <v>162</v>
      </c>
    </row>
    <row r="329" spans="1:9" ht="90" x14ac:dyDescent="0.35">
      <c r="A329" s="325"/>
      <c r="B329" s="490" t="s">
        <v>456</v>
      </c>
      <c r="C329" s="206" t="s">
        <v>79</v>
      </c>
      <c r="D329" s="207" t="s">
        <v>45</v>
      </c>
      <c r="E329" s="207" t="s">
        <v>63</v>
      </c>
      <c r="F329" s="208" t="s">
        <v>536</v>
      </c>
      <c r="G329" s="28"/>
      <c r="H329" s="215">
        <f>SUM(H330:H331)</f>
        <v>749.3</v>
      </c>
      <c r="I329" s="215">
        <f>SUM(I330:I331)</f>
        <v>749.3</v>
      </c>
    </row>
    <row r="330" spans="1:9" ht="90" x14ac:dyDescent="0.35">
      <c r="A330" s="325"/>
      <c r="B330" s="492" t="s">
        <v>49</v>
      </c>
      <c r="C330" s="206" t="s">
        <v>79</v>
      </c>
      <c r="D330" s="207" t="s">
        <v>45</v>
      </c>
      <c r="E330" s="207" t="s">
        <v>63</v>
      </c>
      <c r="F330" s="208" t="s">
        <v>536</v>
      </c>
      <c r="G330" s="28" t="s">
        <v>50</v>
      </c>
      <c r="H330" s="215">
        <f>'прил10 (ведом 24-25)'!M596</f>
        <v>668.3</v>
      </c>
      <c r="I330" s="215">
        <f>'прил10 (ведом 24-25)'!N596</f>
        <v>668.3</v>
      </c>
    </row>
    <row r="331" spans="1:9" ht="36" x14ac:dyDescent="0.35">
      <c r="A331" s="325"/>
      <c r="B331" s="492" t="s">
        <v>55</v>
      </c>
      <c r="C331" s="206" t="s">
        <v>79</v>
      </c>
      <c r="D331" s="207" t="s">
        <v>45</v>
      </c>
      <c r="E331" s="207" t="s">
        <v>63</v>
      </c>
      <c r="F331" s="208" t="s">
        <v>536</v>
      </c>
      <c r="G331" s="28" t="s">
        <v>56</v>
      </c>
      <c r="H331" s="215">
        <f>'прил10 (ведом 24-25)'!M597</f>
        <v>81</v>
      </c>
      <c r="I331" s="215">
        <f>'прил10 (ведом 24-25)'!N597</f>
        <v>81</v>
      </c>
    </row>
    <row r="332" spans="1:9" ht="72" x14ac:dyDescent="0.35">
      <c r="A332" s="325"/>
      <c r="B332" s="492" t="s">
        <v>231</v>
      </c>
      <c r="C332" s="206" t="s">
        <v>79</v>
      </c>
      <c r="D332" s="207" t="s">
        <v>45</v>
      </c>
      <c r="E332" s="207" t="s">
        <v>63</v>
      </c>
      <c r="F332" s="208" t="s">
        <v>537</v>
      </c>
      <c r="G332" s="28"/>
      <c r="H332" s="215">
        <f>H333+H334</f>
        <v>7166.7</v>
      </c>
      <c r="I332" s="215">
        <f>I333+I334</f>
        <v>7166.7</v>
      </c>
    </row>
    <row r="333" spans="1:9" ht="90" x14ac:dyDescent="0.35">
      <c r="A333" s="325"/>
      <c r="B333" s="492" t="s">
        <v>49</v>
      </c>
      <c r="C333" s="206" t="s">
        <v>79</v>
      </c>
      <c r="D333" s="207" t="s">
        <v>45</v>
      </c>
      <c r="E333" s="207" t="s">
        <v>63</v>
      </c>
      <c r="F333" s="208" t="s">
        <v>537</v>
      </c>
      <c r="G333" s="28" t="s">
        <v>50</v>
      </c>
      <c r="H333" s="215">
        <f>'прил10 (ведом 24-25)'!M599</f>
        <v>6437.7</v>
      </c>
      <c r="I333" s="215">
        <f>'прил10 (ведом 24-25)'!N599</f>
        <v>6437.7</v>
      </c>
    </row>
    <row r="334" spans="1:9" ht="36" x14ac:dyDescent="0.35">
      <c r="A334" s="325"/>
      <c r="B334" s="492" t="s">
        <v>55</v>
      </c>
      <c r="C334" s="423" t="s">
        <v>79</v>
      </c>
      <c r="D334" s="424" t="s">
        <v>45</v>
      </c>
      <c r="E334" s="424" t="s">
        <v>63</v>
      </c>
      <c r="F334" s="208" t="s">
        <v>537</v>
      </c>
      <c r="G334" s="28" t="s">
        <v>56</v>
      </c>
      <c r="H334" s="215">
        <f>'прил10 (ведом 24-25)'!M600</f>
        <v>729</v>
      </c>
      <c r="I334" s="215">
        <f>'прил10 (ведом 24-25)'!N600</f>
        <v>729</v>
      </c>
    </row>
    <row r="335" spans="1:9" ht="72" x14ac:dyDescent="0.35">
      <c r="A335" s="325"/>
      <c r="B335" s="531" t="s">
        <v>445</v>
      </c>
      <c r="C335" s="206" t="s">
        <v>79</v>
      </c>
      <c r="D335" s="207" t="s">
        <v>45</v>
      </c>
      <c r="E335" s="207" t="s">
        <v>52</v>
      </c>
      <c r="F335" s="208" t="s">
        <v>44</v>
      </c>
      <c r="G335" s="28"/>
      <c r="H335" s="215">
        <f>H336</f>
        <v>1320</v>
      </c>
      <c r="I335" s="215">
        <f>I336</f>
        <v>1320</v>
      </c>
    </row>
    <row r="336" spans="1:9" ht="72" x14ac:dyDescent="0.35">
      <c r="A336" s="325"/>
      <c r="B336" s="531" t="s">
        <v>440</v>
      </c>
      <c r="C336" s="206" t="s">
        <v>79</v>
      </c>
      <c r="D336" s="207" t="s">
        <v>45</v>
      </c>
      <c r="E336" s="207" t="s">
        <v>52</v>
      </c>
      <c r="F336" s="208" t="s">
        <v>354</v>
      </c>
      <c r="G336" s="28"/>
      <c r="H336" s="215">
        <f>H337</f>
        <v>1320</v>
      </c>
      <c r="I336" s="215">
        <f>I337</f>
        <v>1320</v>
      </c>
    </row>
    <row r="337" spans="1:9" ht="18" x14ac:dyDescent="0.35">
      <c r="A337" s="325"/>
      <c r="B337" s="501" t="s">
        <v>120</v>
      </c>
      <c r="C337" s="206" t="s">
        <v>79</v>
      </c>
      <c r="D337" s="207" t="s">
        <v>45</v>
      </c>
      <c r="E337" s="207" t="s">
        <v>52</v>
      </c>
      <c r="F337" s="208" t="s">
        <v>354</v>
      </c>
      <c r="G337" s="28" t="s">
        <v>121</v>
      </c>
      <c r="H337" s="215">
        <f>'прил10 (ведом 24-25)'!M162</f>
        <v>1320</v>
      </c>
      <c r="I337" s="215">
        <f>'прил10 (ведом 24-25)'!N162</f>
        <v>1320</v>
      </c>
    </row>
    <row r="338" spans="1:9" ht="18" x14ac:dyDescent="0.35">
      <c r="A338" s="325"/>
      <c r="B338" s="501"/>
      <c r="C338" s="207"/>
      <c r="D338" s="207"/>
      <c r="E338" s="207"/>
      <c r="F338" s="208"/>
      <c r="G338" s="28"/>
      <c r="H338" s="215"/>
      <c r="I338" s="215"/>
    </row>
    <row r="339" spans="1:9" ht="69.599999999999994" x14ac:dyDescent="0.3">
      <c r="A339" s="340">
        <v>9</v>
      </c>
      <c r="B339" s="504" t="s">
        <v>330</v>
      </c>
      <c r="C339" s="341" t="s">
        <v>104</v>
      </c>
      <c r="D339" s="341" t="s">
        <v>42</v>
      </c>
      <c r="E339" s="341" t="s">
        <v>43</v>
      </c>
      <c r="F339" s="342" t="s">
        <v>44</v>
      </c>
      <c r="G339" s="383"/>
      <c r="H339" s="252">
        <f>H340+H344</f>
        <v>69245.3</v>
      </c>
      <c r="I339" s="252">
        <f>I340+I344</f>
        <v>5773.4</v>
      </c>
    </row>
    <row r="340" spans="1:9" ht="36" x14ac:dyDescent="0.35">
      <c r="A340" s="340"/>
      <c r="B340" s="551" t="s">
        <v>332</v>
      </c>
      <c r="C340" s="82" t="s">
        <v>104</v>
      </c>
      <c r="D340" s="83" t="s">
        <v>45</v>
      </c>
      <c r="E340" s="83" t="s">
        <v>43</v>
      </c>
      <c r="F340" s="104" t="s">
        <v>44</v>
      </c>
      <c r="G340" s="85"/>
      <c r="H340" s="215">
        <f t="shared" ref="H340:I342" si="3">H341</f>
        <v>63486.700000000004</v>
      </c>
      <c r="I340" s="215">
        <f t="shared" si="3"/>
        <v>0</v>
      </c>
    </row>
    <row r="341" spans="1:9" ht="54" x14ac:dyDescent="0.35">
      <c r="A341" s="340"/>
      <c r="B341" s="551" t="s">
        <v>371</v>
      </c>
      <c r="C341" s="82" t="s">
        <v>104</v>
      </c>
      <c r="D341" s="83" t="s">
        <v>45</v>
      </c>
      <c r="E341" s="83" t="s">
        <v>37</v>
      </c>
      <c r="F341" s="104" t="s">
        <v>44</v>
      </c>
      <c r="G341" s="85"/>
      <c r="H341" s="215">
        <f t="shared" si="3"/>
        <v>63486.700000000004</v>
      </c>
      <c r="I341" s="215">
        <f t="shared" si="3"/>
        <v>0</v>
      </c>
    </row>
    <row r="342" spans="1:9" ht="54" x14ac:dyDescent="0.35">
      <c r="A342" s="340"/>
      <c r="B342" s="551" t="s">
        <v>497</v>
      </c>
      <c r="C342" s="82" t="s">
        <v>104</v>
      </c>
      <c r="D342" s="83" t="s">
        <v>45</v>
      </c>
      <c r="E342" s="83" t="s">
        <v>37</v>
      </c>
      <c r="F342" s="104" t="s">
        <v>413</v>
      </c>
      <c r="G342" s="85"/>
      <c r="H342" s="215">
        <f t="shared" si="3"/>
        <v>63486.700000000004</v>
      </c>
      <c r="I342" s="215">
        <f t="shared" si="3"/>
        <v>0</v>
      </c>
    </row>
    <row r="343" spans="1:9" ht="36" x14ac:dyDescent="0.35">
      <c r="A343" s="340"/>
      <c r="B343" s="551" t="s">
        <v>203</v>
      </c>
      <c r="C343" s="82" t="s">
        <v>104</v>
      </c>
      <c r="D343" s="83" t="s">
        <v>45</v>
      </c>
      <c r="E343" s="83" t="s">
        <v>37</v>
      </c>
      <c r="F343" s="104" t="s">
        <v>413</v>
      </c>
      <c r="G343" s="85" t="s">
        <v>204</v>
      </c>
      <c r="H343" s="215">
        <f>'прил10 (ведом 24-25)'!M256</f>
        <v>63486.700000000004</v>
      </c>
      <c r="I343" s="215">
        <f>'прил10 (ведом 24-25)'!N256</f>
        <v>0</v>
      </c>
    </row>
    <row r="344" spans="1:9" ht="54" x14ac:dyDescent="0.35">
      <c r="A344" s="325"/>
      <c r="B344" s="579" t="s">
        <v>618</v>
      </c>
      <c r="C344" s="689" t="s">
        <v>104</v>
      </c>
      <c r="D344" s="690" t="s">
        <v>34</v>
      </c>
      <c r="E344" s="690" t="s">
        <v>43</v>
      </c>
      <c r="F344" s="691" t="s">
        <v>44</v>
      </c>
      <c r="G344" s="10"/>
      <c r="H344" s="215">
        <f t="shared" ref="H344:I346" si="4">H345</f>
        <v>5758.6</v>
      </c>
      <c r="I344" s="215">
        <f t="shared" si="4"/>
        <v>5773.4</v>
      </c>
    </row>
    <row r="345" spans="1:9" ht="36" x14ac:dyDescent="0.35">
      <c r="A345" s="325"/>
      <c r="B345" s="579" t="s">
        <v>619</v>
      </c>
      <c r="C345" s="689" t="s">
        <v>104</v>
      </c>
      <c r="D345" s="690" t="s">
        <v>34</v>
      </c>
      <c r="E345" s="690" t="s">
        <v>37</v>
      </c>
      <c r="F345" s="691" t="s">
        <v>44</v>
      </c>
      <c r="G345" s="10"/>
      <c r="H345" s="215">
        <f t="shared" si="4"/>
        <v>5758.6</v>
      </c>
      <c r="I345" s="215">
        <f t="shared" si="4"/>
        <v>5773.4</v>
      </c>
    </row>
    <row r="346" spans="1:9" ht="36" x14ac:dyDescent="0.35">
      <c r="A346" s="325"/>
      <c r="B346" s="579" t="s">
        <v>620</v>
      </c>
      <c r="C346" s="689" t="s">
        <v>104</v>
      </c>
      <c r="D346" s="690" t="s">
        <v>34</v>
      </c>
      <c r="E346" s="690" t="s">
        <v>37</v>
      </c>
      <c r="F346" s="691" t="s">
        <v>621</v>
      </c>
      <c r="G346" s="10"/>
      <c r="H346" s="215">
        <f t="shared" si="4"/>
        <v>5758.6</v>
      </c>
      <c r="I346" s="215">
        <f t="shared" si="4"/>
        <v>5773.4</v>
      </c>
    </row>
    <row r="347" spans="1:9" ht="36" x14ac:dyDescent="0.35">
      <c r="A347" s="325"/>
      <c r="B347" s="579" t="s">
        <v>55</v>
      </c>
      <c r="C347" s="689" t="s">
        <v>104</v>
      </c>
      <c r="D347" s="690" t="s">
        <v>34</v>
      </c>
      <c r="E347" s="690" t="s">
        <v>37</v>
      </c>
      <c r="F347" s="691" t="s">
        <v>621</v>
      </c>
      <c r="G347" s="10" t="s">
        <v>56</v>
      </c>
      <c r="H347" s="215">
        <f>'прил10 (ведом 24-25)'!M148</f>
        <v>5758.6</v>
      </c>
      <c r="I347" s="215">
        <f>'прил10 (ведом 24-25)'!N148</f>
        <v>5773.4</v>
      </c>
    </row>
    <row r="348" spans="1:9" ht="18" x14ac:dyDescent="0.35">
      <c r="A348" s="325"/>
      <c r="B348" s="501"/>
      <c r="C348" s="207"/>
      <c r="D348" s="207"/>
      <c r="E348" s="207"/>
      <c r="F348" s="208"/>
      <c r="G348" s="28"/>
      <c r="H348" s="215"/>
      <c r="I348" s="215"/>
    </row>
    <row r="349" spans="1:9" s="335" customFormat="1" ht="52.2" x14ac:dyDescent="0.3">
      <c r="A349" s="340">
        <v>10</v>
      </c>
      <c r="B349" s="504" t="s">
        <v>94</v>
      </c>
      <c r="C349" s="341" t="s">
        <v>67</v>
      </c>
      <c r="D349" s="341" t="s">
        <v>42</v>
      </c>
      <c r="E349" s="341" t="s">
        <v>43</v>
      </c>
      <c r="F349" s="342" t="s">
        <v>44</v>
      </c>
      <c r="G349" s="383"/>
      <c r="H349" s="252">
        <f>H350</f>
        <v>19075.7</v>
      </c>
      <c r="I349" s="252">
        <f>I350</f>
        <v>19075.7</v>
      </c>
    </row>
    <row r="350" spans="1:9" ht="18" x14ac:dyDescent="0.35">
      <c r="A350" s="325"/>
      <c r="B350" s="492" t="s">
        <v>337</v>
      </c>
      <c r="C350" s="206" t="s">
        <v>67</v>
      </c>
      <c r="D350" s="207" t="s">
        <v>45</v>
      </c>
      <c r="E350" s="207" t="s">
        <v>43</v>
      </c>
      <c r="F350" s="208" t="s">
        <v>44</v>
      </c>
      <c r="G350" s="346"/>
      <c r="H350" s="215">
        <f>H351+H354</f>
        <v>19075.7</v>
      </c>
      <c r="I350" s="215">
        <f>I351+I354</f>
        <v>19075.7</v>
      </c>
    </row>
    <row r="351" spans="1:9" ht="36" x14ac:dyDescent="0.35">
      <c r="A351" s="325"/>
      <c r="B351" s="492" t="s">
        <v>95</v>
      </c>
      <c r="C351" s="206" t="s">
        <v>67</v>
      </c>
      <c r="D351" s="207" t="s">
        <v>45</v>
      </c>
      <c r="E351" s="207" t="s">
        <v>37</v>
      </c>
      <c r="F351" s="208" t="s">
        <v>44</v>
      </c>
      <c r="G351" s="346"/>
      <c r="H351" s="215">
        <f>H352</f>
        <v>15776.9</v>
      </c>
      <c r="I351" s="215">
        <f>I352</f>
        <v>15776.9</v>
      </c>
    </row>
    <row r="352" spans="1:9" ht="54" x14ac:dyDescent="0.35">
      <c r="A352" s="325"/>
      <c r="B352" s="528" t="s">
        <v>407</v>
      </c>
      <c r="C352" s="206" t="s">
        <v>67</v>
      </c>
      <c r="D352" s="207" t="s">
        <v>45</v>
      </c>
      <c r="E352" s="207" t="s">
        <v>37</v>
      </c>
      <c r="F352" s="208" t="s">
        <v>61</v>
      </c>
      <c r="G352" s="28"/>
      <c r="H352" s="215">
        <f>H353</f>
        <v>15776.9</v>
      </c>
      <c r="I352" s="215">
        <f>I353</f>
        <v>15776.9</v>
      </c>
    </row>
    <row r="353" spans="1:9" ht="18" x14ac:dyDescent="0.35">
      <c r="A353" s="325"/>
      <c r="B353" s="492" t="s">
        <v>57</v>
      </c>
      <c r="C353" s="206" t="s">
        <v>67</v>
      </c>
      <c r="D353" s="207" t="s">
        <v>45</v>
      </c>
      <c r="E353" s="207" t="s">
        <v>37</v>
      </c>
      <c r="F353" s="208" t="s">
        <v>61</v>
      </c>
      <c r="G353" s="28" t="s">
        <v>58</v>
      </c>
      <c r="H353" s="215">
        <f>'прил10 (ведом 24-25)'!M112</f>
        <v>15776.9</v>
      </c>
      <c r="I353" s="215">
        <f>'прил10 (ведом 24-25)'!N112</f>
        <v>15776.9</v>
      </c>
    </row>
    <row r="354" spans="1:9" ht="54" x14ac:dyDescent="0.35">
      <c r="A354" s="325"/>
      <c r="B354" s="492" t="s">
        <v>96</v>
      </c>
      <c r="C354" s="206" t="s">
        <v>67</v>
      </c>
      <c r="D354" s="207" t="s">
        <v>45</v>
      </c>
      <c r="E354" s="207" t="s">
        <v>39</v>
      </c>
      <c r="F354" s="208" t="s">
        <v>44</v>
      </c>
      <c r="G354" s="28"/>
      <c r="H354" s="215">
        <f>H355</f>
        <v>3298.8</v>
      </c>
      <c r="I354" s="215">
        <f>I355</f>
        <v>3298.8</v>
      </c>
    </row>
    <row r="355" spans="1:9" ht="162" x14ac:dyDescent="0.35">
      <c r="A355" s="325"/>
      <c r="B355" s="493" t="s">
        <v>522</v>
      </c>
      <c r="C355" s="206" t="s">
        <v>67</v>
      </c>
      <c r="D355" s="207" t="s">
        <v>45</v>
      </c>
      <c r="E355" s="207" t="s">
        <v>39</v>
      </c>
      <c r="F355" s="208" t="s">
        <v>97</v>
      </c>
      <c r="G355" s="28"/>
      <c r="H355" s="215">
        <f>H356</f>
        <v>3298.8</v>
      </c>
      <c r="I355" s="215">
        <f>I356</f>
        <v>3298.8</v>
      </c>
    </row>
    <row r="356" spans="1:9" ht="36" x14ac:dyDescent="0.35">
      <c r="A356" s="325"/>
      <c r="B356" s="492" t="s">
        <v>55</v>
      </c>
      <c r="C356" s="206" t="s">
        <v>67</v>
      </c>
      <c r="D356" s="207" t="s">
        <v>45</v>
      </c>
      <c r="E356" s="207" t="s">
        <v>39</v>
      </c>
      <c r="F356" s="208" t="s">
        <v>97</v>
      </c>
      <c r="G356" s="28" t="s">
        <v>56</v>
      </c>
      <c r="H356" s="215">
        <f>'прил10 (ведом 24-25)'!M115</f>
        <v>3298.8</v>
      </c>
      <c r="I356" s="215">
        <f>'прил10 (ведом 24-25)'!N115</f>
        <v>3298.8</v>
      </c>
    </row>
    <row r="357" spans="1:9" ht="18" x14ac:dyDescent="0.35">
      <c r="A357" s="325"/>
      <c r="B357" s="499"/>
      <c r="C357" s="683"/>
      <c r="D357" s="683"/>
      <c r="E357" s="683"/>
      <c r="F357" s="684"/>
      <c r="G357" s="236"/>
      <c r="H357" s="215"/>
      <c r="I357" s="215"/>
    </row>
    <row r="358" spans="1:9" s="335" customFormat="1" ht="52.2" x14ac:dyDescent="0.3">
      <c r="A358" s="340">
        <v>11</v>
      </c>
      <c r="B358" s="504" t="s">
        <v>99</v>
      </c>
      <c r="C358" s="341" t="s">
        <v>100</v>
      </c>
      <c r="D358" s="341" t="s">
        <v>42</v>
      </c>
      <c r="E358" s="341" t="s">
        <v>43</v>
      </c>
      <c r="F358" s="342" t="s">
        <v>44</v>
      </c>
      <c r="G358" s="334"/>
      <c r="H358" s="252">
        <f t="shared" ref="H358:I361" si="5">H359</f>
        <v>6181.8</v>
      </c>
      <c r="I358" s="252">
        <f t="shared" si="5"/>
        <v>6648.8</v>
      </c>
    </row>
    <row r="359" spans="1:9" s="335" customFormat="1" ht="18" x14ac:dyDescent="0.35">
      <c r="A359" s="325"/>
      <c r="B359" s="492" t="s">
        <v>337</v>
      </c>
      <c r="C359" s="206" t="s">
        <v>100</v>
      </c>
      <c r="D359" s="207" t="s">
        <v>45</v>
      </c>
      <c r="E359" s="207" t="s">
        <v>43</v>
      </c>
      <c r="F359" s="208" t="s">
        <v>44</v>
      </c>
      <c r="G359" s="28"/>
      <c r="H359" s="215">
        <f t="shared" si="5"/>
        <v>6181.8</v>
      </c>
      <c r="I359" s="215">
        <f t="shared" si="5"/>
        <v>6648.8</v>
      </c>
    </row>
    <row r="360" spans="1:9" s="335" customFormat="1" ht="72" x14ac:dyDescent="0.35">
      <c r="A360" s="325"/>
      <c r="B360" s="492" t="s">
        <v>101</v>
      </c>
      <c r="C360" s="206" t="s">
        <v>100</v>
      </c>
      <c r="D360" s="207" t="s">
        <v>45</v>
      </c>
      <c r="E360" s="207" t="s">
        <v>37</v>
      </c>
      <c r="F360" s="208" t="s">
        <v>44</v>
      </c>
      <c r="G360" s="28"/>
      <c r="H360" s="215">
        <f t="shared" si="5"/>
        <v>6181.8</v>
      </c>
      <c r="I360" s="215">
        <f t="shared" si="5"/>
        <v>6648.8</v>
      </c>
    </row>
    <row r="361" spans="1:9" s="335" customFormat="1" ht="72" x14ac:dyDescent="0.35">
      <c r="A361" s="325"/>
      <c r="B361" s="500" t="s">
        <v>102</v>
      </c>
      <c r="C361" s="206" t="s">
        <v>100</v>
      </c>
      <c r="D361" s="207" t="s">
        <v>45</v>
      </c>
      <c r="E361" s="207" t="s">
        <v>37</v>
      </c>
      <c r="F361" s="208" t="s">
        <v>103</v>
      </c>
      <c r="G361" s="28"/>
      <c r="H361" s="215">
        <f t="shared" si="5"/>
        <v>6181.8</v>
      </c>
      <c r="I361" s="215">
        <f t="shared" si="5"/>
        <v>6648.8</v>
      </c>
    </row>
    <row r="362" spans="1:9" ht="36" x14ac:dyDescent="0.35">
      <c r="A362" s="325"/>
      <c r="B362" s="492" t="s">
        <v>55</v>
      </c>
      <c r="C362" s="206" t="s">
        <v>100</v>
      </c>
      <c r="D362" s="207" t="s">
        <v>45</v>
      </c>
      <c r="E362" s="207" t="s">
        <v>37</v>
      </c>
      <c r="F362" s="208" t="s">
        <v>103</v>
      </c>
      <c r="G362" s="28" t="s">
        <v>56</v>
      </c>
      <c r="H362" s="215">
        <f>'прил10 (ведом 24-25)'!M121</f>
        <v>6181.8</v>
      </c>
      <c r="I362" s="215">
        <f>'прил10 (ведом 24-25)'!N121</f>
        <v>6648.8</v>
      </c>
    </row>
    <row r="363" spans="1:9" ht="18" x14ac:dyDescent="0.35">
      <c r="A363" s="325"/>
      <c r="B363" s="492"/>
      <c r="C363" s="207"/>
      <c r="D363" s="207"/>
      <c r="E363" s="207"/>
      <c r="F363" s="208"/>
      <c r="G363" s="28"/>
      <c r="H363" s="215"/>
      <c r="I363" s="215"/>
    </row>
    <row r="364" spans="1:9" ht="69.599999999999994" x14ac:dyDescent="0.3">
      <c r="A364" s="340">
        <v>12</v>
      </c>
      <c r="B364" s="541" t="s">
        <v>107</v>
      </c>
      <c r="C364" s="384" t="s">
        <v>71</v>
      </c>
      <c r="D364" s="385" t="s">
        <v>42</v>
      </c>
      <c r="E364" s="385" t="s">
        <v>43</v>
      </c>
      <c r="F364" s="386" t="s">
        <v>44</v>
      </c>
      <c r="G364" s="148"/>
      <c r="H364" s="252">
        <f>H369+H365</f>
        <v>1066.0999999999999</v>
      </c>
      <c r="I364" s="252">
        <f>I369+I365</f>
        <v>1066.0999999999999</v>
      </c>
    </row>
    <row r="365" spans="1:9" ht="36" x14ac:dyDescent="0.35">
      <c r="A365" s="340"/>
      <c r="B365" s="509" t="s">
        <v>108</v>
      </c>
      <c r="C365" s="206" t="s">
        <v>71</v>
      </c>
      <c r="D365" s="207" t="s">
        <v>45</v>
      </c>
      <c r="E365" s="207" t="s">
        <v>43</v>
      </c>
      <c r="F365" s="208" t="s">
        <v>44</v>
      </c>
      <c r="G365" s="28"/>
      <c r="H365" s="215">
        <f t="shared" ref="H365:I367" si="6">H366</f>
        <v>340</v>
      </c>
      <c r="I365" s="215">
        <f t="shared" si="6"/>
        <v>340</v>
      </c>
    </row>
    <row r="366" spans="1:9" ht="36" x14ac:dyDescent="0.35">
      <c r="A366" s="340"/>
      <c r="B366" s="493" t="s">
        <v>109</v>
      </c>
      <c r="C366" s="206" t="s">
        <v>71</v>
      </c>
      <c r="D366" s="207" t="s">
        <v>45</v>
      </c>
      <c r="E366" s="207" t="s">
        <v>37</v>
      </c>
      <c r="F366" s="208" t="s">
        <v>44</v>
      </c>
      <c r="G366" s="28"/>
      <c r="H366" s="215">
        <f t="shared" si="6"/>
        <v>340</v>
      </c>
      <c r="I366" s="215">
        <f t="shared" si="6"/>
        <v>340</v>
      </c>
    </row>
    <row r="367" spans="1:9" ht="36" x14ac:dyDescent="0.35">
      <c r="A367" s="340"/>
      <c r="B367" s="509" t="s">
        <v>110</v>
      </c>
      <c r="C367" s="206" t="s">
        <v>71</v>
      </c>
      <c r="D367" s="207" t="s">
        <v>45</v>
      </c>
      <c r="E367" s="207" t="s">
        <v>37</v>
      </c>
      <c r="F367" s="208" t="s">
        <v>111</v>
      </c>
      <c r="G367" s="28"/>
      <c r="H367" s="215">
        <f t="shared" si="6"/>
        <v>340</v>
      </c>
      <c r="I367" s="215">
        <f t="shared" si="6"/>
        <v>340</v>
      </c>
    </row>
    <row r="368" spans="1:9" ht="36" x14ac:dyDescent="0.35">
      <c r="A368" s="340"/>
      <c r="B368" s="493" t="s">
        <v>55</v>
      </c>
      <c r="C368" s="206" t="s">
        <v>71</v>
      </c>
      <c r="D368" s="207" t="s">
        <v>45</v>
      </c>
      <c r="E368" s="207" t="s">
        <v>37</v>
      </c>
      <c r="F368" s="208" t="s">
        <v>111</v>
      </c>
      <c r="G368" s="28" t="s">
        <v>56</v>
      </c>
      <c r="H368" s="215">
        <f>'прил10 (ведом 24-25)'!M127</f>
        <v>340</v>
      </c>
      <c r="I368" s="215">
        <f>'прил10 (ведом 24-25)'!N127</f>
        <v>340</v>
      </c>
    </row>
    <row r="369" spans="1:9" ht="36" x14ac:dyDescent="0.35">
      <c r="A369" s="325"/>
      <c r="B369" s="509" t="s">
        <v>112</v>
      </c>
      <c r="C369" s="206" t="s">
        <v>71</v>
      </c>
      <c r="D369" s="207" t="s">
        <v>89</v>
      </c>
      <c r="E369" s="207" t="s">
        <v>43</v>
      </c>
      <c r="F369" s="208" t="s">
        <v>44</v>
      </c>
      <c r="G369" s="28"/>
      <c r="H369" s="215">
        <f t="shared" ref="H369:I371" si="7">H370</f>
        <v>726.1</v>
      </c>
      <c r="I369" s="215">
        <f t="shared" si="7"/>
        <v>726.1</v>
      </c>
    </row>
    <row r="370" spans="1:9" ht="36" x14ac:dyDescent="0.35">
      <c r="A370" s="325"/>
      <c r="B370" s="509" t="s">
        <v>113</v>
      </c>
      <c r="C370" s="206" t="s">
        <v>71</v>
      </c>
      <c r="D370" s="207" t="s">
        <v>89</v>
      </c>
      <c r="E370" s="207" t="s">
        <v>37</v>
      </c>
      <c r="F370" s="208" t="s">
        <v>44</v>
      </c>
      <c r="G370" s="28"/>
      <c r="H370" s="215">
        <f t="shared" si="7"/>
        <v>726.1</v>
      </c>
      <c r="I370" s="215">
        <f t="shared" si="7"/>
        <v>726.1</v>
      </c>
    </row>
    <row r="371" spans="1:9" ht="72" x14ac:dyDescent="0.35">
      <c r="A371" s="325"/>
      <c r="B371" s="509" t="s">
        <v>114</v>
      </c>
      <c r="C371" s="206" t="s">
        <v>71</v>
      </c>
      <c r="D371" s="207" t="s">
        <v>89</v>
      </c>
      <c r="E371" s="207" t="s">
        <v>37</v>
      </c>
      <c r="F371" s="208" t="s">
        <v>115</v>
      </c>
      <c r="G371" s="28"/>
      <c r="H371" s="215">
        <f t="shared" si="7"/>
        <v>726.1</v>
      </c>
      <c r="I371" s="215">
        <f t="shared" si="7"/>
        <v>726.1</v>
      </c>
    </row>
    <row r="372" spans="1:9" ht="36" x14ac:dyDescent="0.35">
      <c r="A372" s="325"/>
      <c r="B372" s="493" t="s">
        <v>55</v>
      </c>
      <c r="C372" s="206" t="s">
        <v>71</v>
      </c>
      <c r="D372" s="207" t="s">
        <v>89</v>
      </c>
      <c r="E372" s="207" t="s">
        <v>37</v>
      </c>
      <c r="F372" s="208" t="s">
        <v>115</v>
      </c>
      <c r="G372" s="28" t="s">
        <v>56</v>
      </c>
      <c r="H372" s="215">
        <f>'прил10 (ведом 24-25)'!M131</f>
        <v>726.1</v>
      </c>
      <c r="I372" s="215">
        <f>'прил10 (ведом 24-25)'!N131</f>
        <v>726.1</v>
      </c>
    </row>
    <row r="373" spans="1:9" ht="18" x14ac:dyDescent="0.35">
      <c r="A373" s="325"/>
      <c r="B373" s="493"/>
      <c r="C373" s="207"/>
      <c r="D373" s="207"/>
      <c r="E373" s="207"/>
      <c r="F373" s="208"/>
      <c r="G373" s="28"/>
      <c r="H373" s="215"/>
      <c r="I373" s="215"/>
    </row>
    <row r="374" spans="1:9" ht="52.2" x14ac:dyDescent="0.3">
      <c r="A374" s="340">
        <v>13</v>
      </c>
      <c r="B374" s="541" t="s">
        <v>116</v>
      </c>
      <c r="C374" s="384" t="s">
        <v>88</v>
      </c>
      <c r="D374" s="385" t="s">
        <v>42</v>
      </c>
      <c r="E374" s="385" t="s">
        <v>43</v>
      </c>
      <c r="F374" s="386" t="s">
        <v>44</v>
      </c>
      <c r="G374" s="148"/>
      <c r="H374" s="252">
        <f t="shared" ref="H374:I375" si="8">H375</f>
        <v>50</v>
      </c>
      <c r="I374" s="252">
        <f t="shared" si="8"/>
        <v>50</v>
      </c>
    </row>
    <row r="375" spans="1:9" ht="18" x14ac:dyDescent="0.35">
      <c r="A375" s="325"/>
      <c r="B375" s="493" t="s">
        <v>337</v>
      </c>
      <c r="C375" s="206" t="s">
        <v>88</v>
      </c>
      <c r="D375" s="207" t="s">
        <v>45</v>
      </c>
      <c r="E375" s="207" t="s">
        <v>43</v>
      </c>
      <c r="F375" s="208" t="s">
        <v>44</v>
      </c>
      <c r="G375" s="28"/>
      <c r="H375" s="215">
        <f t="shared" si="8"/>
        <v>50</v>
      </c>
      <c r="I375" s="215">
        <f t="shared" si="8"/>
        <v>50</v>
      </c>
    </row>
    <row r="376" spans="1:9" ht="54" x14ac:dyDescent="0.35">
      <c r="A376" s="325"/>
      <c r="B376" s="509" t="s">
        <v>306</v>
      </c>
      <c r="C376" s="206" t="s">
        <v>88</v>
      </c>
      <c r="D376" s="207" t="s">
        <v>45</v>
      </c>
      <c r="E376" s="207" t="s">
        <v>37</v>
      </c>
      <c r="F376" s="208" t="s">
        <v>44</v>
      </c>
      <c r="G376" s="28"/>
      <c r="H376" s="215">
        <f>H377</f>
        <v>50</v>
      </c>
      <c r="I376" s="215">
        <f>I377</f>
        <v>50</v>
      </c>
    </row>
    <row r="377" spans="1:9" ht="54" x14ac:dyDescent="0.35">
      <c r="A377" s="325"/>
      <c r="B377" s="509" t="s">
        <v>117</v>
      </c>
      <c r="C377" s="206" t="s">
        <v>88</v>
      </c>
      <c r="D377" s="207" t="s">
        <v>45</v>
      </c>
      <c r="E377" s="207" t="s">
        <v>37</v>
      </c>
      <c r="F377" s="208" t="s">
        <v>118</v>
      </c>
      <c r="G377" s="28"/>
      <c r="H377" s="215">
        <f>H378</f>
        <v>50</v>
      </c>
      <c r="I377" s="215">
        <f>I378</f>
        <v>50</v>
      </c>
    </row>
    <row r="378" spans="1:9" ht="36" x14ac:dyDescent="0.35">
      <c r="A378" s="325"/>
      <c r="B378" s="493" t="s">
        <v>55</v>
      </c>
      <c r="C378" s="206" t="s">
        <v>88</v>
      </c>
      <c r="D378" s="207" t="s">
        <v>45</v>
      </c>
      <c r="E378" s="207" t="s">
        <v>37</v>
      </c>
      <c r="F378" s="208" t="s">
        <v>118</v>
      </c>
      <c r="G378" s="28" t="s">
        <v>56</v>
      </c>
      <c r="H378" s="215">
        <f>'прил10 (ведом 24-25)'!M136</f>
        <v>50</v>
      </c>
      <c r="I378" s="215">
        <f>'прил10 (ведом 24-25)'!N136</f>
        <v>50</v>
      </c>
    </row>
    <row r="379" spans="1:9" ht="18" x14ac:dyDescent="0.35">
      <c r="A379" s="325"/>
      <c r="B379" s="493"/>
      <c r="C379" s="207"/>
      <c r="D379" s="207"/>
      <c r="E379" s="207"/>
      <c r="F379" s="208"/>
      <c r="G379" s="28"/>
      <c r="H379" s="215"/>
      <c r="I379" s="215"/>
    </row>
    <row r="380" spans="1:9" ht="69.599999999999994" x14ac:dyDescent="0.3">
      <c r="A380" s="340">
        <v>14</v>
      </c>
      <c r="B380" s="504" t="s">
        <v>72</v>
      </c>
      <c r="C380" s="341" t="s">
        <v>73</v>
      </c>
      <c r="D380" s="341" t="s">
        <v>42</v>
      </c>
      <c r="E380" s="341" t="s">
        <v>43</v>
      </c>
      <c r="F380" s="342" t="s">
        <v>44</v>
      </c>
      <c r="G380" s="334"/>
      <c r="H380" s="252">
        <f t="shared" ref="H380:I383" si="9">H381</f>
        <v>1517.4</v>
      </c>
      <c r="I380" s="252">
        <f t="shared" si="9"/>
        <v>1517.4</v>
      </c>
    </row>
    <row r="381" spans="1:9" ht="18" x14ac:dyDescent="0.35">
      <c r="A381" s="325"/>
      <c r="B381" s="492" t="s">
        <v>337</v>
      </c>
      <c r="C381" s="206" t="s">
        <v>73</v>
      </c>
      <c r="D381" s="207" t="s">
        <v>45</v>
      </c>
      <c r="E381" s="207" t="s">
        <v>43</v>
      </c>
      <c r="F381" s="208" t="s">
        <v>44</v>
      </c>
      <c r="G381" s="28"/>
      <c r="H381" s="215">
        <f t="shared" si="9"/>
        <v>1517.4</v>
      </c>
      <c r="I381" s="215">
        <f t="shared" si="9"/>
        <v>1517.4</v>
      </c>
    </row>
    <row r="382" spans="1:9" ht="36" x14ac:dyDescent="0.35">
      <c r="A382" s="325"/>
      <c r="B382" s="508" t="s">
        <v>265</v>
      </c>
      <c r="C382" s="206" t="s">
        <v>73</v>
      </c>
      <c r="D382" s="207" t="s">
        <v>45</v>
      </c>
      <c r="E382" s="207" t="s">
        <v>37</v>
      </c>
      <c r="F382" s="208" t="s">
        <v>44</v>
      </c>
      <c r="G382" s="28"/>
      <c r="H382" s="215">
        <f t="shared" si="9"/>
        <v>1517.4</v>
      </c>
      <c r="I382" s="215">
        <f t="shared" si="9"/>
        <v>1517.4</v>
      </c>
    </row>
    <row r="383" spans="1:9" ht="36" x14ac:dyDescent="0.35">
      <c r="A383" s="325"/>
      <c r="B383" s="508" t="s">
        <v>74</v>
      </c>
      <c r="C383" s="206" t="s">
        <v>73</v>
      </c>
      <c r="D383" s="207" t="s">
        <v>45</v>
      </c>
      <c r="E383" s="207" t="s">
        <v>37</v>
      </c>
      <c r="F383" s="208" t="s">
        <v>75</v>
      </c>
      <c r="G383" s="28"/>
      <c r="H383" s="215">
        <f t="shared" si="9"/>
        <v>1517.4</v>
      </c>
      <c r="I383" s="215">
        <f t="shared" si="9"/>
        <v>1517.4</v>
      </c>
    </row>
    <row r="384" spans="1:9" ht="36" x14ac:dyDescent="0.35">
      <c r="A384" s="325"/>
      <c r="B384" s="495" t="s">
        <v>76</v>
      </c>
      <c r="C384" s="206" t="s">
        <v>73</v>
      </c>
      <c r="D384" s="207" t="s">
        <v>45</v>
      </c>
      <c r="E384" s="207" t="s">
        <v>37</v>
      </c>
      <c r="F384" s="208" t="s">
        <v>75</v>
      </c>
      <c r="G384" s="28" t="s">
        <v>77</v>
      </c>
      <c r="H384" s="215">
        <f>'прил10 (ведом 24-25)'!M62+'прил10 (ведом 24-25)'!M168</f>
        <v>1517.4</v>
      </c>
      <c r="I384" s="215">
        <f>'прил10 (ведом 24-25)'!N62+'прил10 (ведом 24-25)'!N168</f>
        <v>1517.4</v>
      </c>
    </row>
    <row r="385" spans="1:9" ht="18" x14ac:dyDescent="0.35">
      <c r="A385" s="325"/>
      <c r="B385" s="499"/>
      <c r="C385" s="683"/>
      <c r="D385" s="683"/>
      <c r="E385" s="683"/>
      <c r="F385" s="684"/>
      <c r="G385" s="236"/>
      <c r="H385" s="215"/>
      <c r="I385" s="215"/>
    </row>
    <row r="386" spans="1:9" s="335" customFormat="1" ht="52.2" x14ac:dyDescent="0.3">
      <c r="A386" s="340">
        <v>15</v>
      </c>
      <c r="B386" s="504" t="s">
        <v>40</v>
      </c>
      <c r="C386" s="341" t="s">
        <v>41</v>
      </c>
      <c r="D386" s="341" t="s">
        <v>42</v>
      </c>
      <c r="E386" s="341" t="s">
        <v>43</v>
      </c>
      <c r="F386" s="342" t="s">
        <v>44</v>
      </c>
      <c r="G386" s="334"/>
      <c r="H386" s="252">
        <f>H387</f>
        <v>129777.50000000001</v>
      </c>
      <c r="I386" s="252">
        <f>I387</f>
        <v>128614.80000000002</v>
      </c>
    </row>
    <row r="387" spans="1:9" s="335" customFormat="1" ht="18" x14ac:dyDescent="0.35">
      <c r="A387" s="325"/>
      <c r="B387" s="492" t="s">
        <v>337</v>
      </c>
      <c r="C387" s="206" t="s">
        <v>41</v>
      </c>
      <c r="D387" s="207" t="s">
        <v>45</v>
      </c>
      <c r="E387" s="207" t="s">
        <v>43</v>
      </c>
      <c r="F387" s="208" t="s">
        <v>44</v>
      </c>
      <c r="G387" s="28"/>
      <c r="H387" s="215">
        <f>H388+H391+H421+H408+H416+H428+H425</f>
        <v>129777.50000000001</v>
      </c>
      <c r="I387" s="215">
        <f>I388+I391+I421+I408+I416+I428+I425</f>
        <v>128614.80000000002</v>
      </c>
    </row>
    <row r="388" spans="1:9" s="335" customFormat="1" ht="36" x14ac:dyDescent="0.35">
      <c r="A388" s="325"/>
      <c r="B388" s="492" t="s">
        <v>46</v>
      </c>
      <c r="C388" s="206" t="s">
        <v>41</v>
      </c>
      <c r="D388" s="207" t="s">
        <v>45</v>
      </c>
      <c r="E388" s="207" t="s">
        <v>37</v>
      </c>
      <c r="F388" s="208" t="s">
        <v>44</v>
      </c>
      <c r="G388" s="28"/>
      <c r="H388" s="215">
        <f>H389</f>
        <v>2612.1999999999998</v>
      </c>
      <c r="I388" s="215">
        <f>I389</f>
        <v>2612.1999999999998</v>
      </c>
    </row>
    <row r="389" spans="1:9" s="335" customFormat="1" ht="36" x14ac:dyDescent="0.35">
      <c r="A389" s="325"/>
      <c r="B389" s="492" t="s">
        <v>47</v>
      </c>
      <c r="C389" s="206" t="s">
        <v>41</v>
      </c>
      <c r="D389" s="207" t="s">
        <v>45</v>
      </c>
      <c r="E389" s="207" t="s">
        <v>37</v>
      </c>
      <c r="F389" s="208" t="s">
        <v>48</v>
      </c>
      <c r="G389" s="28"/>
      <c r="H389" s="215">
        <f>H390</f>
        <v>2612.1999999999998</v>
      </c>
      <c r="I389" s="215">
        <f>I390</f>
        <v>2612.1999999999998</v>
      </c>
    </row>
    <row r="390" spans="1:9" s="335" customFormat="1" ht="90" x14ac:dyDescent="0.35">
      <c r="A390" s="325"/>
      <c r="B390" s="492" t="s">
        <v>49</v>
      </c>
      <c r="C390" s="206" t="s">
        <v>41</v>
      </c>
      <c r="D390" s="207" t="s">
        <v>45</v>
      </c>
      <c r="E390" s="207" t="s">
        <v>37</v>
      </c>
      <c r="F390" s="208" t="s">
        <v>48</v>
      </c>
      <c r="G390" s="28" t="s">
        <v>50</v>
      </c>
      <c r="H390" s="215">
        <f>'прил10 (ведом 24-25)'!M24</f>
        <v>2612.1999999999998</v>
      </c>
      <c r="I390" s="215">
        <f>'прил10 (ведом 24-25)'!N24</f>
        <v>2612.1999999999998</v>
      </c>
    </row>
    <row r="391" spans="1:9" s="335" customFormat="1" ht="36" x14ac:dyDescent="0.35">
      <c r="A391" s="325"/>
      <c r="B391" s="492" t="s">
        <v>54</v>
      </c>
      <c r="C391" s="206" t="s">
        <v>41</v>
      </c>
      <c r="D391" s="207" t="s">
        <v>45</v>
      </c>
      <c r="E391" s="207" t="s">
        <v>39</v>
      </c>
      <c r="F391" s="208" t="s">
        <v>44</v>
      </c>
      <c r="G391" s="28"/>
      <c r="H391" s="215">
        <f>H392+H398+H400+H402+H396+H405</f>
        <v>83377.800000000017</v>
      </c>
      <c r="I391" s="215">
        <f>I392+I398+I400+I402+I396+I405</f>
        <v>83411.200000000012</v>
      </c>
    </row>
    <row r="392" spans="1:9" s="335" customFormat="1" ht="36" x14ac:dyDescent="0.35">
      <c r="A392" s="325"/>
      <c r="B392" s="492" t="s">
        <v>47</v>
      </c>
      <c r="C392" s="206" t="s">
        <v>41</v>
      </c>
      <c r="D392" s="207" t="s">
        <v>45</v>
      </c>
      <c r="E392" s="207" t="s">
        <v>39</v>
      </c>
      <c r="F392" s="208" t="s">
        <v>48</v>
      </c>
      <c r="G392" s="28"/>
      <c r="H392" s="215">
        <f>SUM(H393:H395)</f>
        <v>77728.5</v>
      </c>
      <c r="I392" s="215">
        <f>SUM(I393:I395)</f>
        <v>77764.5</v>
      </c>
    </row>
    <row r="393" spans="1:9" s="335" customFormat="1" ht="90" x14ac:dyDescent="0.35">
      <c r="A393" s="325"/>
      <c r="B393" s="492" t="s">
        <v>49</v>
      </c>
      <c r="C393" s="206" t="s">
        <v>41</v>
      </c>
      <c r="D393" s="207" t="s">
        <v>45</v>
      </c>
      <c r="E393" s="207" t="s">
        <v>39</v>
      </c>
      <c r="F393" s="208" t="s">
        <v>48</v>
      </c>
      <c r="G393" s="28" t="s">
        <v>50</v>
      </c>
      <c r="H393" s="215">
        <f>'прил10 (ведом 24-25)'!M30</f>
        <v>76888.3</v>
      </c>
      <c r="I393" s="215">
        <f>'прил10 (ведом 24-25)'!N30</f>
        <v>76888.3</v>
      </c>
    </row>
    <row r="394" spans="1:9" ht="36" x14ac:dyDescent="0.35">
      <c r="A394" s="325"/>
      <c r="B394" s="492" t="s">
        <v>55</v>
      </c>
      <c r="C394" s="206" t="s">
        <v>41</v>
      </c>
      <c r="D394" s="207" t="s">
        <v>45</v>
      </c>
      <c r="E394" s="207" t="s">
        <v>39</v>
      </c>
      <c r="F394" s="208" t="s">
        <v>48</v>
      </c>
      <c r="G394" s="28" t="s">
        <v>56</v>
      </c>
      <c r="H394" s="215">
        <f>'прил10 (ведом 24-25)'!M31</f>
        <v>817.3</v>
      </c>
      <c r="I394" s="215">
        <f>'прил10 (ведом 24-25)'!N31</f>
        <v>853.3</v>
      </c>
    </row>
    <row r="395" spans="1:9" ht="18" x14ac:dyDescent="0.35">
      <c r="A395" s="325"/>
      <c r="B395" s="493" t="s">
        <v>57</v>
      </c>
      <c r="C395" s="206" t="s">
        <v>41</v>
      </c>
      <c r="D395" s="207" t="s">
        <v>45</v>
      </c>
      <c r="E395" s="207" t="s">
        <v>39</v>
      </c>
      <c r="F395" s="208" t="s">
        <v>48</v>
      </c>
      <c r="G395" s="28" t="s">
        <v>58</v>
      </c>
      <c r="H395" s="215">
        <f>'прил10 (ведом 24-25)'!M32</f>
        <v>22.9</v>
      </c>
      <c r="I395" s="215">
        <f>'прил10 (ведом 24-25)'!N32</f>
        <v>22.9</v>
      </c>
    </row>
    <row r="396" spans="1:9" s="335" customFormat="1" ht="72" x14ac:dyDescent="0.35">
      <c r="A396" s="325"/>
      <c r="B396" s="493" t="s">
        <v>384</v>
      </c>
      <c r="C396" s="206" t="s">
        <v>41</v>
      </c>
      <c r="D396" s="207" t="s">
        <v>45</v>
      </c>
      <c r="E396" s="207" t="s">
        <v>39</v>
      </c>
      <c r="F396" s="208" t="s">
        <v>383</v>
      </c>
      <c r="G396" s="28"/>
      <c r="H396" s="215">
        <f>H397</f>
        <v>20.3</v>
      </c>
      <c r="I396" s="215">
        <f>I397</f>
        <v>17.7</v>
      </c>
    </row>
    <row r="397" spans="1:9" s="335" customFormat="1" ht="36" x14ac:dyDescent="0.35">
      <c r="A397" s="325"/>
      <c r="B397" s="493" t="s">
        <v>55</v>
      </c>
      <c r="C397" s="206" t="s">
        <v>41</v>
      </c>
      <c r="D397" s="207" t="s">
        <v>45</v>
      </c>
      <c r="E397" s="207" t="s">
        <v>39</v>
      </c>
      <c r="F397" s="208" t="s">
        <v>383</v>
      </c>
      <c r="G397" s="28" t="s">
        <v>56</v>
      </c>
      <c r="H397" s="215">
        <f>'прил10 (ведом 24-25)'!M51</f>
        <v>20.3</v>
      </c>
      <c r="I397" s="215">
        <f>'прил10 (ведом 24-25)'!N51</f>
        <v>17.7</v>
      </c>
    </row>
    <row r="398" spans="1:9" ht="90" x14ac:dyDescent="0.35">
      <c r="A398" s="325"/>
      <c r="B398" s="492" t="s">
        <v>441</v>
      </c>
      <c r="C398" s="206" t="s">
        <v>41</v>
      </c>
      <c r="D398" s="207" t="s">
        <v>45</v>
      </c>
      <c r="E398" s="207" t="s">
        <v>39</v>
      </c>
      <c r="F398" s="208" t="s">
        <v>264</v>
      </c>
      <c r="G398" s="28"/>
      <c r="H398" s="215">
        <f>H399</f>
        <v>63</v>
      </c>
      <c r="I398" s="215">
        <f>I399</f>
        <v>63</v>
      </c>
    </row>
    <row r="399" spans="1:9" ht="36" x14ac:dyDescent="0.35">
      <c r="A399" s="325"/>
      <c r="B399" s="492" t="s">
        <v>55</v>
      </c>
      <c r="C399" s="206" t="s">
        <v>41</v>
      </c>
      <c r="D399" s="207" t="s">
        <v>45</v>
      </c>
      <c r="E399" s="207" t="s">
        <v>39</v>
      </c>
      <c r="F399" s="208" t="s">
        <v>264</v>
      </c>
      <c r="G399" s="28" t="s">
        <v>56</v>
      </c>
      <c r="H399" s="215">
        <f>'прил10 (ведом 24-25)'!M34</f>
        <v>63</v>
      </c>
      <c r="I399" s="215">
        <f>'прил10 (ведом 24-25)'!N34</f>
        <v>63</v>
      </c>
    </row>
    <row r="400" spans="1:9" ht="162" x14ac:dyDescent="0.35">
      <c r="A400" s="325"/>
      <c r="B400" s="528" t="s">
        <v>449</v>
      </c>
      <c r="C400" s="206" t="s">
        <v>41</v>
      </c>
      <c r="D400" s="207" t="s">
        <v>45</v>
      </c>
      <c r="E400" s="207" t="s">
        <v>39</v>
      </c>
      <c r="F400" s="208" t="s">
        <v>59</v>
      </c>
      <c r="G400" s="28"/>
      <c r="H400" s="215">
        <f>H401</f>
        <v>749.1</v>
      </c>
      <c r="I400" s="215">
        <f>I401</f>
        <v>749.1</v>
      </c>
    </row>
    <row r="401" spans="1:9" ht="90" x14ac:dyDescent="0.35">
      <c r="A401" s="325"/>
      <c r="B401" s="493" t="s">
        <v>49</v>
      </c>
      <c r="C401" s="206" t="s">
        <v>41</v>
      </c>
      <c r="D401" s="207" t="s">
        <v>45</v>
      </c>
      <c r="E401" s="207" t="s">
        <v>39</v>
      </c>
      <c r="F401" s="208" t="s">
        <v>59</v>
      </c>
      <c r="G401" s="28" t="s">
        <v>50</v>
      </c>
      <c r="H401" s="215">
        <f>'прил10 (ведом 24-25)'!M36</f>
        <v>749.1</v>
      </c>
      <c r="I401" s="215">
        <f>'прил10 (ведом 24-25)'!N36</f>
        <v>749.1</v>
      </c>
    </row>
    <row r="402" spans="1:9" ht="54" x14ac:dyDescent="0.35">
      <c r="A402" s="325"/>
      <c r="B402" s="493" t="s">
        <v>407</v>
      </c>
      <c r="C402" s="206" t="s">
        <v>41</v>
      </c>
      <c r="D402" s="207" t="s">
        <v>45</v>
      </c>
      <c r="E402" s="207" t="s">
        <v>39</v>
      </c>
      <c r="F402" s="208" t="s">
        <v>61</v>
      </c>
      <c r="G402" s="28"/>
      <c r="H402" s="215">
        <f>H403+H404</f>
        <v>749.30000000000007</v>
      </c>
      <c r="I402" s="215">
        <f>I403+I404</f>
        <v>749.30000000000007</v>
      </c>
    </row>
    <row r="403" spans="1:9" ht="90" x14ac:dyDescent="0.35">
      <c r="A403" s="325"/>
      <c r="B403" s="493" t="s">
        <v>49</v>
      </c>
      <c r="C403" s="206" t="s">
        <v>41</v>
      </c>
      <c r="D403" s="207" t="s">
        <v>45</v>
      </c>
      <c r="E403" s="207" t="s">
        <v>39</v>
      </c>
      <c r="F403" s="208" t="s">
        <v>61</v>
      </c>
      <c r="G403" s="28" t="s">
        <v>50</v>
      </c>
      <c r="H403" s="215">
        <f>'прил10 (ведом 24-25)'!M38</f>
        <v>745.1</v>
      </c>
      <c r="I403" s="215">
        <f>'прил10 (ведом 24-25)'!N38</f>
        <v>745.1</v>
      </c>
    </row>
    <row r="404" spans="1:9" ht="36" x14ac:dyDescent="0.35">
      <c r="A404" s="325"/>
      <c r="B404" s="492" t="s">
        <v>55</v>
      </c>
      <c r="C404" s="206" t="s">
        <v>41</v>
      </c>
      <c r="D404" s="207" t="s">
        <v>45</v>
      </c>
      <c r="E404" s="207" t="s">
        <v>39</v>
      </c>
      <c r="F404" s="208" t="s">
        <v>61</v>
      </c>
      <c r="G404" s="28" t="s">
        <v>56</v>
      </c>
      <c r="H404" s="215">
        <f>'прил10 (ведом 24-25)'!M39</f>
        <v>4.2</v>
      </c>
      <c r="I404" s="215">
        <f>'прил10 (ведом 24-25)'!N39</f>
        <v>4.2</v>
      </c>
    </row>
    <row r="405" spans="1:9" ht="72" x14ac:dyDescent="0.35">
      <c r="A405" s="325"/>
      <c r="B405" s="492" t="s">
        <v>60</v>
      </c>
      <c r="C405" s="206" t="s">
        <v>41</v>
      </c>
      <c r="D405" s="207" t="s">
        <v>45</v>
      </c>
      <c r="E405" s="207" t="s">
        <v>39</v>
      </c>
      <c r="F405" s="208" t="s">
        <v>535</v>
      </c>
      <c r="G405" s="28"/>
      <c r="H405" s="215">
        <f>H406+H407</f>
        <v>4067.6</v>
      </c>
      <c r="I405" s="215">
        <f>I406+I407</f>
        <v>4067.6</v>
      </c>
    </row>
    <row r="406" spans="1:9" ht="90" x14ac:dyDescent="0.35">
      <c r="A406" s="325"/>
      <c r="B406" s="492" t="s">
        <v>49</v>
      </c>
      <c r="C406" s="206" t="s">
        <v>41</v>
      </c>
      <c r="D406" s="207" t="s">
        <v>45</v>
      </c>
      <c r="E406" s="207" t="s">
        <v>39</v>
      </c>
      <c r="F406" s="208" t="s">
        <v>535</v>
      </c>
      <c r="G406" s="28" t="s">
        <v>50</v>
      </c>
      <c r="H406" s="215">
        <f>'прил10 (ведом 24-25)'!M41</f>
        <v>4000.1</v>
      </c>
      <c r="I406" s="215">
        <f>'прил10 (ведом 24-25)'!N41</f>
        <v>4000.1</v>
      </c>
    </row>
    <row r="407" spans="1:9" ht="36" x14ac:dyDescent="0.35">
      <c r="A407" s="325"/>
      <c r="B407" s="492" t="s">
        <v>55</v>
      </c>
      <c r="C407" s="207" t="s">
        <v>41</v>
      </c>
      <c r="D407" s="207" t="s">
        <v>45</v>
      </c>
      <c r="E407" s="207" t="s">
        <v>39</v>
      </c>
      <c r="F407" s="208" t="s">
        <v>535</v>
      </c>
      <c r="G407" s="28" t="s">
        <v>56</v>
      </c>
      <c r="H407" s="215">
        <f>'прил10 (ведом 24-25)'!M42</f>
        <v>67.5</v>
      </c>
      <c r="I407" s="215">
        <f>'прил10 (ведом 24-25)'!N42</f>
        <v>67.5</v>
      </c>
    </row>
    <row r="408" spans="1:9" ht="18" x14ac:dyDescent="0.35">
      <c r="A408" s="325"/>
      <c r="B408" s="493" t="s">
        <v>62</v>
      </c>
      <c r="C408" s="206" t="s">
        <v>41</v>
      </c>
      <c r="D408" s="207" t="s">
        <v>45</v>
      </c>
      <c r="E408" s="207" t="s">
        <v>63</v>
      </c>
      <c r="F408" s="208" t="s">
        <v>44</v>
      </c>
      <c r="G408" s="28"/>
      <c r="H408" s="215">
        <f>H409+H413+H411</f>
        <v>2510.3000000000002</v>
      </c>
      <c r="I408" s="215">
        <f>I409+I413+I411</f>
        <v>2510.3000000000002</v>
      </c>
    </row>
    <row r="409" spans="1:9" ht="36" x14ac:dyDescent="0.35">
      <c r="A409" s="325"/>
      <c r="B409" s="493" t="s">
        <v>47</v>
      </c>
      <c r="C409" s="206" t="s">
        <v>41</v>
      </c>
      <c r="D409" s="207" t="s">
        <v>45</v>
      </c>
      <c r="E409" s="207" t="s">
        <v>63</v>
      </c>
      <c r="F409" s="208" t="s">
        <v>48</v>
      </c>
      <c r="G409" s="28"/>
      <c r="H409" s="215">
        <f>H410</f>
        <v>4.5</v>
      </c>
      <c r="I409" s="215">
        <f>I410</f>
        <v>4.5</v>
      </c>
    </row>
    <row r="410" spans="1:9" ht="36" x14ac:dyDescent="0.35">
      <c r="A410" s="325"/>
      <c r="B410" s="493" t="s">
        <v>55</v>
      </c>
      <c r="C410" s="206" t="s">
        <v>41</v>
      </c>
      <c r="D410" s="207" t="s">
        <v>45</v>
      </c>
      <c r="E410" s="207" t="s">
        <v>63</v>
      </c>
      <c r="F410" s="208" t="s">
        <v>48</v>
      </c>
      <c r="G410" s="28" t="s">
        <v>56</v>
      </c>
      <c r="H410" s="215">
        <f>'прил10 (ведом 24-25)'!M45</f>
        <v>4.5</v>
      </c>
      <c r="I410" s="215">
        <f>'прил10 (ведом 24-25)'!N45</f>
        <v>4.5</v>
      </c>
    </row>
    <row r="411" spans="1:9" ht="36" x14ac:dyDescent="0.35">
      <c r="A411" s="325"/>
      <c r="B411" s="496" t="s">
        <v>529</v>
      </c>
      <c r="C411" s="689" t="s">
        <v>41</v>
      </c>
      <c r="D411" s="690" t="s">
        <v>45</v>
      </c>
      <c r="E411" s="690" t="s">
        <v>63</v>
      </c>
      <c r="F411" s="691" t="s">
        <v>528</v>
      </c>
      <c r="G411" s="10"/>
      <c r="H411" s="215">
        <f>H412</f>
        <v>91.9</v>
      </c>
      <c r="I411" s="215">
        <f>I412</f>
        <v>91.9</v>
      </c>
    </row>
    <row r="412" spans="1:9" ht="36" x14ac:dyDescent="0.35">
      <c r="A412" s="325"/>
      <c r="B412" s="496" t="s">
        <v>55</v>
      </c>
      <c r="C412" s="689" t="s">
        <v>41</v>
      </c>
      <c r="D412" s="690" t="s">
        <v>45</v>
      </c>
      <c r="E412" s="690" t="s">
        <v>63</v>
      </c>
      <c r="F412" s="691" t="s">
        <v>528</v>
      </c>
      <c r="G412" s="10" t="s">
        <v>56</v>
      </c>
      <c r="H412" s="215">
        <f>'прил10 (ведом 24-25)'!M155</f>
        <v>91.9</v>
      </c>
      <c r="I412" s="215">
        <f>'прил10 (ведом 24-25)'!N155</f>
        <v>91.9</v>
      </c>
    </row>
    <row r="413" spans="1:9" ht="54" x14ac:dyDescent="0.35">
      <c r="A413" s="325"/>
      <c r="B413" s="501" t="s">
        <v>378</v>
      </c>
      <c r="C413" s="206" t="s">
        <v>41</v>
      </c>
      <c r="D413" s="207" t="s">
        <v>45</v>
      </c>
      <c r="E413" s="207" t="s">
        <v>63</v>
      </c>
      <c r="F413" s="208" t="s">
        <v>377</v>
      </c>
      <c r="G413" s="28"/>
      <c r="H413" s="215">
        <f>H414+H415</f>
        <v>2413.9</v>
      </c>
      <c r="I413" s="215">
        <f>I414+I415</f>
        <v>2413.9</v>
      </c>
    </row>
    <row r="414" spans="1:9" ht="36" x14ac:dyDescent="0.35">
      <c r="A414" s="325"/>
      <c r="B414" s="493" t="s">
        <v>55</v>
      </c>
      <c r="C414" s="206" t="s">
        <v>41</v>
      </c>
      <c r="D414" s="207" t="s">
        <v>45</v>
      </c>
      <c r="E414" s="207" t="s">
        <v>63</v>
      </c>
      <c r="F414" s="208" t="s">
        <v>377</v>
      </c>
      <c r="G414" s="28" t="s">
        <v>56</v>
      </c>
      <c r="H414" s="215">
        <f>'прил10 (ведом 24-25)'!M67</f>
        <v>2187.6</v>
      </c>
      <c r="I414" s="215">
        <f>'прил10 (ведом 24-25)'!N67</f>
        <v>2187.6</v>
      </c>
    </row>
    <row r="415" spans="1:9" ht="18" x14ac:dyDescent="0.35">
      <c r="A415" s="325"/>
      <c r="B415" s="493" t="s">
        <v>57</v>
      </c>
      <c r="C415" s="206" t="s">
        <v>41</v>
      </c>
      <c r="D415" s="207" t="s">
        <v>45</v>
      </c>
      <c r="E415" s="207" t="s">
        <v>63</v>
      </c>
      <c r="F415" s="208" t="s">
        <v>377</v>
      </c>
      <c r="G415" s="28" t="s">
        <v>58</v>
      </c>
      <c r="H415" s="215">
        <f>'прил10 (ведом 24-25)'!M68</f>
        <v>226.3</v>
      </c>
      <c r="I415" s="215">
        <f>'прил10 (ведом 24-25)'!N68</f>
        <v>226.3</v>
      </c>
    </row>
    <row r="416" spans="1:9" ht="18" x14ac:dyDescent="0.35">
      <c r="A416" s="325"/>
      <c r="B416" s="493" t="s">
        <v>64</v>
      </c>
      <c r="C416" s="206" t="s">
        <v>41</v>
      </c>
      <c r="D416" s="207" t="s">
        <v>45</v>
      </c>
      <c r="E416" s="207" t="s">
        <v>52</v>
      </c>
      <c r="F416" s="208" t="s">
        <v>44</v>
      </c>
      <c r="G416" s="28"/>
      <c r="H416" s="215">
        <f>H417+H419</f>
        <v>3227.8</v>
      </c>
      <c r="I416" s="215">
        <f>I417+I419</f>
        <v>3227.8</v>
      </c>
    </row>
    <row r="417" spans="1:9" ht="54" x14ac:dyDescent="0.35">
      <c r="A417" s="325"/>
      <c r="B417" s="509" t="s">
        <v>350</v>
      </c>
      <c r="C417" s="206" t="s">
        <v>41</v>
      </c>
      <c r="D417" s="207" t="s">
        <v>45</v>
      </c>
      <c r="E417" s="207" t="s">
        <v>52</v>
      </c>
      <c r="F417" s="208" t="s">
        <v>105</v>
      </c>
      <c r="G417" s="28"/>
      <c r="H417" s="215">
        <f>H418</f>
        <v>1138.8</v>
      </c>
      <c r="I417" s="215">
        <f>I418</f>
        <v>1138.8</v>
      </c>
    </row>
    <row r="418" spans="1:9" ht="36" x14ac:dyDescent="0.35">
      <c r="A418" s="325"/>
      <c r="B418" s="493" t="s">
        <v>55</v>
      </c>
      <c r="C418" s="206" t="s">
        <v>41</v>
      </c>
      <c r="D418" s="207" t="s">
        <v>45</v>
      </c>
      <c r="E418" s="207" t="s">
        <v>52</v>
      </c>
      <c r="F418" s="208" t="s">
        <v>105</v>
      </c>
      <c r="G418" s="28" t="s">
        <v>56</v>
      </c>
      <c r="H418" s="215">
        <f>'прил10 (ведом 24-25)'!M71</f>
        <v>1138.8</v>
      </c>
      <c r="I418" s="215">
        <f>'прил10 (ведом 24-25)'!N71</f>
        <v>1138.8</v>
      </c>
    </row>
    <row r="419" spans="1:9" ht="54" x14ac:dyDescent="0.35">
      <c r="A419" s="325"/>
      <c r="B419" s="493" t="s">
        <v>352</v>
      </c>
      <c r="C419" s="206" t="s">
        <v>41</v>
      </c>
      <c r="D419" s="207" t="s">
        <v>45</v>
      </c>
      <c r="E419" s="207" t="s">
        <v>52</v>
      </c>
      <c r="F419" s="208" t="s">
        <v>351</v>
      </c>
      <c r="G419" s="28"/>
      <c r="H419" s="215">
        <f>'прил10 (ведом 24-25)'!M72</f>
        <v>2089</v>
      </c>
      <c r="I419" s="215">
        <f>'прил10 (ведом 24-25)'!N72</f>
        <v>2089</v>
      </c>
    </row>
    <row r="420" spans="1:9" ht="36" x14ac:dyDescent="0.35">
      <c r="A420" s="325"/>
      <c r="B420" s="493" t="s">
        <v>55</v>
      </c>
      <c r="C420" s="206" t="s">
        <v>41</v>
      </c>
      <c r="D420" s="207" t="s">
        <v>45</v>
      </c>
      <c r="E420" s="207" t="s">
        <v>52</v>
      </c>
      <c r="F420" s="208" t="s">
        <v>351</v>
      </c>
      <c r="G420" s="28" t="s">
        <v>56</v>
      </c>
      <c r="H420" s="215">
        <f>'прил10 (ведом 24-25)'!M73</f>
        <v>2089</v>
      </c>
      <c r="I420" s="215">
        <f>'прил10 (ведом 24-25)'!N73</f>
        <v>2089</v>
      </c>
    </row>
    <row r="421" spans="1:9" ht="72" x14ac:dyDescent="0.35">
      <c r="A421" s="350"/>
      <c r="B421" s="515" t="s">
        <v>298</v>
      </c>
      <c r="C421" s="343" t="s">
        <v>41</v>
      </c>
      <c r="D421" s="351" t="s">
        <v>45</v>
      </c>
      <c r="E421" s="351" t="s">
        <v>81</v>
      </c>
      <c r="F421" s="361" t="s">
        <v>44</v>
      </c>
      <c r="G421" s="362"/>
      <c r="H421" s="215">
        <f>H422</f>
        <v>6361.2</v>
      </c>
      <c r="I421" s="215">
        <f>I422</f>
        <v>6365.0999999999995</v>
      </c>
    </row>
    <row r="422" spans="1:9" ht="36" x14ac:dyDescent="0.35">
      <c r="A422" s="350"/>
      <c r="B422" s="492" t="s">
        <v>461</v>
      </c>
      <c r="C422" s="343" t="s">
        <v>41</v>
      </c>
      <c r="D422" s="351" t="s">
        <v>45</v>
      </c>
      <c r="E422" s="351" t="s">
        <v>81</v>
      </c>
      <c r="F422" s="361" t="s">
        <v>91</v>
      </c>
      <c r="G422" s="362"/>
      <c r="H422" s="215">
        <f>SUM(H423:H424)</f>
        <v>6361.2</v>
      </c>
      <c r="I422" s="215">
        <f>SUM(I423:I424)</f>
        <v>6365.0999999999995</v>
      </c>
    </row>
    <row r="423" spans="1:9" ht="90" x14ac:dyDescent="0.35">
      <c r="A423" s="350"/>
      <c r="B423" s="515" t="s">
        <v>49</v>
      </c>
      <c r="C423" s="343" t="s">
        <v>41</v>
      </c>
      <c r="D423" s="351" t="s">
        <v>45</v>
      </c>
      <c r="E423" s="351" t="s">
        <v>81</v>
      </c>
      <c r="F423" s="361" t="s">
        <v>91</v>
      </c>
      <c r="G423" s="362" t="s">
        <v>50</v>
      </c>
      <c r="H423" s="215">
        <f>'прил10 (ведом 24-25)'!M248</f>
        <v>5898.7</v>
      </c>
      <c r="I423" s="215">
        <f>'прил10 (ведом 24-25)'!N248</f>
        <v>5898.7</v>
      </c>
    </row>
    <row r="424" spans="1:9" ht="36" x14ac:dyDescent="0.35">
      <c r="A424" s="350"/>
      <c r="B424" s="493" t="s">
        <v>55</v>
      </c>
      <c r="C424" s="343" t="s">
        <v>41</v>
      </c>
      <c r="D424" s="351" t="s">
        <v>45</v>
      </c>
      <c r="E424" s="351" t="s">
        <v>81</v>
      </c>
      <c r="F424" s="361" t="s">
        <v>91</v>
      </c>
      <c r="G424" s="362" t="s">
        <v>56</v>
      </c>
      <c r="H424" s="215">
        <f>'прил10 (ведом 24-25)'!M249</f>
        <v>462.5</v>
      </c>
      <c r="I424" s="215">
        <f>'прил10 (ведом 24-25)'!N249</f>
        <v>466.4</v>
      </c>
    </row>
    <row r="425" spans="1:9" ht="36" x14ac:dyDescent="0.35">
      <c r="A425" s="350"/>
      <c r="B425" s="496" t="s">
        <v>329</v>
      </c>
      <c r="C425" s="689" t="s">
        <v>41</v>
      </c>
      <c r="D425" s="690" t="s">
        <v>45</v>
      </c>
      <c r="E425" s="690" t="s">
        <v>88</v>
      </c>
      <c r="F425" s="691" t="s">
        <v>44</v>
      </c>
      <c r="G425" s="10"/>
      <c r="H425" s="215">
        <f>H426</f>
        <v>1200</v>
      </c>
      <c r="I425" s="215">
        <f>I426</f>
        <v>0</v>
      </c>
    </row>
    <row r="426" spans="1:9" ht="54" x14ac:dyDescent="0.35">
      <c r="A426" s="350"/>
      <c r="B426" s="496" t="s">
        <v>711</v>
      </c>
      <c r="C426" s="689" t="s">
        <v>41</v>
      </c>
      <c r="D426" s="690" t="s">
        <v>45</v>
      </c>
      <c r="E426" s="690" t="s">
        <v>88</v>
      </c>
      <c r="F426" s="691" t="s">
        <v>710</v>
      </c>
      <c r="G426" s="10"/>
      <c r="H426" s="215">
        <f>H427</f>
        <v>1200</v>
      </c>
      <c r="I426" s="215">
        <f>I427</f>
        <v>0</v>
      </c>
    </row>
    <row r="427" spans="1:9" ht="36" x14ac:dyDescent="0.35">
      <c r="A427" s="350"/>
      <c r="B427" s="496" t="s">
        <v>55</v>
      </c>
      <c r="C427" s="689" t="s">
        <v>41</v>
      </c>
      <c r="D427" s="690" t="s">
        <v>45</v>
      </c>
      <c r="E427" s="690" t="s">
        <v>88</v>
      </c>
      <c r="F427" s="691" t="s">
        <v>710</v>
      </c>
      <c r="G427" s="10" t="s">
        <v>56</v>
      </c>
      <c r="H427" s="215">
        <f>'прил10 (ведом 24-25)'!M141</f>
        <v>1200</v>
      </c>
      <c r="I427" s="215">
        <f>'прил10 (ведом 24-25)'!N141</f>
        <v>0</v>
      </c>
    </row>
    <row r="428" spans="1:9" ht="90" x14ac:dyDescent="0.35">
      <c r="A428" s="350"/>
      <c r="B428" s="496" t="s">
        <v>590</v>
      </c>
      <c r="C428" s="689" t="s">
        <v>41</v>
      </c>
      <c r="D428" s="690" t="s">
        <v>45</v>
      </c>
      <c r="E428" s="690" t="s">
        <v>580</v>
      </c>
      <c r="F428" s="691" t="s">
        <v>44</v>
      </c>
      <c r="G428" s="10"/>
      <c r="H428" s="215">
        <f>H429</f>
        <v>30488.2</v>
      </c>
      <c r="I428" s="215">
        <f>I429</f>
        <v>30488.2</v>
      </c>
    </row>
    <row r="429" spans="1:9" ht="36" x14ac:dyDescent="0.35">
      <c r="A429" s="350"/>
      <c r="B429" s="529" t="s">
        <v>461</v>
      </c>
      <c r="C429" s="689" t="s">
        <v>41</v>
      </c>
      <c r="D429" s="690" t="s">
        <v>45</v>
      </c>
      <c r="E429" s="690" t="s">
        <v>580</v>
      </c>
      <c r="F429" s="691" t="s">
        <v>91</v>
      </c>
      <c r="G429" s="10"/>
      <c r="H429" s="215">
        <f>H430+H431</f>
        <v>30488.2</v>
      </c>
      <c r="I429" s="215">
        <f>I430+I431</f>
        <v>30488.2</v>
      </c>
    </row>
    <row r="430" spans="1:9" ht="90" x14ac:dyDescent="0.35">
      <c r="A430" s="350"/>
      <c r="B430" s="496" t="s">
        <v>49</v>
      </c>
      <c r="C430" s="689" t="s">
        <v>41</v>
      </c>
      <c r="D430" s="690" t="s">
        <v>45</v>
      </c>
      <c r="E430" s="690" t="s">
        <v>580</v>
      </c>
      <c r="F430" s="691" t="s">
        <v>91</v>
      </c>
      <c r="G430" s="10" t="s">
        <v>50</v>
      </c>
      <c r="H430" s="215">
        <f>'прил10 (ведом 24-25)'!M76</f>
        <v>23999.5</v>
      </c>
      <c r="I430" s="215">
        <f>'прил10 (ведом 24-25)'!N76</f>
        <v>23999.5</v>
      </c>
    </row>
    <row r="431" spans="1:9" ht="36" x14ac:dyDescent="0.35">
      <c r="A431" s="350"/>
      <c r="B431" s="496" t="s">
        <v>55</v>
      </c>
      <c r="C431" s="689" t="s">
        <v>41</v>
      </c>
      <c r="D431" s="690" t="s">
        <v>45</v>
      </c>
      <c r="E431" s="690" t="s">
        <v>580</v>
      </c>
      <c r="F431" s="691" t="s">
        <v>91</v>
      </c>
      <c r="G431" s="10" t="s">
        <v>56</v>
      </c>
      <c r="H431" s="215">
        <f>'прил10 (ведом 24-25)'!M77</f>
        <v>6488.7</v>
      </c>
      <c r="I431" s="215">
        <f>'прил10 (ведом 24-25)'!N77</f>
        <v>6488.7</v>
      </c>
    </row>
    <row r="432" spans="1:9" ht="18" x14ac:dyDescent="0.35">
      <c r="A432" s="350"/>
      <c r="B432" s="493"/>
      <c r="C432" s="207"/>
      <c r="D432" s="207"/>
      <c r="E432" s="207"/>
      <c r="F432" s="208"/>
      <c r="G432" s="28"/>
      <c r="H432" s="215"/>
      <c r="I432" s="215"/>
    </row>
    <row r="433" spans="1:9" ht="52.2" x14ac:dyDescent="0.35">
      <c r="A433" s="340">
        <v>16</v>
      </c>
      <c r="B433" s="514" t="s">
        <v>233</v>
      </c>
      <c r="C433" s="341" t="s">
        <v>234</v>
      </c>
      <c r="D433" s="341" t="s">
        <v>42</v>
      </c>
      <c r="E433" s="341" t="s">
        <v>43</v>
      </c>
      <c r="F433" s="342" t="s">
        <v>44</v>
      </c>
      <c r="G433" s="28"/>
      <c r="H433" s="252">
        <f t="shared" ref="H433:I436" si="10">H434</f>
        <v>53.4</v>
      </c>
      <c r="I433" s="252">
        <f t="shared" si="10"/>
        <v>53.4</v>
      </c>
    </row>
    <row r="434" spans="1:9" ht="18" x14ac:dyDescent="0.35">
      <c r="A434" s="350"/>
      <c r="B434" s="493" t="s">
        <v>337</v>
      </c>
      <c r="C434" s="206" t="s">
        <v>234</v>
      </c>
      <c r="D434" s="207" t="s">
        <v>45</v>
      </c>
      <c r="E434" s="207" t="s">
        <v>43</v>
      </c>
      <c r="F434" s="208" t="s">
        <v>44</v>
      </c>
      <c r="G434" s="28"/>
      <c r="H434" s="215">
        <f t="shared" si="10"/>
        <v>53.4</v>
      </c>
      <c r="I434" s="215">
        <f t="shared" si="10"/>
        <v>53.4</v>
      </c>
    </row>
    <row r="435" spans="1:9" ht="144" x14ac:dyDescent="0.35">
      <c r="A435" s="350"/>
      <c r="B435" s="493" t="s">
        <v>726</v>
      </c>
      <c r="C435" s="206" t="s">
        <v>234</v>
      </c>
      <c r="D435" s="207" t="s">
        <v>45</v>
      </c>
      <c r="E435" s="207" t="s">
        <v>37</v>
      </c>
      <c r="F435" s="208" t="s">
        <v>44</v>
      </c>
      <c r="G435" s="28"/>
      <c r="H435" s="215">
        <f t="shared" si="10"/>
        <v>53.4</v>
      </c>
      <c r="I435" s="215">
        <f t="shared" si="10"/>
        <v>53.4</v>
      </c>
    </row>
    <row r="436" spans="1:9" ht="36" x14ac:dyDescent="0.35">
      <c r="A436" s="350"/>
      <c r="B436" s="493" t="s">
        <v>235</v>
      </c>
      <c r="C436" s="206" t="s">
        <v>234</v>
      </c>
      <c r="D436" s="207" t="s">
        <v>45</v>
      </c>
      <c r="E436" s="207" t="s">
        <v>37</v>
      </c>
      <c r="F436" s="208" t="s">
        <v>279</v>
      </c>
      <c r="G436" s="28"/>
      <c r="H436" s="215">
        <f t="shared" si="10"/>
        <v>53.4</v>
      </c>
      <c r="I436" s="215">
        <f t="shared" si="10"/>
        <v>53.4</v>
      </c>
    </row>
    <row r="437" spans="1:9" ht="36" x14ac:dyDescent="0.35">
      <c r="A437" s="350"/>
      <c r="B437" s="493" t="s">
        <v>76</v>
      </c>
      <c r="C437" s="206" t="s">
        <v>234</v>
      </c>
      <c r="D437" s="207" t="s">
        <v>45</v>
      </c>
      <c r="E437" s="207" t="s">
        <v>37</v>
      </c>
      <c r="F437" s="208" t="s">
        <v>279</v>
      </c>
      <c r="G437" s="28" t="s">
        <v>77</v>
      </c>
      <c r="H437" s="215">
        <f>'прил10 (ведом 24-25)'!M320</f>
        <v>53.4</v>
      </c>
      <c r="I437" s="215">
        <f>'прил10 (ведом 24-25)'!N320</f>
        <v>53.4</v>
      </c>
    </row>
    <row r="438" spans="1:9" ht="18" x14ac:dyDescent="0.35">
      <c r="A438" s="350"/>
      <c r="B438" s="515"/>
      <c r="C438" s="344"/>
      <c r="D438" s="351"/>
      <c r="E438" s="351"/>
      <c r="F438" s="361"/>
      <c r="G438" s="362"/>
      <c r="H438" s="215"/>
      <c r="I438" s="215"/>
    </row>
    <row r="439" spans="1:9" ht="34.799999999999997" x14ac:dyDescent="0.3">
      <c r="A439" s="340">
        <v>17</v>
      </c>
      <c r="B439" s="530" t="s">
        <v>130</v>
      </c>
      <c r="C439" s="341" t="s">
        <v>131</v>
      </c>
      <c r="D439" s="341" t="s">
        <v>42</v>
      </c>
      <c r="E439" s="341" t="s">
        <v>43</v>
      </c>
      <c r="F439" s="341" t="s">
        <v>44</v>
      </c>
      <c r="G439" s="334"/>
      <c r="H439" s="252">
        <f>H440</f>
        <v>6414.2</v>
      </c>
      <c r="I439" s="252">
        <f>I440</f>
        <v>6414.3</v>
      </c>
    </row>
    <row r="440" spans="1:9" ht="36" x14ac:dyDescent="0.35">
      <c r="A440" s="325"/>
      <c r="B440" s="531" t="s">
        <v>132</v>
      </c>
      <c r="C440" s="206" t="s">
        <v>131</v>
      </c>
      <c r="D440" s="207" t="s">
        <v>45</v>
      </c>
      <c r="E440" s="207" t="s">
        <v>43</v>
      </c>
      <c r="F440" s="208" t="s">
        <v>44</v>
      </c>
      <c r="G440" s="28"/>
      <c r="H440" s="215">
        <f>H441</f>
        <v>6414.2</v>
      </c>
      <c r="I440" s="215">
        <f>I441</f>
        <v>6414.3</v>
      </c>
    </row>
    <row r="441" spans="1:9" ht="36" x14ac:dyDescent="0.35">
      <c r="A441" s="325"/>
      <c r="B441" s="492" t="s">
        <v>47</v>
      </c>
      <c r="C441" s="206" t="s">
        <v>131</v>
      </c>
      <c r="D441" s="207" t="s">
        <v>45</v>
      </c>
      <c r="E441" s="207" t="s">
        <v>43</v>
      </c>
      <c r="F441" s="208" t="s">
        <v>48</v>
      </c>
      <c r="G441" s="28"/>
      <c r="H441" s="215">
        <f>H442+H443+H444</f>
        <v>6414.2</v>
      </c>
      <c r="I441" s="215">
        <f>I442+I443+I444</f>
        <v>6414.3</v>
      </c>
    </row>
    <row r="442" spans="1:9" ht="90" x14ac:dyDescent="0.35">
      <c r="A442" s="325"/>
      <c r="B442" s="508" t="s">
        <v>49</v>
      </c>
      <c r="C442" s="206" t="s">
        <v>131</v>
      </c>
      <c r="D442" s="207" t="s">
        <v>45</v>
      </c>
      <c r="E442" s="207" t="s">
        <v>43</v>
      </c>
      <c r="F442" s="208" t="s">
        <v>48</v>
      </c>
      <c r="G442" s="28" t="s">
        <v>50</v>
      </c>
      <c r="H442" s="215">
        <f>'прил10 (ведом 24-25)'!M210</f>
        <v>6119.5</v>
      </c>
      <c r="I442" s="215">
        <f>'прил10 (ведом 24-25)'!N210</f>
        <v>6119.5</v>
      </c>
    </row>
    <row r="443" spans="1:9" ht="36" x14ac:dyDescent="0.35">
      <c r="A443" s="325"/>
      <c r="B443" s="493" t="s">
        <v>55</v>
      </c>
      <c r="C443" s="206" t="s">
        <v>131</v>
      </c>
      <c r="D443" s="207" t="s">
        <v>45</v>
      </c>
      <c r="E443" s="207" t="s">
        <v>43</v>
      </c>
      <c r="F443" s="208" t="s">
        <v>48</v>
      </c>
      <c r="G443" s="28" t="s">
        <v>56</v>
      </c>
      <c r="H443" s="215">
        <f>'прил10 (ведом 24-25)'!M211</f>
        <v>284.7</v>
      </c>
      <c r="I443" s="215">
        <f>'прил10 (ведом 24-25)'!N211</f>
        <v>284.8</v>
      </c>
    </row>
    <row r="444" spans="1:9" ht="18" x14ac:dyDescent="0.35">
      <c r="A444" s="325"/>
      <c r="B444" s="493" t="s">
        <v>57</v>
      </c>
      <c r="C444" s="206" t="s">
        <v>131</v>
      </c>
      <c r="D444" s="207" t="s">
        <v>45</v>
      </c>
      <c r="E444" s="207" t="s">
        <v>43</v>
      </c>
      <c r="F444" s="208" t="s">
        <v>48</v>
      </c>
      <c r="G444" s="28" t="s">
        <v>58</v>
      </c>
      <c r="H444" s="215">
        <f>'прил10 (ведом 24-25)'!M212</f>
        <v>10</v>
      </c>
      <c r="I444" s="215">
        <f>'прил10 (ведом 24-25)'!N212</f>
        <v>10</v>
      </c>
    </row>
    <row r="445" spans="1:9" ht="18" x14ac:dyDescent="0.35">
      <c r="A445" s="325"/>
      <c r="B445" s="499"/>
      <c r="C445" s="683"/>
      <c r="D445" s="683"/>
      <c r="E445" s="683"/>
      <c r="F445" s="683"/>
      <c r="G445" s="236"/>
      <c r="H445" s="215"/>
      <c r="I445" s="215"/>
    </row>
    <row r="446" spans="1:9" s="335" customFormat="1" ht="52.2" x14ac:dyDescent="0.3">
      <c r="A446" s="340">
        <v>18</v>
      </c>
      <c r="B446" s="530" t="s">
        <v>447</v>
      </c>
      <c r="C446" s="341" t="s">
        <v>68</v>
      </c>
      <c r="D446" s="341" t="s">
        <v>42</v>
      </c>
      <c r="E446" s="341" t="s">
        <v>43</v>
      </c>
      <c r="F446" s="341" t="s">
        <v>44</v>
      </c>
      <c r="G446" s="334"/>
      <c r="H446" s="252">
        <f t="shared" ref="H446:I448" si="11">H447</f>
        <v>28333.8</v>
      </c>
      <c r="I446" s="252">
        <f t="shared" si="11"/>
        <v>35000</v>
      </c>
    </row>
    <row r="447" spans="1:9" ht="18" x14ac:dyDescent="0.35">
      <c r="A447" s="325"/>
      <c r="B447" s="508" t="s">
        <v>444</v>
      </c>
      <c r="C447" s="206" t="s">
        <v>68</v>
      </c>
      <c r="D447" s="207" t="s">
        <v>45</v>
      </c>
      <c r="E447" s="207" t="s">
        <v>43</v>
      </c>
      <c r="F447" s="208" t="s">
        <v>44</v>
      </c>
      <c r="G447" s="28"/>
      <c r="H447" s="215">
        <f>H448</f>
        <v>28333.8</v>
      </c>
      <c r="I447" s="215">
        <f>I448</f>
        <v>35000</v>
      </c>
    </row>
    <row r="448" spans="1:9" ht="36" x14ac:dyDescent="0.35">
      <c r="A448" s="325"/>
      <c r="B448" s="492" t="s">
        <v>442</v>
      </c>
      <c r="C448" s="206" t="s">
        <v>68</v>
      </c>
      <c r="D448" s="207" t="s">
        <v>45</v>
      </c>
      <c r="E448" s="207" t="s">
        <v>43</v>
      </c>
      <c r="F448" s="208" t="s">
        <v>69</v>
      </c>
      <c r="G448" s="28"/>
      <c r="H448" s="215">
        <f t="shared" si="11"/>
        <v>28333.8</v>
      </c>
      <c r="I448" s="215">
        <f t="shared" si="11"/>
        <v>35000</v>
      </c>
    </row>
    <row r="449" spans="1:9" ht="18" x14ac:dyDescent="0.35">
      <c r="A449" s="325"/>
      <c r="B449" s="492" t="s">
        <v>57</v>
      </c>
      <c r="C449" s="206" t="s">
        <v>68</v>
      </c>
      <c r="D449" s="207" t="s">
        <v>45</v>
      </c>
      <c r="E449" s="207" t="s">
        <v>43</v>
      </c>
      <c r="F449" s="208" t="s">
        <v>69</v>
      </c>
      <c r="G449" s="28" t="s">
        <v>58</v>
      </c>
      <c r="H449" s="215">
        <f>'прил10 (ведом 24-25)'!M56</f>
        <v>28333.8</v>
      </c>
      <c r="I449" s="215">
        <f>'прил10 (ведом 24-25)'!N56</f>
        <v>35000</v>
      </c>
    </row>
    <row r="450" spans="1:9" ht="18" x14ac:dyDescent="0.35">
      <c r="A450" s="325"/>
      <c r="B450" s="492"/>
      <c r="C450" s="206"/>
      <c r="D450" s="207"/>
      <c r="E450" s="207"/>
      <c r="F450" s="208"/>
      <c r="G450" s="28"/>
      <c r="H450" s="215"/>
      <c r="I450" s="215"/>
    </row>
    <row r="451" spans="1:9" s="335" customFormat="1" ht="17.399999999999999" x14ac:dyDescent="0.3">
      <c r="A451" s="40">
        <v>19</v>
      </c>
      <c r="B451" s="542" t="s">
        <v>360</v>
      </c>
      <c r="C451" s="384"/>
      <c r="D451" s="385"/>
      <c r="E451" s="385"/>
      <c r="F451" s="386"/>
      <c r="G451" s="148"/>
      <c r="H451" s="252">
        <f>H452</f>
        <v>34788</v>
      </c>
      <c r="I451" s="252">
        <f>I452</f>
        <v>45416</v>
      </c>
    </row>
    <row r="452" spans="1:9" ht="18" x14ac:dyDescent="0.35">
      <c r="A452" s="38"/>
      <c r="B452" s="500" t="s">
        <v>360</v>
      </c>
      <c r="C452" s="206"/>
      <c r="D452" s="207"/>
      <c r="E452" s="207"/>
      <c r="F452" s="208"/>
      <c r="G452" s="28"/>
      <c r="H452" s="387">
        <f>'прил10 (ведом 24-25)'!M602</f>
        <v>34788</v>
      </c>
      <c r="I452" s="387">
        <f>'прил10 (ведом 24-25)'!N602</f>
        <v>45416</v>
      </c>
    </row>
    <row r="453" spans="1:9" ht="18" x14ac:dyDescent="0.35">
      <c r="A453" s="68"/>
      <c r="B453" s="388"/>
      <c r="C453" s="74"/>
      <c r="D453" s="74"/>
      <c r="E453" s="74"/>
      <c r="F453" s="74"/>
      <c r="G453" s="74"/>
      <c r="H453" s="389"/>
      <c r="I453" s="389"/>
    </row>
    <row r="454" spans="1:9" ht="18" x14ac:dyDescent="0.35">
      <c r="A454" s="68"/>
      <c r="B454" s="388"/>
      <c r="C454" s="74"/>
      <c r="D454" s="74"/>
      <c r="E454" s="74"/>
      <c r="F454" s="74"/>
      <c r="G454" s="74"/>
      <c r="H454" s="389"/>
      <c r="I454" s="389"/>
    </row>
    <row r="455" spans="1:9" ht="17.399999999999999" x14ac:dyDescent="0.3">
      <c r="A455" s="321"/>
      <c r="B455" s="41"/>
      <c r="C455" s="42"/>
      <c r="D455" s="42"/>
      <c r="E455" s="42"/>
      <c r="F455" s="42"/>
      <c r="G455" s="43"/>
    </row>
    <row r="456" spans="1:9" ht="18" x14ac:dyDescent="0.35">
      <c r="A456" s="666" t="s">
        <v>373</v>
      </c>
      <c r="B456" s="41"/>
      <c r="C456" s="42"/>
      <c r="D456" s="42"/>
      <c r="E456" s="42"/>
      <c r="F456" s="42"/>
      <c r="G456" s="43"/>
    </row>
    <row r="457" spans="1:9" ht="18" x14ac:dyDescent="0.35">
      <c r="A457" s="666" t="s">
        <v>374</v>
      </c>
      <c r="B457" s="41"/>
      <c r="C457" s="42"/>
      <c r="D457" s="42"/>
      <c r="E457" s="42"/>
      <c r="F457" s="42"/>
      <c r="G457" s="43"/>
    </row>
    <row r="458" spans="1:9" ht="18" x14ac:dyDescent="0.35">
      <c r="A458" s="667" t="s">
        <v>375</v>
      </c>
      <c r="B458" s="41"/>
      <c r="C458" s="45"/>
      <c r="D458" s="42"/>
      <c r="E458" s="42"/>
      <c r="F458" s="42"/>
      <c r="G458" s="45"/>
      <c r="H458" s="45"/>
      <c r="I458" s="668" t="s">
        <v>386</v>
      </c>
    </row>
    <row r="459" spans="1:9" ht="18" x14ac:dyDescent="0.35">
      <c r="A459" s="681"/>
      <c r="B459" s="41"/>
      <c r="C459" s="42"/>
      <c r="D459" s="42"/>
      <c r="E459" s="42"/>
      <c r="F459" s="42"/>
    </row>
    <row r="460" spans="1:9" x14ac:dyDescent="0.3">
      <c r="A460" s="321"/>
      <c r="B460" s="41"/>
      <c r="C460" s="42"/>
      <c r="D460" s="42"/>
      <c r="E460" s="42"/>
      <c r="F460" s="42"/>
    </row>
    <row r="461" spans="1:9" x14ac:dyDescent="0.3">
      <c r="A461" s="321"/>
      <c r="B461" s="41"/>
      <c r="C461" s="42"/>
      <c r="D461" s="42"/>
      <c r="E461" s="42"/>
      <c r="F461" s="42"/>
    </row>
    <row r="462" spans="1:9" ht="17.399999999999999" x14ac:dyDescent="0.3">
      <c r="A462" s="321"/>
      <c r="B462" s="41"/>
      <c r="C462" s="42"/>
      <c r="D462" s="42"/>
      <c r="E462" s="42"/>
      <c r="F462" s="42"/>
      <c r="G462" s="43"/>
    </row>
    <row r="463" spans="1:9" hidden="1" x14ac:dyDescent="0.3">
      <c r="A463" s="319">
        <v>1</v>
      </c>
      <c r="B463" s="391" t="s">
        <v>237</v>
      </c>
      <c r="H463" s="320">
        <f>H386+H358+H349+H300+H276+H257+H232+H209+H166+H125+H15+H380+H364+H374+H433</f>
        <v>1820033.9999999998</v>
      </c>
      <c r="I463" s="320">
        <f>I386+I358+I349+I300+I276+I257+I232+I209+I166+I125+I15+I380+I364+I374+I433</f>
        <v>1794621.9000000004</v>
      </c>
    </row>
    <row r="464" spans="1:9" hidden="1" x14ac:dyDescent="0.3"/>
    <row r="465" spans="1:9" hidden="1" x14ac:dyDescent="0.3">
      <c r="H465" s="320">
        <f>(H463/H14)*100</f>
        <v>92.915039003422123</v>
      </c>
      <c r="I465" s="320">
        <f>(I463/I14)*100</f>
        <v>95.093130360249475</v>
      </c>
    </row>
    <row r="466" spans="1:9" hidden="1" x14ac:dyDescent="0.3">
      <c r="H466" s="320"/>
      <c r="I466" s="320"/>
    </row>
    <row r="467" spans="1:9" hidden="1" x14ac:dyDescent="0.3">
      <c r="A467" s="319">
        <v>1</v>
      </c>
      <c r="B467" s="391" t="s">
        <v>238</v>
      </c>
      <c r="H467" s="320">
        <f>H446+H439</f>
        <v>34748</v>
      </c>
      <c r="I467" s="320">
        <f>I446+I439</f>
        <v>41414.300000000003</v>
      </c>
    </row>
    <row r="468" spans="1:9" hidden="1" x14ac:dyDescent="0.3">
      <c r="H468" s="320">
        <f>(H467/H472)*100</f>
        <v>1.8389369009880556</v>
      </c>
      <c r="I468" s="320">
        <f>(I467/I472)*100</f>
        <v>2.2011879972289488</v>
      </c>
    </row>
    <row r="469" spans="1:9" hidden="1" x14ac:dyDescent="0.3">
      <c r="H469" s="320"/>
      <c r="I469" s="320"/>
    </row>
    <row r="470" spans="1:9" hidden="1" x14ac:dyDescent="0.3">
      <c r="B470" s="391" t="s">
        <v>362</v>
      </c>
      <c r="H470" s="320">
        <f>H451</f>
        <v>34788</v>
      </c>
      <c r="I470" s="320">
        <f>I451</f>
        <v>45416</v>
      </c>
    </row>
    <row r="471" spans="1:9" hidden="1" x14ac:dyDescent="0.3">
      <c r="H471" s="320">
        <f>(H470/H472)*100</f>
        <v>1.8410537847235089</v>
      </c>
      <c r="I471" s="320">
        <f>(I470/I472)*100</f>
        <v>2.4138800868818242</v>
      </c>
    </row>
    <row r="472" spans="1:9" hidden="1" x14ac:dyDescent="0.3">
      <c r="B472" s="391" t="s">
        <v>202</v>
      </c>
      <c r="H472" s="320">
        <f>H467+H463+H470</f>
        <v>1889569.9999999998</v>
      </c>
      <c r="I472" s="320">
        <f>I467+I463+I470</f>
        <v>1881452.2000000004</v>
      </c>
    </row>
  </sheetData>
  <autoFilter ref="A1:I472"/>
  <mergeCells count="7">
    <mergeCell ref="A8:I8"/>
    <mergeCell ref="C13:F13"/>
    <mergeCell ref="H11:I11"/>
    <mergeCell ref="A11:A12"/>
    <mergeCell ref="B11:B12"/>
    <mergeCell ref="C11:F12"/>
    <mergeCell ref="G11:G12"/>
  </mergeCells>
  <printOptions horizontalCentered="1"/>
  <pageMargins left="1.1811023622047245" right="0.39370078740157483" top="0.78740157480314965" bottom="0.78740157480314965" header="0" footer="0"/>
  <pageSetup paperSize="9" scale="70" fitToHeight="0" orientation="portrait" blackAndWhite="1" r:id="rId1"/>
  <headerFooter differentFirst="1"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A1:P1007"/>
  <sheetViews>
    <sheetView zoomScale="80" zoomScaleNormal="80" workbookViewId="0">
      <selection activeCell="P12" sqref="P12"/>
    </sheetView>
  </sheetViews>
  <sheetFormatPr defaultColWidth="8.88671875" defaultRowHeight="14.4" x14ac:dyDescent="0.3"/>
  <cols>
    <col min="1" max="1" width="4.6640625" style="1" customWidth="1"/>
    <col min="2" max="2" width="54.44140625" style="487" customWidth="1"/>
    <col min="3" max="3" width="10" style="1" customWidth="1"/>
    <col min="4" max="4" width="3.6640625" style="1" customWidth="1"/>
    <col min="5" max="5" width="4" style="1" customWidth="1"/>
    <col min="6" max="6" width="3.33203125" style="1" customWidth="1"/>
    <col min="7" max="7" width="2.44140625" style="1" customWidth="1"/>
    <col min="8" max="8" width="3.33203125" style="1" customWidth="1"/>
    <col min="9" max="9" width="7.6640625" style="1" customWidth="1"/>
    <col min="10" max="10" width="5" style="1" customWidth="1"/>
    <col min="11" max="11" width="17.33203125" style="1" hidden="1" customWidth="1"/>
    <col min="12" max="12" width="16.6640625" style="1" customWidth="1"/>
    <col min="13" max="13" width="14.33203125" style="30" customWidth="1"/>
    <col min="14" max="14" width="10.109375" style="1" customWidth="1"/>
    <col min="15" max="15" width="11.6640625" style="1" customWidth="1"/>
    <col min="16" max="16" width="9.33203125" style="1" bestFit="1" customWidth="1"/>
    <col min="17" max="16384" width="8.88671875" style="1"/>
  </cols>
  <sheetData>
    <row r="1" spans="1:14" ht="18" x14ac:dyDescent="0.35">
      <c r="M1" s="153" t="s">
        <v>510</v>
      </c>
    </row>
    <row r="2" spans="1:14" ht="18" customHeight="1" x14ac:dyDescent="0.35">
      <c r="M2" s="153" t="s">
        <v>788</v>
      </c>
    </row>
    <row r="3" spans="1:14" ht="18" customHeight="1" x14ac:dyDescent="0.35">
      <c r="M3" s="153"/>
    </row>
    <row r="4" spans="1:14" s="35" customFormat="1" ht="19.95" customHeight="1" x14ac:dyDescent="0.35">
      <c r="M4" s="609" t="s">
        <v>513</v>
      </c>
    </row>
    <row r="5" spans="1:14" s="35" customFormat="1" ht="18.75" customHeight="1" x14ac:dyDescent="0.35">
      <c r="M5" s="609" t="s">
        <v>654</v>
      </c>
    </row>
    <row r="6" spans="1:14" ht="14.4" customHeight="1" x14ac:dyDescent="0.3"/>
    <row r="7" spans="1:14" ht="14.4" customHeight="1" x14ac:dyDescent="0.3"/>
    <row r="8" spans="1:14" ht="17.399999999999999" customHeight="1" x14ac:dyDescent="0.3">
      <c r="A8" s="721" t="s">
        <v>586</v>
      </c>
      <c r="B8" s="721"/>
      <c r="C8" s="721"/>
      <c r="D8" s="721"/>
      <c r="E8" s="721"/>
      <c r="F8" s="721"/>
      <c r="G8" s="721"/>
      <c r="H8" s="721"/>
      <c r="I8" s="721"/>
      <c r="J8" s="721"/>
      <c r="K8" s="721"/>
      <c r="L8" s="721"/>
      <c r="M8" s="721"/>
    </row>
    <row r="9" spans="1:14" ht="17.399999999999999" customHeight="1" x14ac:dyDescent="0.3">
      <c r="A9" s="688"/>
      <c r="B9" s="488"/>
      <c r="C9" s="688"/>
      <c r="D9" s="688"/>
      <c r="E9" s="688"/>
      <c r="F9" s="688"/>
      <c r="G9" s="688"/>
      <c r="H9" s="688"/>
      <c r="I9" s="688"/>
      <c r="J9" s="688"/>
      <c r="K9" s="688"/>
      <c r="L9" s="688"/>
    </row>
    <row r="10" spans="1:14" ht="18" customHeight="1" x14ac:dyDescent="0.35">
      <c r="A10" s="2"/>
      <c r="B10" s="3"/>
      <c r="C10" s="4"/>
      <c r="D10" s="4"/>
      <c r="E10" s="4"/>
      <c r="F10" s="4"/>
      <c r="G10" s="2"/>
      <c r="H10" s="5"/>
      <c r="I10" s="6"/>
      <c r="J10" s="7"/>
      <c r="K10" s="7"/>
      <c r="L10" s="7"/>
      <c r="M10" s="457" t="s">
        <v>22</v>
      </c>
    </row>
    <row r="11" spans="1:14" ht="18" customHeight="1" x14ac:dyDescent="0.3">
      <c r="A11" s="725" t="s">
        <v>23</v>
      </c>
      <c r="B11" s="727" t="s">
        <v>24</v>
      </c>
      <c r="C11" s="729" t="s">
        <v>25</v>
      </c>
      <c r="D11" s="729" t="s">
        <v>26</v>
      </c>
      <c r="E11" s="729" t="s">
        <v>27</v>
      </c>
      <c r="F11" s="731" t="s">
        <v>28</v>
      </c>
      <c r="G11" s="732"/>
      <c r="H11" s="732"/>
      <c r="I11" s="733"/>
      <c r="J11" s="729" t="s">
        <v>29</v>
      </c>
      <c r="K11" s="737" t="s">
        <v>651</v>
      </c>
      <c r="L11" s="739" t="s">
        <v>455</v>
      </c>
      <c r="M11" s="740"/>
    </row>
    <row r="12" spans="1:14" ht="34.950000000000003" customHeight="1" x14ac:dyDescent="0.35">
      <c r="A12" s="726"/>
      <c r="B12" s="728"/>
      <c r="C12" s="730"/>
      <c r="D12" s="730"/>
      <c r="E12" s="730"/>
      <c r="F12" s="734"/>
      <c r="G12" s="735"/>
      <c r="H12" s="735"/>
      <c r="I12" s="736"/>
      <c r="J12" s="730"/>
      <c r="K12" s="738"/>
      <c r="L12" s="642" t="s">
        <v>652</v>
      </c>
      <c r="M12" s="643" t="s">
        <v>653</v>
      </c>
    </row>
    <row r="13" spans="1:14" ht="18" customHeight="1" x14ac:dyDescent="0.35">
      <c r="A13" s="8">
        <v>1</v>
      </c>
      <c r="B13" s="9">
        <v>2</v>
      </c>
      <c r="C13" s="10" t="s">
        <v>30</v>
      </c>
      <c r="D13" s="10" t="s">
        <v>31</v>
      </c>
      <c r="E13" s="10" t="s">
        <v>32</v>
      </c>
      <c r="F13" s="722" t="s">
        <v>33</v>
      </c>
      <c r="G13" s="723"/>
      <c r="H13" s="723"/>
      <c r="I13" s="724"/>
      <c r="J13" s="10" t="s">
        <v>34</v>
      </c>
      <c r="K13" s="10"/>
      <c r="L13" s="10" t="s">
        <v>477</v>
      </c>
      <c r="M13" s="31">
        <v>9</v>
      </c>
    </row>
    <row r="14" spans="1:14" ht="18" customHeight="1" x14ac:dyDescent="0.3">
      <c r="A14" s="11">
        <v>1</v>
      </c>
      <c r="B14" s="12" t="s">
        <v>202</v>
      </c>
      <c r="C14" s="13"/>
      <c r="D14" s="14"/>
      <c r="E14" s="14"/>
      <c r="F14" s="15"/>
      <c r="G14" s="16"/>
      <c r="H14" s="16"/>
      <c r="I14" s="17"/>
      <c r="J14" s="14"/>
      <c r="K14" s="254" t="e">
        <f>K15+K294+K340+K358+K664+K747+K821+K855+K471</f>
        <v>#REF!</v>
      </c>
      <c r="L14" s="254">
        <f>L15+L294+L340+L358+L664+L747+L821+L855+L471</f>
        <v>8863.1000000000186</v>
      </c>
      <c r="M14" s="254">
        <f>M15+M294+M340+M358+M664+M747+M821+M855+M471</f>
        <v>2688321.9549000002</v>
      </c>
      <c r="N14" s="203"/>
    </row>
    <row r="15" spans="1:14" s="115" customFormat="1" ht="34.950000000000003" customHeight="1" x14ac:dyDescent="0.3">
      <c r="A15" s="110">
        <v>1</v>
      </c>
      <c r="B15" s="543" t="s">
        <v>0</v>
      </c>
      <c r="C15" s="18" t="s">
        <v>1</v>
      </c>
      <c r="D15" s="19"/>
      <c r="E15" s="19"/>
      <c r="F15" s="20"/>
      <c r="G15" s="21"/>
      <c r="H15" s="21"/>
      <c r="I15" s="22"/>
      <c r="J15" s="19"/>
      <c r="K15" s="32" t="e">
        <f>K16+K94+K131+K176+K200+K193+K231+K224</f>
        <v>#REF!</v>
      </c>
      <c r="L15" s="32">
        <f>L16+L94+L131+L176+L200+L193+L231+L224</f>
        <v>2918.1000000000004</v>
      </c>
      <c r="M15" s="32">
        <f>M16+M94+M131+M176+M200+M193+M231+M224</f>
        <v>436308.96354000003</v>
      </c>
    </row>
    <row r="16" spans="1:14" s="116" customFormat="1" ht="18" customHeight="1" x14ac:dyDescent="0.35">
      <c r="A16" s="11"/>
      <c r="B16" s="496" t="s">
        <v>36</v>
      </c>
      <c r="C16" s="23" t="s">
        <v>1</v>
      </c>
      <c r="D16" s="10" t="s">
        <v>37</v>
      </c>
      <c r="E16" s="10"/>
      <c r="F16" s="689"/>
      <c r="G16" s="690"/>
      <c r="H16" s="690"/>
      <c r="I16" s="691"/>
      <c r="J16" s="10"/>
      <c r="K16" s="24">
        <f>K17+K23+K51+K56+K45</f>
        <v>187473.92993999997</v>
      </c>
      <c r="L16" s="24">
        <f>L17+L23+L51+L56+L45</f>
        <v>-4490.5880799999995</v>
      </c>
      <c r="M16" s="24">
        <f>M17+M23+M51+M56+M45</f>
        <v>182983.31185999999</v>
      </c>
    </row>
    <row r="17" spans="1:15" s="111" customFormat="1" ht="54" customHeight="1" x14ac:dyDescent="0.35">
      <c r="A17" s="11"/>
      <c r="B17" s="496" t="s">
        <v>38</v>
      </c>
      <c r="C17" s="23" t="s">
        <v>1</v>
      </c>
      <c r="D17" s="10" t="s">
        <v>37</v>
      </c>
      <c r="E17" s="10" t="s">
        <v>39</v>
      </c>
      <c r="F17" s="689"/>
      <c r="G17" s="690"/>
      <c r="H17" s="690"/>
      <c r="I17" s="691"/>
      <c r="J17" s="10"/>
      <c r="K17" s="24">
        <f t="shared" ref="K17:M20" si="0">K18</f>
        <v>2536.8000000000002</v>
      </c>
      <c r="L17" s="24">
        <f t="shared" si="0"/>
        <v>0</v>
      </c>
      <c r="M17" s="24">
        <f t="shared" si="0"/>
        <v>2536.8000000000002</v>
      </c>
      <c r="O17" s="111" t="s">
        <v>439</v>
      </c>
    </row>
    <row r="18" spans="1:15" s="111" customFormat="1" ht="54" customHeight="1" x14ac:dyDescent="0.35">
      <c r="A18" s="11"/>
      <c r="B18" s="496" t="s">
        <v>40</v>
      </c>
      <c r="C18" s="23" t="s">
        <v>1</v>
      </c>
      <c r="D18" s="10" t="s">
        <v>37</v>
      </c>
      <c r="E18" s="10" t="s">
        <v>39</v>
      </c>
      <c r="F18" s="689" t="s">
        <v>41</v>
      </c>
      <c r="G18" s="690" t="s">
        <v>42</v>
      </c>
      <c r="H18" s="690" t="s">
        <v>43</v>
      </c>
      <c r="I18" s="691" t="s">
        <v>44</v>
      </c>
      <c r="J18" s="10"/>
      <c r="K18" s="24">
        <f t="shared" si="0"/>
        <v>2536.8000000000002</v>
      </c>
      <c r="L18" s="24">
        <f t="shared" si="0"/>
        <v>0</v>
      </c>
      <c r="M18" s="24">
        <f t="shared" si="0"/>
        <v>2536.8000000000002</v>
      </c>
    </row>
    <row r="19" spans="1:15" s="111" customFormat="1" ht="36" customHeight="1" x14ac:dyDescent="0.35">
      <c r="A19" s="11"/>
      <c r="B19" s="496" t="s">
        <v>337</v>
      </c>
      <c r="C19" s="23" t="s">
        <v>1</v>
      </c>
      <c r="D19" s="10" t="s">
        <v>37</v>
      </c>
      <c r="E19" s="10" t="s">
        <v>39</v>
      </c>
      <c r="F19" s="689" t="s">
        <v>41</v>
      </c>
      <c r="G19" s="690" t="s">
        <v>45</v>
      </c>
      <c r="H19" s="690" t="s">
        <v>43</v>
      </c>
      <c r="I19" s="691" t="s">
        <v>44</v>
      </c>
      <c r="J19" s="10"/>
      <c r="K19" s="24">
        <f t="shared" si="0"/>
        <v>2536.8000000000002</v>
      </c>
      <c r="L19" s="24">
        <f t="shared" si="0"/>
        <v>0</v>
      </c>
      <c r="M19" s="24">
        <f t="shared" si="0"/>
        <v>2536.8000000000002</v>
      </c>
    </row>
    <row r="20" spans="1:15" s="111" customFormat="1" ht="54" customHeight="1" x14ac:dyDescent="0.35">
      <c r="A20" s="11"/>
      <c r="B20" s="496" t="s">
        <v>46</v>
      </c>
      <c r="C20" s="23" t="s">
        <v>1</v>
      </c>
      <c r="D20" s="10" t="s">
        <v>37</v>
      </c>
      <c r="E20" s="10" t="s">
        <v>39</v>
      </c>
      <c r="F20" s="689" t="s">
        <v>41</v>
      </c>
      <c r="G20" s="690" t="s">
        <v>45</v>
      </c>
      <c r="H20" s="690" t="s">
        <v>37</v>
      </c>
      <c r="I20" s="691" t="s">
        <v>44</v>
      </c>
      <c r="J20" s="10"/>
      <c r="K20" s="24">
        <f t="shared" si="0"/>
        <v>2536.8000000000002</v>
      </c>
      <c r="L20" s="24">
        <f t="shared" si="0"/>
        <v>0</v>
      </c>
      <c r="M20" s="24">
        <f t="shared" si="0"/>
        <v>2536.8000000000002</v>
      </c>
    </row>
    <row r="21" spans="1:15" s="111" customFormat="1" ht="36" customHeight="1" x14ac:dyDescent="0.35">
      <c r="A21" s="11"/>
      <c r="B21" s="496" t="s">
        <v>47</v>
      </c>
      <c r="C21" s="23" t="s">
        <v>1</v>
      </c>
      <c r="D21" s="10" t="s">
        <v>37</v>
      </c>
      <c r="E21" s="10" t="s">
        <v>39</v>
      </c>
      <c r="F21" s="689" t="s">
        <v>41</v>
      </c>
      <c r="G21" s="690" t="s">
        <v>45</v>
      </c>
      <c r="H21" s="690" t="s">
        <v>37</v>
      </c>
      <c r="I21" s="691" t="s">
        <v>48</v>
      </c>
      <c r="J21" s="10"/>
      <c r="K21" s="24">
        <f>K22</f>
        <v>2536.8000000000002</v>
      </c>
      <c r="L21" s="24">
        <f>L22</f>
        <v>0</v>
      </c>
      <c r="M21" s="24">
        <f>M22</f>
        <v>2536.8000000000002</v>
      </c>
    </row>
    <row r="22" spans="1:15" s="111" customFormat="1" ht="108" customHeight="1" x14ac:dyDescent="0.35">
      <c r="A22" s="11"/>
      <c r="B22" s="496" t="s">
        <v>49</v>
      </c>
      <c r="C22" s="23" t="s">
        <v>1</v>
      </c>
      <c r="D22" s="10" t="s">
        <v>37</v>
      </c>
      <c r="E22" s="10" t="s">
        <v>39</v>
      </c>
      <c r="F22" s="689" t="s">
        <v>41</v>
      </c>
      <c r="G22" s="690" t="s">
        <v>45</v>
      </c>
      <c r="H22" s="690" t="s">
        <v>37</v>
      </c>
      <c r="I22" s="691" t="s">
        <v>48</v>
      </c>
      <c r="J22" s="10" t="s">
        <v>50</v>
      </c>
      <c r="K22" s="24">
        <f>2536.8</f>
        <v>2536.8000000000002</v>
      </c>
      <c r="L22" s="24">
        <f>M22-K22</f>
        <v>0</v>
      </c>
      <c r="M22" s="24">
        <f>2536.8</f>
        <v>2536.8000000000002</v>
      </c>
    </row>
    <row r="23" spans="1:15" s="116" customFormat="1" ht="86.25" customHeight="1" x14ac:dyDescent="0.35">
      <c r="A23" s="11"/>
      <c r="B23" s="496" t="s">
        <v>51</v>
      </c>
      <c r="C23" s="23" t="s">
        <v>1</v>
      </c>
      <c r="D23" s="10" t="s">
        <v>37</v>
      </c>
      <c r="E23" s="10" t="s">
        <v>52</v>
      </c>
      <c r="F23" s="689"/>
      <c r="G23" s="690"/>
      <c r="H23" s="690"/>
      <c r="I23" s="691"/>
      <c r="J23" s="10"/>
      <c r="K23" s="24">
        <f t="shared" ref="K23:M24" si="1">K24</f>
        <v>84433.932450000008</v>
      </c>
      <c r="L23" s="24">
        <f t="shared" si="1"/>
        <v>-1566.617</v>
      </c>
      <c r="M23" s="24">
        <f t="shared" si="1"/>
        <v>82867.315450000009</v>
      </c>
    </row>
    <row r="24" spans="1:15" s="116" customFormat="1" ht="54" customHeight="1" x14ac:dyDescent="0.35">
      <c r="A24" s="11"/>
      <c r="B24" s="496" t="s">
        <v>53</v>
      </c>
      <c r="C24" s="23" t="s">
        <v>1</v>
      </c>
      <c r="D24" s="10" t="s">
        <v>37</v>
      </c>
      <c r="E24" s="10" t="s">
        <v>52</v>
      </c>
      <c r="F24" s="689" t="s">
        <v>41</v>
      </c>
      <c r="G24" s="690" t="s">
        <v>42</v>
      </c>
      <c r="H24" s="690" t="s">
        <v>43</v>
      </c>
      <c r="I24" s="691" t="s">
        <v>44</v>
      </c>
      <c r="J24" s="10"/>
      <c r="K24" s="24">
        <f t="shared" si="1"/>
        <v>84433.932450000008</v>
      </c>
      <c r="L24" s="24">
        <f t="shared" si="1"/>
        <v>-1566.617</v>
      </c>
      <c r="M24" s="24">
        <f t="shared" si="1"/>
        <v>82867.315450000009</v>
      </c>
    </row>
    <row r="25" spans="1:15" s="7" customFormat="1" ht="36" customHeight="1" x14ac:dyDescent="0.35">
      <c r="A25" s="11"/>
      <c r="B25" s="496" t="s">
        <v>337</v>
      </c>
      <c r="C25" s="23" t="s">
        <v>1</v>
      </c>
      <c r="D25" s="10" t="s">
        <v>37</v>
      </c>
      <c r="E25" s="10" t="s">
        <v>52</v>
      </c>
      <c r="F25" s="689" t="s">
        <v>41</v>
      </c>
      <c r="G25" s="690" t="s">
        <v>45</v>
      </c>
      <c r="H25" s="690" t="s">
        <v>43</v>
      </c>
      <c r="I25" s="691" t="s">
        <v>44</v>
      </c>
      <c r="J25" s="10"/>
      <c r="K25" s="24">
        <f>K26+K42</f>
        <v>84433.932450000008</v>
      </c>
      <c r="L25" s="24">
        <f>L26+L42</f>
        <v>-1566.617</v>
      </c>
      <c r="M25" s="24">
        <f>M26+M42</f>
        <v>82867.315450000009</v>
      </c>
    </row>
    <row r="26" spans="1:15" s="7" customFormat="1" ht="36" customHeight="1" x14ac:dyDescent="0.35">
      <c r="A26" s="11"/>
      <c r="B26" s="496" t="s">
        <v>54</v>
      </c>
      <c r="C26" s="23" t="s">
        <v>1</v>
      </c>
      <c r="D26" s="10" t="s">
        <v>37</v>
      </c>
      <c r="E26" s="10" t="s">
        <v>52</v>
      </c>
      <c r="F26" s="689" t="s">
        <v>41</v>
      </c>
      <c r="G26" s="690" t="s">
        <v>45</v>
      </c>
      <c r="H26" s="690" t="s">
        <v>39</v>
      </c>
      <c r="I26" s="691" t="s">
        <v>44</v>
      </c>
      <c r="J26" s="10"/>
      <c r="K26" s="24">
        <f>K27+K34+K36+K32+K39</f>
        <v>84429.432450000008</v>
      </c>
      <c r="L26" s="24">
        <f>L27+L34+L36+L32+L39</f>
        <v>-1566.617</v>
      </c>
      <c r="M26" s="24">
        <f>M27+M34+M36+M32+M39</f>
        <v>82862.815450000009</v>
      </c>
    </row>
    <row r="27" spans="1:15" s="111" customFormat="1" ht="36" customHeight="1" x14ac:dyDescent="0.35">
      <c r="A27" s="11"/>
      <c r="B27" s="496" t="s">
        <v>47</v>
      </c>
      <c r="C27" s="23" t="s">
        <v>1</v>
      </c>
      <c r="D27" s="10" t="s">
        <v>37</v>
      </c>
      <c r="E27" s="10" t="s">
        <v>52</v>
      </c>
      <c r="F27" s="689" t="s">
        <v>41</v>
      </c>
      <c r="G27" s="690" t="s">
        <v>45</v>
      </c>
      <c r="H27" s="690" t="s">
        <v>39</v>
      </c>
      <c r="I27" s="691" t="s">
        <v>48</v>
      </c>
      <c r="J27" s="10"/>
      <c r="K27" s="24">
        <f>K28+K29+K30+K31</f>
        <v>78947.032449999999</v>
      </c>
      <c r="L27" s="24">
        <f>L28+L29+L30+L31</f>
        <v>-1566.617</v>
      </c>
      <c r="M27" s="24">
        <f>M28+M29+M30+M31</f>
        <v>77380.41545</v>
      </c>
    </row>
    <row r="28" spans="1:15" s="111" customFormat="1" ht="108" customHeight="1" x14ac:dyDescent="0.35">
      <c r="A28" s="11"/>
      <c r="B28" s="496" t="s">
        <v>49</v>
      </c>
      <c r="C28" s="23" t="s">
        <v>1</v>
      </c>
      <c r="D28" s="10" t="s">
        <v>37</v>
      </c>
      <c r="E28" s="10" t="s">
        <v>52</v>
      </c>
      <c r="F28" s="689" t="s">
        <v>41</v>
      </c>
      <c r="G28" s="690" t="s">
        <v>45</v>
      </c>
      <c r="H28" s="690" t="s">
        <v>39</v>
      </c>
      <c r="I28" s="691" t="s">
        <v>48</v>
      </c>
      <c r="J28" s="10" t="s">
        <v>50</v>
      </c>
      <c r="K28" s="24">
        <f>74010+661.8-9.68736-2500+2500-15758.5+15758.5-177.84109+2493.4-153.72+419.74845+22.1+526.4-1743.3-6+1398.3</f>
        <v>77441.2</v>
      </c>
      <c r="L28" s="24">
        <f>M28-K28</f>
        <v>-1549</v>
      </c>
      <c r="M28" s="24">
        <f>74010+661.8-9.68736-2500+2500-15758.5+15758.5-177.84109+2493.4-153.72+419.74845+22.1+526.4-1743.3-6+1398.3-1900+351</f>
        <v>75892.2</v>
      </c>
      <c r="N28" s="116"/>
    </row>
    <row r="29" spans="1:15" s="7" customFormat="1" ht="54" customHeight="1" x14ac:dyDescent="0.35">
      <c r="A29" s="11"/>
      <c r="B29" s="496" t="s">
        <v>55</v>
      </c>
      <c r="C29" s="23" t="s">
        <v>1</v>
      </c>
      <c r="D29" s="10" t="s">
        <v>37</v>
      </c>
      <c r="E29" s="10" t="s">
        <v>52</v>
      </c>
      <c r="F29" s="689" t="s">
        <v>41</v>
      </c>
      <c r="G29" s="690" t="s">
        <v>45</v>
      </c>
      <c r="H29" s="690" t="s">
        <v>39</v>
      </c>
      <c r="I29" s="691" t="s">
        <v>48</v>
      </c>
      <c r="J29" s="10" t="s">
        <v>56</v>
      </c>
      <c r="K29" s="24">
        <f>1054.6+40.484</f>
        <v>1095.0839999999998</v>
      </c>
      <c r="L29" s="24">
        <f>M29-K29</f>
        <v>-17.616999999999962</v>
      </c>
      <c r="M29" s="24">
        <f>1054.6+40.484-17.617</f>
        <v>1077.4669999999999</v>
      </c>
    </row>
    <row r="30" spans="1:15" s="7" customFormat="1" ht="36" x14ac:dyDescent="0.35">
      <c r="A30" s="11"/>
      <c r="B30" s="503" t="s">
        <v>120</v>
      </c>
      <c r="C30" s="23" t="s">
        <v>1</v>
      </c>
      <c r="D30" s="10" t="s">
        <v>37</v>
      </c>
      <c r="E30" s="10" t="s">
        <v>52</v>
      </c>
      <c r="F30" s="689" t="s">
        <v>41</v>
      </c>
      <c r="G30" s="690" t="s">
        <v>45</v>
      </c>
      <c r="H30" s="690" t="s">
        <v>39</v>
      </c>
      <c r="I30" s="691" t="s">
        <v>48</v>
      </c>
      <c r="J30" s="10" t="s">
        <v>121</v>
      </c>
      <c r="K30" s="24">
        <f>9.68736+177.84109+153.72</f>
        <v>341.24845000000005</v>
      </c>
      <c r="L30" s="24">
        <f>M30-K30</f>
        <v>0</v>
      </c>
      <c r="M30" s="24">
        <f>9.68736+177.84109+153.72</f>
        <v>341.24845000000005</v>
      </c>
    </row>
    <row r="31" spans="1:15" s="111" customFormat="1" ht="18" customHeight="1" x14ac:dyDescent="0.35">
      <c r="A31" s="11"/>
      <c r="B31" s="496" t="s">
        <v>57</v>
      </c>
      <c r="C31" s="23" t="s">
        <v>1</v>
      </c>
      <c r="D31" s="10" t="s">
        <v>37</v>
      </c>
      <c r="E31" s="10" t="s">
        <v>52</v>
      </c>
      <c r="F31" s="689" t="s">
        <v>41</v>
      </c>
      <c r="G31" s="690" t="s">
        <v>45</v>
      </c>
      <c r="H31" s="690" t="s">
        <v>39</v>
      </c>
      <c r="I31" s="691" t="s">
        <v>48</v>
      </c>
      <c r="J31" s="10" t="s">
        <v>58</v>
      </c>
      <c r="K31" s="24">
        <f>32.7+38.8-2</f>
        <v>69.5</v>
      </c>
      <c r="L31" s="24">
        <f>M31-K31</f>
        <v>0</v>
      </c>
      <c r="M31" s="24">
        <f>32.7+38.8-2</f>
        <v>69.5</v>
      </c>
      <c r="N31" s="7"/>
    </row>
    <row r="32" spans="1:15" s="7" customFormat="1" ht="90" customHeight="1" x14ac:dyDescent="0.35">
      <c r="A32" s="11"/>
      <c r="B32" s="496" t="s">
        <v>441</v>
      </c>
      <c r="C32" s="23" t="s">
        <v>1</v>
      </c>
      <c r="D32" s="10" t="s">
        <v>37</v>
      </c>
      <c r="E32" s="10" t="s">
        <v>52</v>
      </c>
      <c r="F32" s="689" t="s">
        <v>41</v>
      </c>
      <c r="G32" s="690" t="s">
        <v>45</v>
      </c>
      <c r="H32" s="690" t="s">
        <v>39</v>
      </c>
      <c r="I32" s="691" t="s">
        <v>264</v>
      </c>
      <c r="J32" s="10"/>
      <c r="K32" s="24">
        <f>K33</f>
        <v>63</v>
      </c>
      <c r="L32" s="24">
        <f>L33</f>
        <v>0</v>
      </c>
      <c r="M32" s="24">
        <f>M33</f>
        <v>63</v>
      </c>
    </row>
    <row r="33" spans="1:13" s="116" customFormat="1" ht="54" customHeight="1" x14ac:dyDescent="0.35">
      <c r="A33" s="11"/>
      <c r="B33" s="496" t="s">
        <v>55</v>
      </c>
      <c r="C33" s="23" t="s">
        <v>1</v>
      </c>
      <c r="D33" s="10" t="s">
        <v>37</v>
      </c>
      <c r="E33" s="10" t="s">
        <v>52</v>
      </c>
      <c r="F33" s="689" t="s">
        <v>41</v>
      </c>
      <c r="G33" s="690" t="s">
        <v>45</v>
      </c>
      <c r="H33" s="690" t="s">
        <v>39</v>
      </c>
      <c r="I33" s="691" t="s">
        <v>264</v>
      </c>
      <c r="J33" s="10" t="s">
        <v>56</v>
      </c>
      <c r="K33" s="24">
        <v>63</v>
      </c>
      <c r="L33" s="24">
        <f>M33-K33</f>
        <v>0</v>
      </c>
      <c r="M33" s="24">
        <v>63</v>
      </c>
    </row>
    <row r="34" spans="1:13" s="116" customFormat="1" ht="198" customHeight="1" x14ac:dyDescent="0.35">
      <c r="A34" s="11"/>
      <c r="B34" s="544" t="s">
        <v>449</v>
      </c>
      <c r="C34" s="23" t="s">
        <v>1</v>
      </c>
      <c r="D34" s="10" t="s">
        <v>37</v>
      </c>
      <c r="E34" s="10" t="s">
        <v>52</v>
      </c>
      <c r="F34" s="689" t="s">
        <v>41</v>
      </c>
      <c r="G34" s="690" t="s">
        <v>45</v>
      </c>
      <c r="H34" s="690" t="s">
        <v>39</v>
      </c>
      <c r="I34" s="691" t="s">
        <v>59</v>
      </c>
      <c r="J34" s="10"/>
      <c r="K34" s="24">
        <f>K35</f>
        <v>729.8</v>
      </c>
      <c r="L34" s="24">
        <f>L35</f>
        <v>0</v>
      </c>
      <c r="M34" s="24">
        <f>M35</f>
        <v>729.8</v>
      </c>
    </row>
    <row r="35" spans="1:13" s="116" customFormat="1" ht="108" customHeight="1" x14ac:dyDescent="0.35">
      <c r="A35" s="11"/>
      <c r="B35" s="496" t="s">
        <v>49</v>
      </c>
      <c r="C35" s="23" t="s">
        <v>1</v>
      </c>
      <c r="D35" s="10" t="s">
        <v>37</v>
      </c>
      <c r="E35" s="10" t="s">
        <v>52</v>
      </c>
      <c r="F35" s="689" t="s">
        <v>41</v>
      </c>
      <c r="G35" s="690" t="s">
        <v>45</v>
      </c>
      <c r="H35" s="690" t="s">
        <v>39</v>
      </c>
      <c r="I35" s="691" t="s">
        <v>59</v>
      </c>
      <c r="J35" s="10" t="s">
        <v>50</v>
      </c>
      <c r="K35" s="24">
        <v>729.8</v>
      </c>
      <c r="L35" s="24">
        <f>M35-K35</f>
        <v>0</v>
      </c>
      <c r="M35" s="24">
        <v>729.8</v>
      </c>
    </row>
    <row r="36" spans="1:13" s="116" customFormat="1" ht="72" customHeight="1" x14ac:dyDescent="0.35">
      <c r="A36" s="11"/>
      <c r="B36" s="496" t="s">
        <v>407</v>
      </c>
      <c r="C36" s="23" t="s">
        <v>1</v>
      </c>
      <c r="D36" s="10" t="s">
        <v>37</v>
      </c>
      <c r="E36" s="10" t="s">
        <v>52</v>
      </c>
      <c r="F36" s="689" t="s">
        <v>41</v>
      </c>
      <c r="G36" s="690" t="s">
        <v>45</v>
      </c>
      <c r="H36" s="690" t="s">
        <v>39</v>
      </c>
      <c r="I36" s="691" t="s">
        <v>61</v>
      </c>
      <c r="J36" s="10"/>
      <c r="K36" s="24">
        <f>K37+K38</f>
        <v>730</v>
      </c>
      <c r="L36" s="24">
        <f>L37+L38</f>
        <v>0</v>
      </c>
      <c r="M36" s="24">
        <f>M37+M38</f>
        <v>730</v>
      </c>
    </row>
    <row r="37" spans="1:13" s="116" customFormat="1" ht="108" customHeight="1" x14ac:dyDescent="0.35">
      <c r="A37" s="11"/>
      <c r="B37" s="496" t="s">
        <v>49</v>
      </c>
      <c r="C37" s="23" t="s">
        <v>1</v>
      </c>
      <c r="D37" s="10" t="s">
        <v>37</v>
      </c>
      <c r="E37" s="10" t="s">
        <v>52</v>
      </c>
      <c r="F37" s="689" t="s">
        <v>41</v>
      </c>
      <c r="G37" s="690" t="s">
        <v>45</v>
      </c>
      <c r="H37" s="690" t="s">
        <v>39</v>
      </c>
      <c r="I37" s="691" t="s">
        <v>61</v>
      </c>
      <c r="J37" s="10" t="s">
        <v>50</v>
      </c>
      <c r="K37" s="24">
        <v>725.8</v>
      </c>
      <c r="L37" s="24">
        <f>M37-K37</f>
        <v>0</v>
      </c>
      <c r="M37" s="24">
        <v>725.8</v>
      </c>
    </row>
    <row r="38" spans="1:13" s="116" customFormat="1" ht="54" customHeight="1" x14ac:dyDescent="0.35">
      <c r="A38" s="11"/>
      <c r="B38" s="496" t="s">
        <v>55</v>
      </c>
      <c r="C38" s="23" t="s">
        <v>1</v>
      </c>
      <c r="D38" s="10" t="s">
        <v>37</v>
      </c>
      <c r="E38" s="10" t="s">
        <v>52</v>
      </c>
      <c r="F38" s="689" t="s">
        <v>41</v>
      </c>
      <c r="G38" s="690" t="s">
        <v>45</v>
      </c>
      <c r="H38" s="690" t="s">
        <v>39</v>
      </c>
      <c r="I38" s="691" t="s">
        <v>61</v>
      </c>
      <c r="J38" s="10" t="s">
        <v>56</v>
      </c>
      <c r="K38" s="24">
        <v>4.2</v>
      </c>
      <c r="L38" s="24">
        <f>M38-K38</f>
        <v>0</v>
      </c>
      <c r="M38" s="24">
        <v>4.2</v>
      </c>
    </row>
    <row r="39" spans="1:13" s="116" customFormat="1" ht="72" customHeight="1" x14ac:dyDescent="0.35">
      <c r="A39" s="11"/>
      <c r="B39" s="496" t="s">
        <v>60</v>
      </c>
      <c r="C39" s="23" t="s">
        <v>1</v>
      </c>
      <c r="D39" s="10" t="s">
        <v>37</v>
      </c>
      <c r="E39" s="10" t="s">
        <v>52</v>
      </c>
      <c r="F39" s="689" t="s">
        <v>41</v>
      </c>
      <c r="G39" s="690" t="s">
        <v>45</v>
      </c>
      <c r="H39" s="690" t="s">
        <v>39</v>
      </c>
      <c r="I39" s="691" t="s">
        <v>535</v>
      </c>
      <c r="J39" s="10"/>
      <c r="K39" s="24">
        <f>SUM(K40:K41)</f>
        <v>3959.6</v>
      </c>
      <c r="L39" s="24">
        <f>SUM(L40:L41)</f>
        <v>0</v>
      </c>
      <c r="M39" s="24">
        <f>SUM(M40:M41)</f>
        <v>3959.6</v>
      </c>
    </row>
    <row r="40" spans="1:13" s="116" customFormat="1" ht="108" customHeight="1" x14ac:dyDescent="0.35">
      <c r="A40" s="11"/>
      <c r="B40" s="496" t="s">
        <v>49</v>
      </c>
      <c r="C40" s="23" t="s">
        <v>1</v>
      </c>
      <c r="D40" s="10" t="s">
        <v>37</v>
      </c>
      <c r="E40" s="10" t="s">
        <v>52</v>
      </c>
      <c r="F40" s="689" t="s">
        <v>41</v>
      </c>
      <c r="G40" s="690" t="s">
        <v>45</v>
      </c>
      <c r="H40" s="690" t="s">
        <v>39</v>
      </c>
      <c r="I40" s="691" t="s">
        <v>535</v>
      </c>
      <c r="J40" s="10" t="s">
        <v>50</v>
      </c>
      <c r="K40" s="24">
        <f>3895.2+23.3</f>
        <v>3918.5</v>
      </c>
      <c r="L40" s="24">
        <f>M40-K40</f>
        <v>0</v>
      </c>
      <c r="M40" s="24">
        <f>3895.2+23.3</f>
        <v>3918.5</v>
      </c>
    </row>
    <row r="41" spans="1:13" s="116" customFormat="1" ht="54" customHeight="1" x14ac:dyDescent="0.35">
      <c r="A41" s="11"/>
      <c r="B41" s="496" t="s">
        <v>55</v>
      </c>
      <c r="C41" s="23" t="s">
        <v>1</v>
      </c>
      <c r="D41" s="10" t="s">
        <v>37</v>
      </c>
      <c r="E41" s="10" t="s">
        <v>52</v>
      </c>
      <c r="F41" s="689" t="s">
        <v>41</v>
      </c>
      <c r="G41" s="690" t="s">
        <v>45</v>
      </c>
      <c r="H41" s="690" t="s">
        <v>39</v>
      </c>
      <c r="I41" s="691" t="s">
        <v>535</v>
      </c>
      <c r="J41" s="10" t="s">
        <v>56</v>
      </c>
      <c r="K41" s="24">
        <f>64.4-23.3</f>
        <v>41.100000000000009</v>
      </c>
      <c r="L41" s="24">
        <f>M41-K41</f>
        <v>0</v>
      </c>
      <c r="M41" s="24">
        <f>64.4-23.3</f>
        <v>41.100000000000009</v>
      </c>
    </row>
    <row r="42" spans="1:13" s="7" customFormat="1" ht="18" customHeight="1" x14ac:dyDescent="0.35">
      <c r="A42" s="11"/>
      <c r="B42" s="496" t="s">
        <v>62</v>
      </c>
      <c r="C42" s="23" t="s">
        <v>1</v>
      </c>
      <c r="D42" s="10" t="s">
        <v>37</v>
      </c>
      <c r="E42" s="10" t="s">
        <v>52</v>
      </c>
      <c r="F42" s="689" t="s">
        <v>41</v>
      </c>
      <c r="G42" s="690" t="s">
        <v>45</v>
      </c>
      <c r="H42" s="690" t="s">
        <v>63</v>
      </c>
      <c r="I42" s="691" t="s">
        <v>44</v>
      </c>
      <c r="J42" s="10"/>
      <c r="K42" s="24">
        <f t="shared" ref="K42:M43" si="2">K43</f>
        <v>4.5</v>
      </c>
      <c r="L42" s="24">
        <f t="shared" si="2"/>
        <v>0</v>
      </c>
      <c r="M42" s="24">
        <f t="shared" si="2"/>
        <v>4.5</v>
      </c>
    </row>
    <row r="43" spans="1:13" s="111" customFormat="1" ht="36" customHeight="1" x14ac:dyDescent="0.35">
      <c r="A43" s="11"/>
      <c r="B43" s="496" t="s">
        <v>47</v>
      </c>
      <c r="C43" s="23" t="s">
        <v>1</v>
      </c>
      <c r="D43" s="10" t="s">
        <v>37</v>
      </c>
      <c r="E43" s="10" t="s">
        <v>52</v>
      </c>
      <c r="F43" s="689" t="s">
        <v>41</v>
      </c>
      <c r="G43" s="690" t="s">
        <v>45</v>
      </c>
      <c r="H43" s="690" t="s">
        <v>63</v>
      </c>
      <c r="I43" s="691" t="s">
        <v>48</v>
      </c>
      <c r="J43" s="10"/>
      <c r="K43" s="24">
        <f t="shared" si="2"/>
        <v>4.5</v>
      </c>
      <c r="L43" s="24">
        <f t="shared" si="2"/>
        <v>0</v>
      </c>
      <c r="M43" s="24">
        <f t="shared" si="2"/>
        <v>4.5</v>
      </c>
    </row>
    <row r="44" spans="1:13" s="7" customFormat="1" ht="54" customHeight="1" x14ac:dyDescent="0.35">
      <c r="A44" s="11"/>
      <c r="B44" s="496" t="s">
        <v>55</v>
      </c>
      <c r="C44" s="23" t="s">
        <v>1</v>
      </c>
      <c r="D44" s="10" t="s">
        <v>37</v>
      </c>
      <c r="E44" s="10" t="s">
        <v>52</v>
      </c>
      <c r="F44" s="689" t="s">
        <v>41</v>
      </c>
      <c r="G44" s="690" t="s">
        <v>45</v>
      </c>
      <c r="H44" s="690" t="s">
        <v>63</v>
      </c>
      <c r="I44" s="691" t="s">
        <v>48</v>
      </c>
      <c r="J44" s="10" t="s">
        <v>56</v>
      </c>
      <c r="K44" s="24">
        <v>4.5</v>
      </c>
      <c r="L44" s="24">
        <f>M44-K44</f>
        <v>0</v>
      </c>
      <c r="M44" s="24">
        <v>4.5</v>
      </c>
    </row>
    <row r="45" spans="1:13" s="7" customFormat="1" ht="18" customHeight="1" x14ac:dyDescent="0.35">
      <c r="A45" s="11"/>
      <c r="B45" s="496" t="s">
        <v>382</v>
      </c>
      <c r="C45" s="23" t="s">
        <v>1</v>
      </c>
      <c r="D45" s="10" t="s">
        <v>37</v>
      </c>
      <c r="E45" s="10" t="s">
        <v>65</v>
      </c>
      <c r="F45" s="689"/>
      <c r="G45" s="690"/>
      <c r="H45" s="690"/>
      <c r="I45" s="691"/>
      <c r="J45" s="10"/>
      <c r="K45" s="24">
        <f t="shared" ref="K45:M48" si="3">K46</f>
        <v>19.8</v>
      </c>
      <c r="L45" s="24">
        <f t="shared" si="3"/>
        <v>0</v>
      </c>
      <c r="M45" s="24">
        <f t="shared" si="3"/>
        <v>19.8</v>
      </c>
    </row>
    <row r="46" spans="1:13" s="7" customFormat="1" ht="54" customHeight="1" x14ac:dyDescent="0.35">
      <c r="A46" s="11"/>
      <c r="B46" s="496" t="s">
        <v>53</v>
      </c>
      <c r="C46" s="23" t="s">
        <v>1</v>
      </c>
      <c r="D46" s="10" t="s">
        <v>37</v>
      </c>
      <c r="E46" s="10" t="s">
        <v>65</v>
      </c>
      <c r="F46" s="689" t="s">
        <v>41</v>
      </c>
      <c r="G46" s="690" t="s">
        <v>42</v>
      </c>
      <c r="H46" s="690" t="s">
        <v>43</v>
      </c>
      <c r="I46" s="691" t="s">
        <v>44</v>
      </c>
      <c r="J46" s="10"/>
      <c r="K46" s="24">
        <f t="shared" si="3"/>
        <v>19.8</v>
      </c>
      <c r="L46" s="24">
        <f t="shared" si="3"/>
        <v>0</v>
      </c>
      <c r="M46" s="24">
        <f t="shared" si="3"/>
        <v>19.8</v>
      </c>
    </row>
    <row r="47" spans="1:13" s="7" customFormat="1" ht="36" customHeight="1" x14ac:dyDescent="0.35">
      <c r="A47" s="11"/>
      <c r="B47" s="496" t="s">
        <v>337</v>
      </c>
      <c r="C47" s="23" t="s">
        <v>1</v>
      </c>
      <c r="D47" s="10" t="s">
        <v>37</v>
      </c>
      <c r="E47" s="10" t="s">
        <v>65</v>
      </c>
      <c r="F47" s="689" t="s">
        <v>41</v>
      </c>
      <c r="G47" s="690" t="s">
        <v>45</v>
      </c>
      <c r="H47" s="690" t="s">
        <v>43</v>
      </c>
      <c r="I47" s="691" t="s">
        <v>44</v>
      </c>
      <c r="J47" s="10"/>
      <c r="K47" s="24">
        <f t="shared" si="3"/>
        <v>19.8</v>
      </c>
      <c r="L47" s="24">
        <f t="shared" si="3"/>
        <v>0</v>
      </c>
      <c r="M47" s="24">
        <f t="shared" si="3"/>
        <v>19.8</v>
      </c>
    </row>
    <row r="48" spans="1:13" s="7" customFormat="1" ht="36" customHeight="1" x14ac:dyDescent="0.35">
      <c r="A48" s="11"/>
      <c r="B48" s="496" t="s">
        <v>54</v>
      </c>
      <c r="C48" s="23" t="s">
        <v>1</v>
      </c>
      <c r="D48" s="10" t="s">
        <v>37</v>
      </c>
      <c r="E48" s="10" t="s">
        <v>65</v>
      </c>
      <c r="F48" s="689" t="s">
        <v>41</v>
      </c>
      <c r="G48" s="690" t="s">
        <v>45</v>
      </c>
      <c r="H48" s="690" t="s">
        <v>39</v>
      </c>
      <c r="I48" s="691" t="s">
        <v>44</v>
      </c>
      <c r="J48" s="10"/>
      <c r="K48" s="24">
        <f t="shared" si="3"/>
        <v>19.8</v>
      </c>
      <c r="L48" s="24">
        <f t="shared" si="3"/>
        <v>0</v>
      </c>
      <c r="M48" s="24">
        <f t="shared" si="3"/>
        <v>19.8</v>
      </c>
    </row>
    <row r="49" spans="1:15" s="7" customFormat="1" ht="72" customHeight="1" x14ac:dyDescent="0.35">
      <c r="A49" s="11"/>
      <c r="B49" s="496" t="s">
        <v>384</v>
      </c>
      <c r="C49" s="23" t="s">
        <v>1</v>
      </c>
      <c r="D49" s="10" t="s">
        <v>37</v>
      </c>
      <c r="E49" s="10" t="s">
        <v>65</v>
      </c>
      <c r="F49" s="689" t="s">
        <v>41</v>
      </c>
      <c r="G49" s="690" t="s">
        <v>45</v>
      </c>
      <c r="H49" s="690" t="s">
        <v>39</v>
      </c>
      <c r="I49" s="691" t="s">
        <v>383</v>
      </c>
      <c r="J49" s="10"/>
      <c r="K49" s="24">
        <f>K50</f>
        <v>19.8</v>
      </c>
      <c r="L49" s="24">
        <f>L50</f>
        <v>0</v>
      </c>
      <c r="M49" s="24">
        <f>M50</f>
        <v>19.8</v>
      </c>
    </row>
    <row r="50" spans="1:15" s="7" customFormat="1" ht="54" customHeight="1" x14ac:dyDescent="0.35">
      <c r="A50" s="11"/>
      <c r="B50" s="496" t="s">
        <v>55</v>
      </c>
      <c r="C50" s="23" t="s">
        <v>1</v>
      </c>
      <c r="D50" s="10" t="s">
        <v>37</v>
      </c>
      <c r="E50" s="10" t="s">
        <v>65</v>
      </c>
      <c r="F50" s="689" t="s">
        <v>41</v>
      </c>
      <c r="G50" s="690" t="s">
        <v>45</v>
      </c>
      <c r="H50" s="690" t="s">
        <v>39</v>
      </c>
      <c r="I50" s="691" t="s">
        <v>383</v>
      </c>
      <c r="J50" s="10" t="s">
        <v>56</v>
      </c>
      <c r="K50" s="24">
        <v>19.8</v>
      </c>
      <c r="L50" s="24">
        <f>M50-K50</f>
        <v>0</v>
      </c>
      <c r="M50" s="24">
        <v>19.8</v>
      </c>
    </row>
    <row r="51" spans="1:15" s="111" customFormat="1" ht="18" customHeight="1" x14ac:dyDescent="0.35">
      <c r="A51" s="11"/>
      <c r="B51" s="496" t="s">
        <v>66</v>
      </c>
      <c r="C51" s="23" t="s">
        <v>1</v>
      </c>
      <c r="D51" s="10" t="s">
        <v>37</v>
      </c>
      <c r="E51" s="10" t="s">
        <v>67</v>
      </c>
      <c r="F51" s="689"/>
      <c r="G51" s="690"/>
      <c r="H51" s="690"/>
      <c r="I51" s="691"/>
      <c r="J51" s="10"/>
      <c r="K51" s="24">
        <f t="shared" ref="K51:M52" si="4">K52</f>
        <v>10135.905939999995</v>
      </c>
      <c r="L51" s="24">
        <f t="shared" si="4"/>
        <v>-3441.5880799999995</v>
      </c>
      <c r="M51" s="24">
        <f t="shared" si="4"/>
        <v>6694.3178599999956</v>
      </c>
    </row>
    <row r="52" spans="1:15" s="111" customFormat="1" ht="36" customHeight="1" x14ac:dyDescent="0.35">
      <c r="A52" s="11"/>
      <c r="B52" s="496" t="s">
        <v>443</v>
      </c>
      <c r="C52" s="23" t="s">
        <v>1</v>
      </c>
      <c r="D52" s="10" t="s">
        <v>37</v>
      </c>
      <c r="E52" s="10" t="s">
        <v>67</v>
      </c>
      <c r="F52" s="689" t="s">
        <v>68</v>
      </c>
      <c r="G52" s="690" t="s">
        <v>42</v>
      </c>
      <c r="H52" s="690" t="s">
        <v>43</v>
      </c>
      <c r="I52" s="691" t="s">
        <v>44</v>
      </c>
      <c r="J52" s="10"/>
      <c r="K52" s="24">
        <f t="shared" si="4"/>
        <v>10135.905939999995</v>
      </c>
      <c r="L52" s="24">
        <f t="shared" si="4"/>
        <v>-3441.5880799999995</v>
      </c>
      <c r="M52" s="24">
        <f t="shared" si="4"/>
        <v>6694.3178599999956</v>
      </c>
    </row>
    <row r="53" spans="1:15" s="111" customFormat="1" ht="18" customHeight="1" x14ac:dyDescent="0.35">
      <c r="A53" s="11"/>
      <c r="B53" s="529" t="s">
        <v>444</v>
      </c>
      <c r="C53" s="23" t="s">
        <v>1</v>
      </c>
      <c r="D53" s="10" t="s">
        <v>37</v>
      </c>
      <c r="E53" s="10" t="s">
        <v>67</v>
      </c>
      <c r="F53" s="689" t="s">
        <v>68</v>
      </c>
      <c r="G53" s="690" t="s">
        <v>45</v>
      </c>
      <c r="H53" s="690" t="s">
        <v>43</v>
      </c>
      <c r="I53" s="691" t="s">
        <v>44</v>
      </c>
      <c r="J53" s="10"/>
      <c r="K53" s="24">
        <f t="shared" ref="K53:M54" si="5">K54</f>
        <v>10135.905939999995</v>
      </c>
      <c r="L53" s="24">
        <f t="shared" si="5"/>
        <v>-3441.5880799999995</v>
      </c>
      <c r="M53" s="24">
        <f t="shared" si="5"/>
        <v>6694.3178599999956</v>
      </c>
    </row>
    <row r="54" spans="1:15" s="111" customFormat="1" ht="36" customHeight="1" x14ac:dyDescent="0.35">
      <c r="A54" s="11"/>
      <c r="B54" s="496" t="s">
        <v>442</v>
      </c>
      <c r="C54" s="23" t="s">
        <v>1</v>
      </c>
      <c r="D54" s="10" t="s">
        <v>37</v>
      </c>
      <c r="E54" s="10" t="s">
        <v>67</v>
      </c>
      <c r="F54" s="689" t="s">
        <v>68</v>
      </c>
      <c r="G54" s="690" t="s">
        <v>45</v>
      </c>
      <c r="H54" s="690" t="s">
        <v>43</v>
      </c>
      <c r="I54" s="691" t="s">
        <v>69</v>
      </c>
      <c r="J54" s="10"/>
      <c r="K54" s="24">
        <f t="shared" si="5"/>
        <v>10135.905939999995</v>
      </c>
      <c r="L54" s="24">
        <f t="shared" si="5"/>
        <v>-3441.5880799999995</v>
      </c>
      <c r="M54" s="24">
        <f t="shared" si="5"/>
        <v>6694.3178599999956</v>
      </c>
    </row>
    <row r="55" spans="1:15" s="111" customFormat="1" ht="18" customHeight="1" x14ac:dyDescent="0.35">
      <c r="A55" s="11"/>
      <c r="B55" s="496" t="s">
        <v>57</v>
      </c>
      <c r="C55" s="23" t="s">
        <v>1</v>
      </c>
      <c r="D55" s="10" t="s">
        <v>37</v>
      </c>
      <c r="E55" s="10" t="s">
        <v>67</v>
      </c>
      <c r="F55" s="689" t="s">
        <v>68</v>
      </c>
      <c r="G55" s="690" t="s">
        <v>45</v>
      </c>
      <c r="H55" s="690" t="s">
        <v>43</v>
      </c>
      <c r="I55" s="691" t="s">
        <v>69</v>
      </c>
      <c r="J55" s="10" t="s">
        <v>58</v>
      </c>
      <c r="K55" s="24">
        <f>55921.2-357.1-600-338-280.5-596.1-619.3-661.8-39190.7+1009.1-1070.2+20816+282.1-1769.3-18635.2+0.005-63-2699+605.6-6120-280.5-88-98.8-1204.272+6712.8+0.03-649.1-435-775-1192.8-30+682.3+3751.04294-291.6-4599+3000</f>
        <v>10135.905939999995</v>
      </c>
      <c r="L55" s="24">
        <f>M55-K55</f>
        <v>-3441.5880799999995</v>
      </c>
      <c r="M55" s="24">
        <f>55921.2-357.1-600-338-280.5-596.1-619.3-661.8-39190.7+1009.1-1070.2+20816+282.1-1769.3-18635.2+0.005-63-2699+605.6-6120-280.5-88-98.8-1204.272+6712.8+0.03-649.1-435-775-1192.8-30+682.3+3751.04294-291.6-4599+3000-3421.9+0.01192-19.7</f>
        <v>6694.3178599999956</v>
      </c>
    </row>
    <row r="56" spans="1:15" s="111" customFormat="1" ht="18" customHeight="1" x14ac:dyDescent="0.35">
      <c r="A56" s="11"/>
      <c r="B56" s="496" t="s">
        <v>70</v>
      </c>
      <c r="C56" s="23" t="s">
        <v>1</v>
      </c>
      <c r="D56" s="10" t="s">
        <v>37</v>
      </c>
      <c r="E56" s="10" t="s">
        <v>71</v>
      </c>
      <c r="F56" s="689"/>
      <c r="G56" s="690"/>
      <c r="H56" s="690"/>
      <c r="I56" s="691"/>
      <c r="J56" s="10"/>
      <c r="K56" s="24">
        <f>K57+K67+K62+K88+0.03</f>
        <v>90347.491549999977</v>
      </c>
      <c r="L56" s="24">
        <f>L57+L67+L62+L88</f>
        <v>517.61699999999973</v>
      </c>
      <c r="M56" s="24">
        <f>M57+M67+M62+M88</f>
        <v>90865.078549999991</v>
      </c>
      <c r="O56" s="116"/>
    </row>
    <row r="57" spans="1:15" s="111" customFormat="1" ht="72" customHeight="1" x14ac:dyDescent="0.35">
      <c r="A57" s="11"/>
      <c r="B57" s="579" t="s">
        <v>330</v>
      </c>
      <c r="C57" s="23" t="s">
        <v>1</v>
      </c>
      <c r="D57" s="10" t="s">
        <v>37</v>
      </c>
      <c r="E57" s="10" t="s">
        <v>71</v>
      </c>
      <c r="F57" s="689" t="s">
        <v>104</v>
      </c>
      <c r="G57" s="690" t="s">
        <v>42</v>
      </c>
      <c r="H57" s="690" t="s">
        <v>43</v>
      </c>
      <c r="I57" s="691" t="s">
        <v>44</v>
      </c>
      <c r="J57" s="10"/>
      <c r="K57" s="24">
        <f t="shared" ref="K57:M60" si="6">K58</f>
        <v>48</v>
      </c>
      <c r="L57" s="24">
        <f t="shared" si="6"/>
        <v>0</v>
      </c>
      <c r="M57" s="24">
        <f t="shared" si="6"/>
        <v>48</v>
      </c>
    </row>
    <row r="58" spans="1:15" s="111" customFormat="1" ht="36" customHeight="1" x14ac:dyDescent="0.35">
      <c r="A58" s="11"/>
      <c r="B58" s="579" t="s">
        <v>476</v>
      </c>
      <c r="C58" s="23" t="s">
        <v>1</v>
      </c>
      <c r="D58" s="10" t="s">
        <v>37</v>
      </c>
      <c r="E58" s="10" t="s">
        <v>71</v>
      </c>
      <c r="F58" s="689" t="s">
        <v>104</v>
      </c>
      <c r="G58" s="690" t="s">
        <v>477</v>
      </c>
      <c r="H58" s="690" t="s">
        <v>43</v>
      </c>
      <c r="I58" s="691" t="s">
        <v>44</v>
      </c>
      <c r="J58" s="10"/>
      <c r="K58" s="24">
        <f t="shared" si="6"/>
        <v>48</v>
      </c>
      <c r="L58" s="24">
        <f t="shared" si="6"/>
        <v>0</v>
      </c>
      <c r="M58" s="24">
        <f t="shared" si="6"/>
        <v>48</v>
      </c>
    </row>
    <row r="59" spans="1:15" s="111" customFormat="1" ht="36" customHeight="1" x14ac:dyDescent="0.35">
      <c r="A59" s="11"/>
      <c r="B59" s="579" t="s">
        <v>615</v>
      </c>
      <c r="C59" s="23" t="s">
        <v>1</v>
      </c>
      <c r="D59" s="10" t="s">
        <v>37</v>
      </c>
      <c r="E59" s="10" t="s">
        <v>71</v>
      </c>
      <c r="F59" s="689" t="s">
        <v>104</v>
      </c>
      <c r="G59" s="690" t="s">
        <v>477</v>
      </c>
      <c r="H59" s="690" t="s">
        <v>37</v>
      </c>
      <c r="I59" s="691" t="s">
        <v>44</v>
      </c>
      <c r="J59" s="10"/>
      <c r="K59" s="24">
        <f t="shared" si="6"/>
        <v>48</v>
      </c>
      <c r="L59" s="24">
        <f t="shared" si="6"/>
        <v>0</v>
      </c>
      <c r="M59" s="24">
        <f t="shared" si="6"/>
        <v>48</v>
      </c>
    </row>
    <row r="60" spans="1:15" s="111" customFormat="1" ht="72" customHeight="1" x14ac:dyDescent="0.35">
      <c r="A60" s="11"/>
      <c r="B60" s="579" t="s">
        <v>616</v>
      </c>
      <c r="C60" s="23" t="s">
        <v>1</v>
      </c>
      <c r="D60" s="10" t="s">
        <v>37</v>
      </c>
      <c r="E60" s="10" t="s">
        <v>71</v>
      </c>
      <c r="F60" s="689" t="s">
        <v>104</v>
      </c>
      <c r="G60" s="690" t="s">
        <v>477</v>
      </c>
      <c r="H60" s="690" t="s">
        <v>37</v>
      </c>
      <c r="I60" s="691" t="s">
        <v>617</v>
      </c>
      <c r="J60" s="10"/>
      <c r="K60" s="24">
        <f t="shared" si="6"/>
        <v>48</v>
      </c>
      <c r="L60" s="24">
        <f t="shared" si="6"/>
        <v>0</v>
      </c>
      <c r="M60" s="24">
        <f t="shared" si="6"/>
        <v>48</v>
      </c>
    </row>
    <row r="61" spans="1:15" s="111" customFormat="1" ht="54" customHeight="1" x14ac:dyDescent="0.35">
      <c r="A61" s="11"/>
      <c r="B61" s="579" t="s">
        <v>55</v>
      </c>
      <c r="C61" s="23" t="s">
        <v>1</v>
      </c>
      <c r="D61" s="10" t="s">
        <v>37</v>
      </c>
      <c r="E61" s="10" t="s">
        <v>71</v>
      </c>
      <c r="F61" s="689" t="s">
        <v>104</v>
      </c>
      <c r="G61" s="690" t="s">
        <v>477</v>
      </c>
      <c r="H61" s="690" t="s">
        <v>37</v>
      </c>
      <c r="I61" s="691" t="s">
        <v>617</v>
      </c>
      <c r="J61" s="10" t="s">
        <v>56</v>
      </c>
      <c r="K61" s="24">
        <f>92.2-44.2</f>
        <v>48</v>
      </c>
      <c r="L61" s="24">
        <f>M61-K61</f>
        <v>0</v>
      </c>
      <c r="M61" s="24">
        <f>92.2-44.2</f>
        <v>48</v>
      </c>
    </row>
    <row r="62" spans="1:15" s="111" customFormat="1" ht="72" customHeight="1" x14ac:dyDescent="0.35">
      <c r="A62" s="11"/>
      <c r="B62" s="496" t="s">
        <v>72</v>
      </c>
      <c r="C62" s="23" t="s">
        <v>1</v>
      </c>
      <c r="D62" s="10" t="s">
        <v>37</v>
      </c>
      <c r="E62" s="10" t="s">
        <v>71</v>
      </c>
      <c r="F62" s="689" t="s">
        <v>73</v>
      </c>
      <c r="G62" s="690" t="s">
        <v>42</v>
      </c>
      <c r="H62" s="690" t="s">
        <v>43</v>
      </c>
      <c r="I62" s="691" t="s">
        <v>44</v>
      </c>
      <c r="J62" s="10"/>
      <c r="K62" s="24">
        <f t="shared" ref="K62:M64" si="7">K63</f>
        <v>1782.9</v>
      </c>
      <c r="L62" s="24">
        <f t="shared" si="7"/>
        <v>0</v>
      </c>
      <c r="M62" s="24">
        <f t="shared" si="7"/>
        <v>1782.9</v>
      </c>
    </row>
    <row r="63" spans="1:15" s="111" customFormat="1" ht="36" customHeight="1" x14ac:dyDescent="0.35">
      <c r="A63" s="11"/>
      <c r="B63" s="496" t="s">
        <v>337</v>
      </c>
      <c r="C63" s="23" t="s">
        <v>1</v>
      </c>
      <c r="D63" s="10" t="s">
        <v>37</v>
      </c>
      <c r="E63" s="10" t="s">
        <v>71</v>
      </c>
      <c r="F63" s="689" t="s">
        <v>73</v>
      </c>
      <c r="G63" s="690" t="s">
        <v>45</v>
      </c>
      <c r="H63" s="690" t="s">
        <v>43</v>
      </c>
      <c r="I63" s="691" t="s">
        <v>44</v>
      </c>
      <c r="J63" s="10"/>
      <c r="K63" s="24">
        <f t="shared" si="7"/>
        <v>1782.9</v>
      </c>
      <c r="L63" s="24">
        <f t="shared" si="7"/>
        <v>0</v>
      </c>
      <c r="M63" s="24">
        <f t="shared" si="7"/>
        <v>1782.9</v>
      </c>
    </row>
    <row r="64" spans="1:15" s="111" customFormat="1" ht="54" customHeight="1" x14ac:dyDescent="0.35">
      <c r="A64" s="11"/>
      <c r="B64" s="529" t="s">
        <v>265</v>
      </c>
      <c r="C64" s="23" t="s">
        <v>1</v>
      </c>
      <c r="D64" s="10" t="s">
        <v>37</v>
      </c>
      <c r="E64" s="10" t="s">
        <v>71</v>
      </c>
      <c r="F64" s="689" t="s">
        <v>73</v>
      </c>
      <c r="G64" s="690" t="s">
        <v>45</v>
      </c>
      <c r="H64" s="690" t="s">
        <v>37</v>
      </c>
      <c r="I64" s="691" t="s">
        <v>44</v>
      </c>
      <c r="J64" s="10"/>
      <c r="K64" s="24">
        <f t="shared" si="7"/>
        <v>1782.9</v>
      </c>
      <c r="L64" s="24">
        <f t="shared" si="7"/>
        <v>0</v>
      </c>
      <c r="M64" s="24">
        <f t="shared" si="7"/>
        <v>1782.9</v>
      </c>
    </row>
    <row r="65" spans="1:13" s="111" customFormat="1" ht="54" customHeight="1" x14ac:dyDescent="0.35">
      <c r="A65" s="11"/>
      <c r="B65" s="529" t="s">
        <v>74</v>
      </c>
      <c r="C65" s="23" t="s">
        <v>1</v>
      </c>
      <c r="D65" s="10" t="s">
        <v>37</v>
      </c>
      <c r="E65" s="10" t="s">
        <v>71</v>
      </c>
      <c r="F65" s="689" t="s">
        <v>73</v>
      </c>
      <c r="G65" s="690" t="s">
        <v>45</v>
      </c>
      <c r="H65" s="690" t="s">
        <v>37</v>
      </c>
      <c r="I65" s="691" t="s">
        <v>75</v>
      </c>
      <c r="J65" s="10"/>
      <c r="K65" s="24">
        <f>K66</f>
        <v>1782.9</v>
      </c>
      <c r="L65" s="24">
        <f>L66</f>
        <v>0</v>
      </c>
      <c r="M65" s="24">
        <f>M66</f>
        <v>1782.9</v>
      </c>
    </row>
    <row r="66" spans="1:13" s="111" customFormat="1" ht="54" customHeight="1" x14ac:dyDescent="0.35">
      <c r="A66" s="11"/>
      <c r="B66" s="503" t="s">
        <v>76</v>
      </c>
      <c r="C66" s="23" t="s">
        <v>1</v>
      </c>
      <c r="D66" s="10" t="s">
        <v>37</v>
      </c>
      <c r="E66" s="10" t="s">
        <v>71</v>
      </c>
      <c r="F66" s="689" t="s">
        <v>73</v>
      </c>
      <c r="G66" s="690" t="s">
        <v>45</v>
      </c>
      <c r="H66" s="690" t="s">
        <v>37</v>
      </c>
      <c r="I66" s="691" t="s">
        <v>75</v>
      </c>
      <c r="J66" s="10" t="s">
        <v>77</v>
      </c>
      <c r="K66" s="24">
        <f>406.2+596.7+200+580</f>
        <v>1782.9</v>
      </c>
      <c r="L66" s="24">
        <f>M66-K66</f>
        <v>0</v>
      </c>
      <c r="M66" s="24">
        <f>406.2+596.7+200+580</f>
        <v>1782.9</v>
      </c>
    </row>
    <row r="67" spans="1:13" s="111" customFormat="1" ht="54" customHeight="1" x14ac:dyDescent="0.35">
      <c r="A67" s="11"/>
      <c r="B67" s="496" t="s">
        <v>40</v>
      </c>
      <c r="C67" s="23" t="s">
        <v>1</v>
      </c>
      <c r="D67" s="10" t="s">
        <v>37</v>
      </c>
      <c r="E67" s="10" t="s">
        <v>71</v>
      </c>
      <c r="F67" s="689" t="s">
        <v>41</v>
      </c>
      <c r="G67" s="690" t="s">
        <v>42</v>
      </c>
      <c r="H67" s="690" t="s">
        <v>43</v>
      </c>
      <c r="I67" s="691" t="s">
        <v>44</v>
      </c>
      <c r="J67" s="10"/>
      <c r="K67" s="24">
        <f>K68</f>
        <v>58119.961549999985</v>
      </c>
      <c r="L67" s="24">
        <f>L68</f>
        <v>517.61699999999973</v>
      </c>
      <c r="M67" s="24">
        <f>M68</f>
        <v>58637.578549999991</v>
      </c>
    </row>
    <row r="68" spans="1:13" s="111" customFormat="1" ht="36" customHeight="1" x14ac:dyDescent="0.35">
      <c r="A68" s="11"/>
      <c r="B68" s="496" t="s">
        <v>337</v>
      </c>
      <c r="C68" s="23" t="s">
        <v>1</v>
      </c>
      <c r="D68" s="10" t="s">
        <v>37</v>
      </c>
      <c r="E68" s="10" t="s">
        <v>71</v>
      </c>
      <c r="F68" s="689" t="s">
        <v>41</v>
      </c>
      <c r="G68" s="690" t="s">
        <v>45</v>
      </c>
      <c r="H68" s="690" t="s">
        <v>43</v>
      </c>
      <c r="I68" s="691" t="s">
        <v>44</v>
      </c>
      <c r="J68" s="10"/>
      <c r="K68" s="24">
        <f>K73+K69+K81+K78</f>
        <v>58119.961549999985</v>
      </c>
      <c r="L68" s="24">
        <f>L73+L69+L81+L78</f>
        <v>517.61699999999973</v>
      </c>
      <c r="M68" s="24">
        <f>M73+M69+M81+M78</f>
        <v>58637.578549999991</v>
      </c>
    </row>
    <row r="69" spans="1:13" s="111" customFormat="1" ht="18" customHeight="1" x14ac:dyDescent="0.35">
      <c r="A69" s="11"/>
      <c r="B69" s="503" t="s">
        <v>62</v>
      </c>
      <c r="C69" s="23" t="s">
        <v>1</v>
      </c>
      <c r="D69" s="10" t="s">
        <v>37</v>
      </c>
      <c r="E69" s="10" t="s">
        <v>71</v>
      </c>
      <c r="F69" s="689" t="s">
        <v>41</v>
      </c>
      <c r="G69" s="690" t="s">
        <v>45</v>
      </c>
      <c r="H69" s="690" t="s">
        <v>63</v>
      </c>
      <c r="I69" s="691" t="s">
        <v>44</v>
      </c>
      <c r="J69" s="10"/>
      <c r="K69" s="24">
        <f>K70</f>
        <v>7453.7</v>
      </c>
      <c r="L69" s="24">
        <f>L70</f>
        <v>500</v>
      </c>
      <c r="M69" s="24">
        <f>M70</f>
        <v>7953.7</v>
      </c>
    </row>
    <row r="70" spans="1:13" s="111" customFormat="1" ht="67.5" customHeight="1" x14ac:dyDescent="0.35">
      <c r="A70" s="11"/>
      <c r="B70" s="503" t="s">
        <v>378</v>
      </c>
      <c r="C70" s="23" t="s">
        <v>1</v>
      </c>
      <c r="D70" s="10" t="s">
        <v>37</v>
      </c>
      <c r="E70" s="10" t="s">
        <v>71</v>
      </c>
      <c r="F70" s="689" t="s">
        <v>41</v>
      </c>
      <c r="G70" s="690" t="s">
        <v>45</v>
      </c>
      <c r="H70" s="690" t="s">
        <v>63</v>
      </c>
      <c r="I70" s="691" t="s">
        <v>377</v>
      </c>
      <c r="J70" s="10"/>
      <c r="K70" s="24">
        <f>K71+K72</f>
        <v>7453.7</v>
      </c>
      <c r="L70" s="24">
        <f>L71+L72</f>
        <v>500</v>
      </c>
      <c r="M70" s="24">
        <f>M71+M72</f>
        <v>7953.7</v>
      </c>
    </row>
    <row r="71" spans="1:13" s="111" customFormat="1" ht="54" customHeight="1" x14ac:dyDescent="0.35">
      <c r="A71" s="11"/>
      <c r="B71" s="496" t="s">
        <v>55</v>
      </c>
      <c r="C71" s="23" t="s">
        <v>1</v>
      </c>
      <c r="D71" s="10" t="s">
        <v>37</v>
      </c>
      <c r="E71" s="10" t="s">
        <v>71</v>
      </c>
      <c r="F71" s="689" t="s">
        <v>41</v>
      </c>
      <c r="G71" s="690" t="s">
        <v>45</v>
      </c>
      <c r="H71" s="690" t="s">
        <v>63</v>
      </c>
      <c r="I71" s="691" t="s">
        <v>377</v>
      </c>
      <c r="J71" s="10" t="s">
        <v>56</v>
      </c>
      <c r="K71" s="24">
        <f>1911.5+1226.2-840+2500+39.3+30.2+435+47.9+850+19.3+1010</f>
        <v>7229.4</v>
      </c>
      <c r="L71" s="24">
        <f>M71-K71</f>
        <v>500</v>
      </c>
      <c r="M71" s="24">
        <f>1911.5+1226.2-840+2500+39.3+30.2+435+47.9+850+19.3+1010+500</f>
        <v>7729.4</v>
      </c>
    </row>
    <row r="72" spans="1:13" s="111" customFormat="1" ht="18" customHeight="1" x14ac:dyDescent="0.35">
      <c r="A72" s="11"/>
      <c r="B72" s="496" t="s">
        <v>57</v>
      </c>
      <c r="C72" s="23" t="s">
        <v>1</v>
      </c>
      <c r="D72" s="10" t="s">
        <v>37</v>
      </c>
      <c r="E72" s="10" t="s">
        <v>71</v>
      </c>
      <c r="F72" s="689" t="s">
        <v>41</v>
      </c>
      <c r="G72" s="690" t="s">
        <v>45</v>
      </c>
      <c r="H72" s="690" t="s">
        <v>63</v>
      </c>
      <c r="I72" s="691" t="s">
        <v>377</v>
      </c>
      <c r="J72" s="10" t="s">
        <v>58</v>
      </c>
      <c r="K72" s="24">
        <f>226.3-2</f>
        <v>224.3</v>
      </c>
      <c r="L72" s="24">
        <f>M72-K72</f>
        <v>0</v>
      </c>
      <c r="M72" s="24">
        <f>226.3-2</f>
        <v>224.3</v>
      </c>
    </row>
    <row r="73" spans="1:13" s="111" customFormat="1" ht="18" customHeight="1" x14ac:dyDescent="0.35">
      <c r="A73" s="11"/>
      <c r="B73" s="496" t="s">
        <v>64</v>
      </c>
      <c r="C73" s="23" t="s">
        <v>1</v>
      </c>
      <c r="D73" s="10" t="s">
        <v>37</v>
      </c>
      <c r="E73" s="10" t="s">
        <v>71</v>
      </c>
      <c r="F73" s="689" t="s">
        <v>41</v>
      </c>
      <c r="G73" s="690" t="s">
        <v>45</v>
      </c>
      <c r="H73" s="690" t="s">
        <v>52</v>
      </c>
      <c r="I73" s="691" t="s">
        <v>44</v>
      </c>
      <c r="J73" s="10"/>
      <c r="K73" s="24">
        <f>K74+K76</f>
        <v>6078.75155</v>
      </c>
      <c r="L73" s="24">
        <f>L74+L76</f>
        <v>-75.483000000000175</v>
      </c>
      <c r="M73" s="24">
        <f>M74+M76</f>
        <v>6003.2685499999998</v>
      </c>
    </row>
    <row r="74" spans="1:13" s="111" customFormat="1" ht="69" customHeight="1" x14ac:dyDescent="0.35">
      <c r="A74" s="11"/>
      <c r="B74" s="545" t="s">
        <v>350</v>
      </c>
      <c r="C74" s="23" t="s">
        <v>1</v>
      </c>
      <c r="D74" s="10" t="s">
        <v>37</v>
      </c>
      <c r="E74" s="10" t="s">
        <v>71</v>
      </c>
      <c r="F74" s="689" t="s">
        <v>41</v>
      </c>
      <c r="G74" s="690" t="s">
        <v>45</v>
      </c>
      <c r="H74" s="690" t="s">
        <v>52</v>
      </c>
      <c r="I74" s="691" t="s">
        <v>105</v>
      </c>
      <c r="J74" s="10"/>
      <c r="K74" s="24">
        <f>K75</f>
        <v>3649.7</v>
      </c>
      <c r="L74" s="24">
        <f>L75</f>
        <v>0</v>
      </c>
      <c r="M74" s="24">
        <f>M75</f>
        <v>3649.7</v>
      </c>
    </row>
    <row r="75" spans="1:13" s="111" customFormat="1" ht="54" customHeight="1" x14ac:dyDescent="0.35">
      <c r="A75" s="11"/>
      <c r="B75" s="496" t="s">
        <v>55</v>
      </c>
      <c r="C75" s="23" t="s">
        <v>1</v>
      </c>
      <c r="D75" s="10" t="s">
        <v>37</v>
      </c>
      <c r="E75" s="10" t="s">
        <v>71</v>
      </c>
      <c r="F75" s="689" t="s">
        <v>41</v>
      </c>
      <c r="G75" s="690" t="s">
        <v>45</v>
      </c>
      <c r="H75" s="690" t="s">
        <v>52</v>
      </c>
      <c r="I75" s="691" t="s">
        <v>105</v>
      </c>
      <c r="J75" s="10" t="s">
        <v>56</v>
      </c>
      <c r="K75" s="24">
        <f>1138.8+1117.6+840+143.3+110+300</f>
        <v>3649.7</v>
      </c>
      <c r="L75" s="24">
        <f>M75-K75</f>
        <v>0</v>
      </c>
      <c r="M75" s="24">
        <f>1138.8+1117.6+840+143.3+110+300</f>
        <v>3649.7</v>
      </c>
    </row>
    <row r="76" spans="1:13" s="111" customFormat="1" ht="54" customHeight="1" x14ac:dyDescent="0.35">
      <c r="A76" s="11"/>
      <c r="B76" s="496" t="s">
        <v>352</v>
      </c>
      <c r="C76" s="23" t="s">
        <v>1</v>
      </c>
      <c r="D76" s="10" t="s">
        <v>37</v>
      </c>
      <c r="E76" s="10" t="s">
        <v>71</v>
      </c>
      <c r="F76" s="689" t="s">
        <v>41</v>
      </c>
      <c r="G76" s="690" t="s">
        <v>45</v>
      </c>
      <c r="H76" s="690" t="s">
        <v>52</v>
      </c>
      <c r="I76" s="691" t="s">
        <v>351</v>
      </c>
      <c r="J76" s="10"/>
      <c r="K76" s="24">
        <f>K77</f>
        <v>2429.0515500000001</v>
      </c>
      <c r="L76" s="24">
        <f>L77</f>
        <v>-75.483000000000175</v>
      </c>
      <c r="M76" s="24">
        <f>M77</f>
        <v>2353.56855</v>
      </c>
    </row>
    <row r="77" spans="1:13" s="111" customFormat="1" ht="54" customHeight="1" x14ac:dyDescent="0.35">
      <c r="A77" s="11"/>
      <c r="B77" s="496" t="s">
        <v>55</v>
      </c>
      <c r="C77" s="23" t="s">
        <v>1</v>
      </c>
      <c r="D77" s="10" t="s">
        <v>37</v>
      </c>
      <c r="E77" s="10" t="s">
        <v>71</v>
      </c>
      <c r="F77" s="689" t="s">
        <v>41</v>
      </c>
      <c r="G77" s="690" t="s">
        <v>45</v>
      </c>
      <c r="H77" s="690" t="s">
        <v>52</v>
      </c>
      <c r="I77" s="691" t="s">
        <v>351</v>
      </c>
      <c r="J77" s="10" t="s">
        <v>56</v>
      </c>
      <c r="K77" s="24">
        <f>2089+1000-419.74845-240.2</f>
        <v>2429.0515500000001</v>
      </c>
      <c r="L77" s="24">
        <f>M77-K77</f>
        <v>-75.483000000000175</v>
      </c>
      <c r="M77" s="24">
        <f>2089+1000-419.74845-240.2-75.483</f>
        <v>2353.56855</v>
      </c>
    </row>
    <row r="78" spans="1:13" s="111" customFormat="1" ht="36" customHeight="1" x14ac:dyDescent="0.35">
      <c r="A78" s="11"/>
      <c r="B78" s="579" t="s">
        <v>372</v>
      </c>
      <c r="C78" s="23" t="s">
        <v>1</v>
      </c>
      <c r="D78" s="10" t="s">
        <v>37</v>
      </c>
      <c r="E78" s="10" t="s">
        <v>71</v>
      </c>
      <c r="F78" s="689" t="s">
        <v>41</v>
      </c>
      <c r="G78" s="690" t="s">
        <v>45</v>
      </c>
      <c r="H78" s="690" t="s">
        <v>659</v>
      </c>
      <c r="I78" s="691" t="s">
        <v>44</v>
      </c>
      <c r="J78" s="10"/>
      <c r="K78" s="24">
        <f t="shared" ref="K78:M78" si="8">K79</f>
        <v>1834.6999999999998</v>
      </c>
      <c r="L78" s="24">
        <f t="shared" si="8"/>
        <v>93.099999999999909</v>
      </c>
      <c r="M78" s="24">
        <f t="shared" si="8"/>
        <v>1927.7999999999997</v>
      </c>
    </row>
    <row r="79" spans="1:13" s="111" customFormat="1" ht="36" customHeight="1" x14ac:dyDescent="0.35">
      <c r="A79" s="11"/>
      <c r="B79" s="579" t="s">
        <v>335</v>
      </c>
      <c r="C79" s="23" t="s">
        <v>1</v>
      </c>
      <c r="D79" s="10" t="s">
        <v>37</v>
      </c>
      <c r="E79" s="10" t="s">
        <v>71</v>
      </c>
      <c r="F79" s="689" t="s">
        <v>41</v>
      </c>
      <c r="G79" s="690" t="s">
        <v>45</v>
      </c>
      <c r="H79" s="690" t="s">
        <v>659</v>
      </c>
      <c r="I79" s="691" t="s">
        <v>334</v>
      </c>
      <c r="J79" s="10"/>
      <c r="K79" s="24">
        <f>K80</f>
        <v>1834.6999999999998</v>
      </c>
      <c r="L79" s="24">
        <f>L80</f>
        <v>93.099999999999909</v>
      </c>
      <c r="M79" s="24">
        <f>M80</f>
        <v>1927.7999999999997</v>
      </c>
    </row>
    <row r="80" spans="1:13" s="111" customFormat="1" ht="18" x14ac:dyDescent="0.35">
      <c r="A80" s="11"/>
      <c r="B80" s="496" t="s">
        <v>57</v>
      </c>
      <c r="C80" s="23" t="s">
        <v>1</v>
      </c>
      <c r="D80" s="10" t="s">
        <v>37</v>
      </c>
      <c r="E80" s="10" t="s">
        <v>71</v>
      </c>
      <c r="F80" s="689" t="s">
        <v>41</v>
      </c>
      <c r="G80" s="690" t="s">
        <v>45</v>
      </c>
      <c r="H80" s="690" t="s">
        <v>659</v>
      </c>
      <c r="I80" s="691" t="s">
        <v>334</v>
      </c>
      <c r="J80" s="10" t="s">
        <v>58</v>
      </c>
      <c r="K80" s="24">
        <f>1089+421.3+68.8+245.6+10</f>
        <v>1834.6999999999998</v>
      </c>
      <c r="L80" s="24">
        <f t="shared" ref="L80" si="9">M80-K80</f>
        <v>93.099999999999909</v>
      </c>
      <c r="M80" s="24">
        <f>1089+421.3+68.8+245.6+10+93.1</f>
        <v>1927.7999999999997</v>
      </c>
    </row>
    <row r="81" spans="1:13" s="111" customFormat="1" ht="100.5" customHeight="1" x14ac:dyDescent="0.35">
      <c r="A81" s="11"/>
      <c r="B81" s="496" t="s">
        <v>590</v>
      </c>
      <c r="C81" s="23" t="s">
        <v>1</v>
      </c>
      <c r="D81" s="10" t="s">
        <v>37</v>
      </c>
      <c r="E81" s="10" t="s">
        <v>71</v>
      </c>
      <c r="F81" s="689" t="s">
        <v>41</v>
      </c>
      <c r="G81" s="690" t="s">
        <v>45</v>
      </c>
      <c r="H81" s="690" t="s">
        <v>580</v>
      </c>
      <c r="I81" s="691" t="s">
        <v>44</v>
      </c>
      <c r="J81" s="10"/>
      <c r="K81" s="24">
        <f>K82+K86</f>
        <v>42752.80999999999</v>
      </c>
      <c r="L81" s="24">
        <f>L82+L86</f>
        <v>0</v>
      </c>
      <c r="M81" s="24">
        <f>M82+M86</f>
        <v>42752.80999999999</v>
      </c>
    </row>
    <row r="82" spans="1:13" s="111" customFormat="1" ht="36" customHeight="1" x14ac:dyDescent="0.35">
      <c r="A82" s="11"/>
      <c r="B82" s="529" t="s">
        <v>461</v>
      </c>
      <c r="C82" s="23" t="s">
        <v>1</v>
      </c>
      <c r="D82" s="10" t="s">
        <v>37</v>
      </c>
      <c r="E82" s="10" t="s">
        <v>71</v>
      </c>
      <c r="F82" s="689" t="s">
        <v>41</v>
      </c>
      <c r="G82" s="690" t="s">
        <v>45</v>
      </c>
      <c r="H82" s="690" t="s">
        <v>580</v>
      </c>
      <c r="I82" s="691" t="s">
        <v>91</v>
      </c>
      <c r="J82" s="10"/>
      <c r="K82" s="24">
        <f>SUM(K83:K85)</f>
        <v>41345.609999999993</v>
      </c>
      <c r="L82" s="24">
        <f>SUM(L83:L85)</f>
        <v>0</v>
      </c>
      <c r="M82" s="24">
        <f>SUM(M83:M85)</f>
        <v>41345.609999999993</v>
      </c>
    </row>
    <row r="83" spans="1:13" s="111" customFormat="1" ht="108" customHeight="1" x14ac:dyDescent="0.35">
      <c r="A83" s="11"/>
      <c r="B83" s="496" t="s">
        <v>49</v>
      </c>
      <c r="C83" s="23" t="s">
        <v>1</v>
      </c>
      <c r="D83" s="10" t="s">
        <v>37</v>
      </c>
      <c r="E83" s="10" t="s">
        <v>71</v>
      </c>
      <c r="F83" s="689" t="s">
        <v>41</v>
      </c>
      <c r="G83" s="690" t="s">
        <v>45</v>
      </c>
      <c r="H83" s="690" t="s">
        <v>580</v>
      </c>
      <c r="I83" s="691" t="s">
        <v>91</v>
      </c>
      <c r="J83" s="10" t="s">
        <v>50</v>
      </c>
      <c r="K83" s="24">
        <f>23306.3-1204.3+5512.1-797.8+827.3+1024.1+326.2+19-700+27.4+700</f>
        <v>29040.3</v>
      </c>
      <c r="L83" s="24">
        <f>M83-K83</f>
        <v>4</v>
      </c>
      <c r="M83" s="24">
        <f>23306.3-1204.3+5512.1-797.8+827.3+1024.1+326.2+19-700+27.4+700+4</f>
        <v>29044.3</v>
      </c>
    </row>
    <row r="84" spans="1:13" s="111" customFormat="1" ht="54" customHeight="1" x14ac:dyDescent="0.35">
      <c r="A84" s="11"/>
      <c r="B84" s="496" t="s">
        <v>55</v>
      </c>
      <c r="C84" s="23" t="s">
        <v>1</v>
      </c>
      <c r="D84" s="10" t="s">
        <v>37</v>
      </c>
      <c r="E84" s="10" t="s">
        <v>71</v>
      </c>
      <c r="F84" s="689" t="s">
        <v>41</v>
      </c>
      <c r="G84" s="690" t="s">
        <v>45</v>
      </c>
      <c r="H84" s="690" t="s">
        <v>580</v>
      </c>
      <c r="I84" s="691" t="s">
        <v>91</v>
      </c>
      <c r="J84" s="10" t="s">
        <v>56</v>
      </c>
      <c r="K84" s="24">
        <f>6279.1+596.1+559.5+225+754+95.5-71.69+675+78.2+30.4+30+797.8+551.2+296.3+126+700+171.9+338.8</f>
        <v>12233.109999999999</v>
      </c>
      <c r="L84" s="24">
        <f>M84-K84</f>
        <v>-4</v>
      </c>
      <c r="M84" s="24">
        <f>6279.1+596.1+559.5+225+754+95.5-71.69+675+78.2+30.4+30+797.8+551.2+296.3+126+700+171.9+338.8-4</f>
        <v>12229.109999999999</v>
      </c>
    </row>
    <row r="85" spans="1:13" s="111" customFormat="1" ht="18" customHeight="1" x14ac:dyDescent="0.35">
      <c r="A85" s="11"/>
      <c r="B85" s="496" t="s">
        <v>57</v>
      </c>
      <c r="C85" s="23" t="s">
        <v>1</v>
      </c>
      <c r="D85" s="10" t="s">
        <v>37</v>
      </c>
      <c r="E85" s="10" t="s">
        <v>71</v>
      </c>
      <c r="F85" s="689" t="s">
        <v>41</v>
      </c>
      <c r="G85" s="690" t="s">
        <v>45</v>
      </c>
      <c r="H85" s="690" t="s">
        <v>580</v>
      </c>
      <c r="I85" s="691" t="s">
        <v>91</v>
      </c>
      <c r="J85" s="10" t="s">
        <v>58</v>
      </c>
      <c r="K85" s="24">
        <f>62.3+9.9</f>
        <v>72.2</v>
      </c>
      <c r="L85" s="24">
        <f>M85-K85</f>
        <v>0</v>
      </c>
      <c r="M85" s="24">
        <f>62.3+9.9</f>
        <v>72.2</v>
      </c>
    </row>
    <row r="86" spans="1:13" s="111" customFormat="1" ht="18" customHeight="1" x14ac:dyDescent="0.35">
      <c r="A86" s="11"/>
      <c r="B86" s="496" t="s">
        <v>462</v>
      </c>
      <c r="C86" s="23" t="s">
        <v>1</v>
      </c>
      <c r="D86" s="10" t="s">
        <v>37</v>
      </c>
      <c r="E86" s="10" t="s">
        <v>71</v>
      </c>
      <c r="F86" s="689" t="s">
        <v>41</v>
      </c>
      <c r="G86" s="690" t="s">
        <v>45</v>
      </c>
      <c r="H86" s="690" t="s">
        <v>580</v>
      </c>
      <c r="I86" s="691" t="s">
        <v>379</v>
      </c>
      <c r="J86" s="10"/>
      <c r="K86" s="24">
        <f>K87</f>
        <v>1407.1999999999998</v>
      </c>
      <c r="L86" s="24">
        <f>L87</f>
        <v>0</v>
      </c>
      <c r="M86" s="24">
        <f>M87</f>
        <v>1407.1999999999998</v>
      </c>
    </row>
    <row r="87" spans="1:13" s="111" customFormat="1" ht="54" customHeight="1" x14ac:dyDescent="0.35">
      <c r="A87" s="11"/>
      <c r="B87" s="496" t="s">
        <v>55</v>
      </c>
      <c r="C87" s="23" t="s">
        <v>1</v>
      </c>
      <c r="D87" s="10" t="s">
        <v>37</v>
      </c>
      <c r="E87" s="10" t="s">
        <v>71</v>
      </c>
      <c r="F87" s="689" t="s">
        <v>41</v>
      </c>
      <c r="G87" s="690" t="s">
        <v>45</v>
      </c>
      <c r="H87" s="690" t="s">
        <v>580</v>
      </c>
      <c r="I87" s="691" t="s">
        <v>379</v>
      </c>
      <c r="J87" s="10" t="s">
        <v>56</v>
      </c>
      <c r="K87" s="24">
        <f>730.3+900-209.2-13.9</f>
        <v>1407.1999999999998</v>
      </c>
      <c r="L87" s="24">
        <f>M87-K87</f>
        <v>0</v>
      </c>
      <c r="M87" s="24">
        <f>730.3+900-209.2-13.9</f>
        <v>1407.1999999999998</v>
      </c>
    </row>
    <row r="88" spans="1:13" s="111" customFormat="1" ht="36" customHeight="1" x14ac:dyDescent="0.35">
      <c r="A88" s="11"/>
      <c r="B88" s="579" t="s">
        <v>443</v>
      </c>
      <c r="C88" s="23" t="s">
        <v>1</v>
      </c>
      <c r="D88" s="10" t="s">
        <v>37</v>
      </c>
      <c r="E88" s="10" t="s">
        <v>71</v>
      </c>
      <c r="F88" s="689" t="s">
        <v>68</v>
      </c>
      <c r="G88" s="690" t="s">
        <v>42</v>
      </c>
      <c r="H88" s="690" t="s">
        <v>43</v>
      </c>
      <c r="I88" s="691" t="s">
        <v>44</v>
      </c>
      <c r="J88" s="10"/>
      <c r="K88" s="24">
        <f t="shared" ref="K88:M92" si="10">K89</f>
        <v>30396.6</v>
      </c>
      <c r="L88" s="24">
        <f t="shared" si="10"/>
        <v>0</v>
      </c>
      <c r="M88" s="24">
        <f t="shared" si="10"/>
        <v>30396.6</v>
      </c>
    </row>
    <row r="89" spans="1:13" s="111" customFormat="1" ht="18" customHeight="1" x14ac:dyDescent="0.35">
      <c r="A89" s="11"/>
      <c r="B89" s="579" t="s">
        <v>444</v>
      </c>
      <c r="C89" s="23" t="s">
        <v>1</v>
      </c>
      <c r="D89" s="10" t="s">
        <v>37</v>
      </c>
      <c r="E89" s="10" t="s">
        <v>71</v>
      </c>
      <c r="F89" s="689" t="s">
        <v>68</v>
      </c>
      <c r="G89" s="690" t="s">
        <v>45</v>
      </c>
      <c r="H89" s="690" t="s">
        <v>43</v>
      </c>
      <c r="I89" s="691" t="s">
        <v>44</v>
      </c>
      <c r="J89" s="10"/>
      <c r="K89" s="24">
        <f>K92+K90</f>
        <v>30396.6</v>
      </c>
      <c r="L89" s="24">
        <f>L92+L90</f>
        <v>0</v>
      </c>
      <c r="M89" s="24">
        <f>M92+M90</f>
        <v>30396.6</v>
      </c>
    </row>
    <row r="90" spans="1:13" s="111" customFormat="1" ht="36" x14ac:dyDescent="0.35">
      <c r="A90" s="11"/>
      <c r="B90" s="496" t="s">
        <v>707</v>
      </c>
      <c r="C90" s="23" t="s">
        <v>1</v>
      </c>
      <c r="D90" s="10" t="s">
        <v>37</v>
      </c>
      <c r="E90" s="10" t="s">
        <v>71</v>
      </c>
      <c r="F90" s="689" t="s">
        <v>68</v>
      </c>
      <c r="G90" s="690" t="s">
        <v>45</v>
      </c>
      <c r="H90" s="690" t="s">
        <v>43</v>
      </c>
      <c r="I90" s="691" t="s">
        <v>706</v>
      </c>
      <c r="J90" s="10"/>
      <c r="K90" s="24">
        <f>K91</f>
        <v>14918.399999999998</v>
      </c>
      <c r="L90" s="24">
        <f>L91</f>
        <v>0</v>
      </c>
      <c r="M90" s="24">
        <f>M91</f>
        <v>14918.399999999998</v>
      </c>
    </row>
    <row r="91" spans="1:13" s="111" customFormat="1" ht="54" customHeight="1" x14ac:dyDescent="0.35">
      <c r="A91" s="11"/>
      <c r="B91" s="496" t="s">
        <v>55</v>
      </c>
      <c r="C91" s="23" t="s">
        <v>1</v>
      </c>
      <c r="D91" s="10" t="s">
        <v>37</v>
      </c>
      <c r="E91" s="10" t="s">
        <v>71</v>
      </c>
      <c r="F91" s="689" t="s">
        <v>68</v>
      </c>
      <c r="G91" s="690" t="s">
        <v>45</v>
      </c>
      <c r="H91" s="690" t="s">
        <v>43</v>
      </c>
      <c r="I91" s="691" t="s">
        <v>706</v>
      </c>
      <c r="J91" s="10" t="s">
        <v>56</v>
      </c>
      <c r="K91" s="24">
        <f>5756.4+4273.2+2811.6+2077.2</f>
        <v>14918.399999999998</v>
      </c>
      <c r="L91" s="24">
        <f>M91-K91</f>
        <v>0</v>
      </c>
      <c r="M91" s="24">
        <f>5756.4+4273.2+2811.6+2077.2</f>
        <v>14918.399999999998</v>
      </c>
    </row>
    <row r="92" spans="1:13" s="111" customFormat="1" ht="180" customHeight="1" x14ac:dyDescent="0.35">
      <c r="A92" s="11"/>
      <c r="B92" s="496" t="s">
        <v>746</v>
      </c>
      <c r="C92" s="23" t="s">
        <v>1</v>
      </c>
      <c r="D92" s="10" t="s">
        <v>37</v>
      </c>
      <c r="E92" s="10" t="s">
        <v>71</v>
      </c>
      <c r="F92" s="689" t="s">
        <v>68</v>
      </c>
      <c r="G92" s="690" t="s">
        <v>45</v>
      </c>
      <c r="H92" s="690" t="s">
        <v>43</v>
      </c>
      <c r="I92" s="691" t="s">
        <v>664</v>
      </c>
      <c r="J92" s="10"/>
      <c r="K92" s="24">
        <f t="shared" si="10"/>
        <v>15478.199999999999</v>
      </c>
      <c r="L92" s="24">
        <f t="shared" si="10"/>
        <v>0</v>
      </c>
      <c r="M92" s="24">
        <f t="shared" si="10"/>
        <v>15478.199999999999</v>
      </c>
    </row>
    <row r="93" spans="1:13" s="111" customFormat="1" ht="54" customHeight="1" x14ac:dyDescent="0.35">
      <c r="A93" s="11"/>
      <c r="B93" s="496" t="s">
        <v>55</v>
      </c>
      <c r="C93" s="23" t="s">
        <v>1</v>
      </c>
      <c r="D93" s="10" t="s">
        <v>37</v>
      </c>
      <c r="E93" s="10" t="s">
        <v>71</v>
      </c>
      <c r="F93" s="689" t="s">
        <v>68</v>
      </c>
      <c r="G93" s="690" t="s">
        <v>45</v>
      </c>
      <c r="H93" s="690" t="s">
        <v>43</v>
      </c>
      <c r="I93" s="691" t="s">
        <v>664</v>
      </c>
      <c r="J93" s="10" t="s">
        <v>56</v>
      </c>
      <c r="K93" s="24">
        <f>12753+1850.4+874.8</f>
        <v>15478.199999999999</v>
      </c>
      <c r="L93" s="24">
        <f>M93-K93</f>
        <v>0</v>
      </c>
      <c r="M93" s="24">
        <f>12753+1850.4+874.8</f>
        <v>15478.199999999999</v>
      </c>
    </row>
    <row r="94" spans="1:13" s="111" customFormat="1" ht="36" customHeight="1" x14ac:dyDescent="0.35">
      <c r="A94" s="11"/>
      <c r="B94" s="496" t="s">
        <v>78</v>
      </c>
      <c r="C94" s="23" t="s">
        <v>1</v>
      </c>
      <c r="D94" s="10" t="s">
        <v>63</v>
      </c>
      <c r="E94" s="10"/>
      <c r="F94" s="689"/>
      <c r="G94" s="690"/>
      <c r="H94" s="690"/>
      <c r="I94" s="691"/>
      <c r="J94" s="10"/>
      <c r="K94" s="24">
        <f>K95+K107</f>
        <v>22550.347999999998</v>
      </c>
      <c r="L94" s="24">
        <f>L95+L107</f>
        <v>0</v>
      </c>
      <c r="M94" s="24">
        <f>M95+M107</f>
        <v>22550.347999999998</v>
      </c>
    </row>
    <row r="95" spans="1:13" s="111" customFormat="1" ht="72" customHeight="1" x14ac:dyDescent="0.35">
      <c r="A95" s="11"/>
      <c r="B95" s="496" t="s">
        <v>459</v>
      </c>
      <c r="C95" s="23" t="s">
        <v>1</v>
      </c>
      <c r="D95" s="10" t="s">
        <v>63</v>
      </c>
      <c r="E95" s="10" t="s">
        <v>104</v>
      </c>
      <c r="F95" s="689"/>
      <c r="G95" s="690"/>
      <c r="H95" s="690"/>
      <c r="I95" s="691"/>
      <c r="J95" s="10"/>
      <c r="K95" s="24">
        <f t="shared" ref="K95:M97" si="11">K96</f>
        <v>9496.6999999999989</v>
      </c>
      <c r="L95" s="24">
        <f t="shared" si="11"/>
        <v>0</v>
      </c>
      <c r="M95" s="24">
        <f t="shared" si="11"/>
        <v>9496.6999999999989</v>
      </c>
    </row>
    <row r="96" spans="1:13" s="111" customFormat="1" ht="54" customHeight="1" x14ac:dyDescent="0.35">
      <c r="A96" s="11"/>
      <c r="B96" s="496" t="s">
        <v>80</v>
      </c>
      <c r="C96" s="23" t="s">
        <v>1</v>
      </c>
      <c r="D96" s="10" t="s">
        <v>63</v>
      </c>
      <c r="E96" s="10" t="s">
        <v>104</v>
      </c>
      <c r="F96" s="689" t="s">
        <v>81</v>
      </c>
      <c r="G96" s="690" t="s">
        <v>42</v>
      </c>
      <c r="H96" s="690" t="s">
        <v>43</v>
      </c>
      <c r="I96" s="691" t="s">
        <v>44</v>
      </c>
      <c r="J96" s="10"/>
      <c r="K96" s="24">
        <f t="shared" si="11"/>
        <v>9496.6999999999989</v>
      </c>
      <c r="L96" s="24">
        <f t="shared" si="11"/>
        <v>0</v>
      </c>
      <c r="M96" s="24">
        <f t="shared" si="11"/>
        <v>9496.6999999999989</v>
      </c>
    </row>
    <row r="97" spans="1:13" s="111" customFormat="1" ht="54" customHeight="1" x14ac:dyDescent="0.35">
      <c r="A97" s="11"/>
      <c r="B97" s="546" t="s">
        <v>82</v>
      </c>
      <c r="C97" s="23" t="s">
        <v>1</v>
      </c>
      <c r="D97" s="10" t="s">
        <v>63</v>
      </c>
      <c r="E97" s="10" t="s">
        <v>104</v>
      </c>
      <c r="F97" s="689" t="s">
        <v>81</v>
      </c>
      <c r="G97" s="690" t="s">
        <v>45</v>
      </c>
      <c r="H97" s="690" t="s">
        <v>43</v>
      </c>
      <c r="I97" s="691" t="s">
        <v>44</v>
      </c>
      <c r="J97" s="10"/>
      <c r="K97" s="24">
        <f t="shared" si="11"/>
        <v>9496.6999999999989</v>
      </c>
      <c r="L97" s="24">
        <f t="shared" si="11"/>
        <v>0</v>
      </c>
      <c r="M97" s="24">
        <f t="shared" si="11"/>
        <v>9496.6999999999989</v>
      </c>
    </row>
    <row r="98" spans="1:13" s="111" customFormat="1" ht="72" customHeight="1" x14ac:dyDescent="0.35">
      <c r="A98" s="11"/>
      <c r="B98" s="496" t="s">
        <v>83</v>
      </c>
      <c r="C98" s="23" t="s">
        <v>1</v>
      </c>
      <c r="D98" s="10" t="s">
        <v>63</v>
      </c>
      <c r="E98" s="10" t="s">
        <v>104</v>
      </c>
      <c r="F98" s="689" t="s">
        <v>81</v>
      </c>
      <c r="G98" s="690" t="s">
        <v>45</v>
      </c>
      <c r="H98" s="690" t="s">
        <v>37</v>
      </c>
      <c r="I98" s="691" t="s">
        <v>44</v>
      </c>
      <c r="J98" s="10"/>
      <c r="K98" s="24">
        <f>K99+K101+K103+K106</f>
        <v>9496.6999999999989</v>
      </c>
      <c r="L98" s="24">
        <f>L99+L101+L103+L106</f>
        <v>0</v>
      </c>
      <c r="M98" s="24">
        <f>M99+M101+M103+M106</f>
        <v>9496.6999999999989</v>
      </c>
    </row>
    <row r="99" spans="1:13" s="111" customFormat="1" ht="36" customHeight="1" x14ac:dyDescent="0.35">
      <c r="A99" s="11"/>
      <c r="B99" s="546" t="s">
        <v>448</v>
      </c>
      <c r="C99" s="23" t="s">
        <v>1</v>
      </c>
      <c r="D99" s="10" t="s">
        <v>63</v>
      </c>
      <c r="E99" s="10" t="s">
        <v>104</v>
      </c>
      <c r="F99" s="689" t="s">
        <v>81</v>
      </c>
      <c r="G99" s="690" t="s">
        <v>45</v>
      </c>
      <c r="H99" s="690" t="s">
        <v>37</v>
      </c>
      <c r="I99" s="691" t="s">
        <v>84</v>
      </c>
      <c r="J99" s="10"/>
      <c r="K99" s="24">
        <f>K100</f>
        <v>298.39999999999998</v>
      </c>
      <c r="L99" s="24">
        <f>L100</f>
        <v>0</v>
      </c>
      <c r="M99" s="24">
        <f>M100</f>
        <v>298.39999999999998</v>
      </c>
    </row>
    <row r="100" spans="1:13" s="111" customFormat="1" ht="54" customHeight="1" x14ac:dyDescent="0.35">
      <c r="A100" s="11"/>
      <c r="B100" s="496" t="s">
        <v>55</v>
      </c>
      <c r="C100" s="23" t="s">
        <v>1</v>
      </c>
      <c r="D100" s="10" t="s">
        <v>63</v>
      </c>
      <c r="E100" s="10" t="s">
        <v>104</v>
      </c>
      <c r="F100" s="689" t="s">
        <v>81</v>
      </c>
      <c r="G100" s="690" t="s">
        <v>45</v>
      </c>
      <c r="H100" s="690" t="s">
        <v>37</v>
      </c>
      <c r="I100" s="691" t="s">
        <v>84</v>
      </c>
      <c r="J100" s="10" t="s">
        <v>56</v>
      </c>
      <c r="K100" s="24">
        <v>298.39999999999998</v>
      </c>
      <c r="L100" s="24">
        <f>M100-K100</f>
        <v>0</v>
      </c>
      <c r="M100" s="24">
        <v>298.39999999999998</v>
      </c>
    </row>
    <row r="101" spans="1:13" s="111" customFormat="1" ht="54" customHeight="1" x14ac:dyDescent="0.35">
      <c r="A101" s="11"/>
      <c r="B101" s="496" t="s">
        <v>85</v>
      </c>
      <c r="C101" s="23" t="s">
        <v>1</v>
      </c>
      <c r="D101" s="10" t="s">
        <v>63</v>
      </c>
      <c r="E101" s="10" t="s">
        <v>104</v>
      </c>
      <c r="F101" s="689" t="s">
        <v>81</v>
      </c>
      <c r="G101" s="690" t="s">
        <v>45</v>
      </c>
      <c r="H101" s="690" t="s">
        <v>37</v>
      </c>
      <c r="I101" s="691" t="s">
        <v>86</v>
      </c>
      <c r="J101" s="10"/>
      <c r="K101" s="24">
        <f>K102</f>
        <v>67.2</v>
      </c>
      <c r="L101" s="24">
        <f>L102</f>
        <v>0</v>
      </c>
      <c r="M101" s="24">
        <f>M102</f>
        <v>67.2</v>
      </c>
    </row>
    <row r="102" spans="1:13" s="111" customFormat="1" ht="54" customHeight="1" x14ac:dyDescent="0.35">
      <c r="A102" s="11"/>
      <c r="B102" s="496" t="s">
        <v>55</v>
      </c>
      <c r="C102" s="23" t="s">
        <v>1</v>
      </c>
      <c r="D102" s="10" t="s">
        <v>63</v>
      </c>
      <c r="E102" s="10" t="s">
        <v>104</v>
      </c>
      <c r="F102" s="689" t="s">
        <v>81</v>
      </c>
      <c r="G102" s="690" t="s">
        <v>45</v>
      </c>
      <c r="H102" s="690" t="s">
        <v>37</v>
      </c>
      <c r="I102" s="691" t="s">
        <v>86</v>
      </c>
      <c r="J102" s="10" t="s">
        <v>56</v>
      </c>
      <c r="K102" s="24">
        <f>63.9+3.3</f>
        <v>67.2</v>
      </c>
      <c r="L102" s="24">
        <f>M102-K102</f>
        <v>0</v>
      </c>
      <c r="M102" s="24">
        <f>63.9+3.3</f>
        <v>67.2</v>
      </c>
    </row>
    <row r="103" spans="1:13" s="111" customFormat="1" ht="144" customHeight="1" x14ac:dyDescent="0.35">
      <c r="A103" s="11"/>
      <c r="B103" s="496" t="s">
        <v>663</v>
      </c>
      <c r="C103" s="23" t="s">
        <v>1</v>
      </c>
      <c r="D103" s="10" t="s">
        <v>63</v>
      </c>
      <c r="E103" s="10" t="s">
        <v>104</v>
      </c>
      <c r="F103" s="689" t="s">
        <v>81</v>
      </c>
      <c r="G103" s="690" t="s">
        <v>45</v>
      </c>
      <c r="H103" s="690" t="s">
        <v>37</v>
      </c>
      <c r="I103" s="691" t="s">
        <v>327</v>
      </c>
      <c r="J103" s="10"/>
      <c r="K103" s="24">
        <f>K104</f>
        <v>9118.7999999999993</v>
      </c>
      <c r="L103" s="24">
        <f>L104</f>
        <v>0</v>
      </c>
      <c r="M103" s="24">
        <f>M104</f>
        <v>9118.7999999999993</v>
      </c>
    </row>
    <row r="104" spans="1:13" s="111" customFormat="1" ht="18" customHeight="1" x14ac:dyDescent="0.35">
      <c r="A104" s="11"/>
      <c r="B104" s="496" t="s">
        <v>123</v>
      </c>
      <c r="C104" s="23" t="s">
        <v>1</v>
      </c>
      <c r="D104" s="10" t="s">
        <v>63</v>
      </c>
      <c r="E104" s="10" t="s">
        <v>104</v>
      </c>
      <c r="F104" s="689" t="s">
        <v>81</v>
      </c>
      <c r="G104" s="690" t="s">
        <v>45</v>
      </c>
      <c r="H104" s="690" t="s">
        <v>37</v>
      </c>
      <c r="I104" s="691" t="s">
        <v>327</v>
      </c>
      <c r="J104" s="10" t="s">
        <v>124</v>
      </c>
      <c r="K104" s="24">
        <v>9118.7999999999993</v>
      </c>
      <c r="L104" s="24">
        <f>M104-K104</f>
        <v>0</v>
      </c>
      <c r="M104" s="24">
        <v>9118.7999999999993</v>
      </c>
    </row>
    <row r="105" spans="1:13" s="111" customFormat="1" ht="90" customHeight="1" x14ac:dyDescent="0.35">
      <c r="A105" s="11"/>
      <c r="B105" s="492" t="s">
        <v>662</v>
      </c>
      <c r="C105" s="23" t="s">
        <v>1</v>
      </c>
      <c r="D105" s="10" t="s">
        <v>63</v>
      </c>
      <c r="E105" s="10" t="s">
        <v>104</v>
      </c>
      <c r="F105" s="689" t="s">
        <v>81</v>
      </c>
      <c r="G105" s="690" t="s">
        <v>45</v>
      </c>
      <c r="H105" s="690" t="s">
        <v>37</v>
      </c>
      <c r="I105" s="691" t="s">
        <v>328</v>
      </c>
      <c r="J105" s="10"/>
      <c r="K105" s="24">
        <f>K106</f>
        <v>12.3</v>
      </c>
      <c r="L105" s="24">
        <f>L106</f>
        <v>0</v>
      </c>
      <c r="M105" s="24">
        <f>M106</f>
        <v>12.3</v>
      </c>
    </row>
    <row r="106" spans="1:13" s="111" customFormat="1" ht="18" customHeight="1" x14ac:dyDescent="0.35">
      <c r="A106" s="11"/>
      <c r="B106" s="496" t="s">
        <v>123</v>
      </c>
      <c r="C106" s="23" t="s">
        <v>1</v>
      </c>
      <c r="D106" s="10" t="s">
        <v>63</v>
      </c>
      <c r="E106" s="10" t="s">
        <v>104</v>
      </c>
      <c r="F106" s="689" t="s">
        <v>81</v>
      </c>
      <c r="G106" s="690" t="s">
        <v>45</v>
      </c>
      <c r="H106" s="690" t="s">
        <v>37</v>
      </c>
      <c r="I106" s="691" t="s">
        <v>328</v>
      </c>
      <c r="J106" s="10" t="s">
        <v>124</v>
      </c>
      <c r="K106" s="24">
        <v>12.3</v>
      </c>
      <c r="L106" s="24">
        <f>M106-K106</f>
        <v>0</v>
      </c>
      <c r="M106" s="24">
        <v>12.3</v>
      </c>
    </row>
    <row r="107" spans="1:13" s="111" customFormat="1" ht="54" customHeight="1" x14ac:dyDescent="0.35">
      <c r="A107" s="11"/>
      <c r="B107" s="545" t="s">
        <v>87</v>
      </c>
      <c r="C107" s="23" t="s">
        <v>1</v>
      </c>
      <c r="D107" s="10" t="s">
        <v>63</v>
      </c>
      <c r="E107" s="10" t="s">
        <v>88</v>
      </c>
      <c r="F107" s="689"/>
      <c r="G107" s="690"/>
      <c r="H107" s="690"/>
      <c r="I107" s="691"/>
      <c r="J107" s="10"/>
      <c r="K107" s="24">
        <f>K108</f>
        <v>13053.647999999999</v>
      </c>
      <c r="L107" s="24">
        <f>L108</f>
        <v>0</v>
      </c>
      <c r="M107" s="24">
        <f>M108</f>
        <v>13053.647999999999</v>
      </c>
    </row>
    <row r="108" spans="1:13" s="111" customFormat="1" ht="54" customHeight="1" x14ac:dyDescent="0.35">
      <c r="A108" s="11"/>
      <c r="B108" s="496" t="s">
        <v>80</v>
      </c>
      <c r="C108" s="23" t="s">
        <v>1</v>
      </c>
      <c r="D108" s="10" t="s">
        <v>63</v>
      </c>
      <c r="E108" s="10" t="s">
        <v>88</v>
      </c>
      <c r="F108" s="689" t="s">
        <v>81</v>
      </c>
      <c r="G108" s="690" t="s">
        <v>42</v>
      </c>
      <c r="H108" s="690" t="s">
        <v>43</v>
      </c>
      <c r="I108" s="691" t="s">
        <v>44</v>
      </c>
      <c r="J108" s="10"/>
      <c r="K108" s="24">
        <f>K109+K118+K127</f>
        <v>13053.647999999999</v>
      </c>
      <c r="L108" s="24">
        <f>L109+L118+L127</f>
        <v>0</v>
      </c>
      <c r="M108" s="24">
        <f>M109+M118+M127</f>
        <v>13053.647999999999</v>
      </c>
    </row>
    <row r="109" spans="1:13" s="111" customFormat="1" ht="36" customHeight="1" x14ac:dyDescent="0.35">
      <c r="A109" s="11"/>
      <c r="B109" s="545" t="s">
        <v>125</v>
      </c>
      <c r="C109" s="23" t="s">
        <v>1</v>
      </c>
      <c r="D109" s="10" t="s">
        <v>63</v>
      </c>
      <c r="E109" s="10" t="s">
        <v>88</v>
      </c>
      <c r="F109" s="689" t="s">
        <v>81</v>
      </c>
      <c r="G109" s="690" t="s">
        <v>89</v>
      </c>
      <c r="H109" s="690" t="s">
        <v>43</v>
      </c>
      <c r="I109" s="691" t="s">
        <v>44</v>
      </c>
      <c r="J109" s="10"/>
      <c r="K109" s="24">
        <f>K115+K110</f>
        <v>1000.3</v>
      </c>
      <c r="L109" s="24">
        <f>L115+L110</f>
        <v>0</v>
      </c>
      <c r="M109" s="24">
        <f>M115+M110</f>
        <v>1000.3</v>
      </c>
    </row>
    <row r="110" spans="1:13" s="111" customFormat="1" ht="36" customHeight="1" x14ac:dyDescent="0.35">
      <c r="A110" s="11"/>
      <c r="B110" s="545" t="s">
        <v>270</v>
      </c>
      <c r="C110" s="23" t="s">
        <v>1</v>
      </c>
      <c r="D110" s="10" t="s">
        <v>63</v>
      </c>
      <c r="E110" s="10" t="s">
        <v>88</v>
      </c>
      <c r="F110" s="689" t="s">
        <v>81</v>
      </c>
      <c r="G110" s="690" t="s">
        <v>89</v>
      </c>
      <c r="H110" s="690" t="s">
        <v>37</v>
      </c>
      <c r="I110" s="691" t="s">
        <v>44</v>
      </c>
      <c r="J110" s="10"/>
      <c r="K110" s="24">
        <f>K113+K111</f>
        <v>243.6</v>
      </c>
      <c r="L110" s="24">
        <f>L113+L111</f>
        <v>0</v>
      </c>
      <c r="M110" s="24">
        <f>M113+M111</f>
        <v>243.6</v>
      </c>
    </row>
    <row r="111" spans="1:13" s="111" customFormat="1" ht="36" customHeight="1" x14ac:dyDescent="0.35">
      <c r="A111" s="11"/>
      <c r="B111" s="529" t="s">
        <v>127</v>
      </c>
      <c r="C111" s="23" t="s">
        <v>1</v>
      </c>
      <c r="D111" s="10" t="s">
        <v>63</v>
      </c>
      <c r="E111" s="10" t="s">
        <v>88</v>
      </c>
      <c r="F111" s="689" t="s">
        <v>81</v>
      </c>
      <c r="G111" s="690" t="s">
        <v>89</v>
      </c>
      <c r="H111" s="690" t="s">
        <v>37</v>
      </c>
      <c r="I111" s="691" t="s">
        <v>90</v>
      </c>
      <c r="J111" s="10"/>
      <c r="K111" s="24">
        <f>K112</f>
        <v>121.8</v>
      </c>
      <c r="L111" s="24">
        <f>L112</f>
        <v>0</v>
      </c>
      <c r="M111" s="24">
        <f>M112</f>
        <v>121.8</v>
      </c>
    </row>
    <row r="112" spans="1:13" s="111" customFormat="1" ht="54" customHeight="1" x14ac:dyDescent="0.35">
      <c r="A112" s="11"/>
      <c r="B112" s="496" t="s">
        <v>55</v>
      </c>
      <c r="C112" s="23" t="s">
        <v>1</v>
      </c>
      <c r="D112" s="10" t="s">
        <v>63</v>
      </c>
      <c r="E112" s="10" t="s">
        <v>88</v>
      </c>
      <c r="F112" s="689" t="s">
        <v>81</v>
      </c>
      <c r="G112" s="690" t="s">
        <v>89</v>
      </c>
      <c r="H112" s="690" t="s">
        <v>37</v>
      </c>
      <c r="I112" s="691" t="s">
        <v>90</v>
      </c>
      <c r="J112" s="10" t="s">
        <v>56</v>
      </c>
      <c r="K112" s="24">
        <f>21.8+100</f>
        <v>121.8</v>
      </c>
      <c r="L112" s="24">
        <f>M112-K112</f>
        <v>0</v>
      </c>
      <c r="M112" s="24">
        <f>21.8+100</f>
        <v>121.8</v>
      </c>
    </row>
    <row r="113" spans="1:13" s="111" customFormat="1" ht="90" customHeight="1" x14ac:dyDescent="0.35">
      <c r="A113" s="11"/>
      <c r="B113" s="507" t="s">
        <v>662</v>
      </c>
      <c r="C113" s="23" t="s">
        <v>1</v>
      </c>
      <c r="D113" s="10" t="s">
        <v>63</v>
      </c>
      <c r="E113" s="10" t="s">
        <v>88</v>
      </c>
      <c r="F113" s="689" t="s">
        <v>81</v>
      </c>
      <c r="G113" s="690" t="s">
        <v>89</v>
      </c>
      <c r="H113" s="690" t="s">
        <v>37</v>
      </c>
      <c r="I113" s="691" t="s">
        <v>328</v>
      </c>
      <c r="J113" s="10"/>
      <c r="K113" s="24">
        <f>K114</f>
        <v>121.8</v>
      </c>
      <c r="L113" s="24">
        <f>L114</f>
        <v>0</v>
      </c>
      <c r="M113" s="24">
        <f>M114</f>
        <v>121.8</v>
      </c>
    </row>
    <row r="114" spans="1:13" s="111" customFormat="1" ht="18" customHeight="1" x14ac:dyDescent="0.35">
      <c r="A114" s="11"/>
      <c r="B114" s="545" t="s">
        <v>123</v>
      </c>
      <c r="C114" s="23" t="s">
        <v>1</v>
      </c>
      <c r="D114" s="10" t="s">
        <v>63</v>
      </c>
      <c r="E114" s="10" t="s">
        <v>88</v>
      </c>
      <c r="F114" s="689" t="s">
        <v>81</v>
      </c>
      <c r="G114" s="690" t="s">
        <v>89</v>
      </c>
      <c r="H114" s="690" t="s">
        <v>37</v>
      </c>
      <c r="I114" s="691" t="s">
        <v>328</v>
      </c>
      <c r="J114" s="10" t="s">
        <v>124</v>
      </c>
      <c r="K114" s="24">
        <v>121.8</v>
      </c>
      <c r="L114" s="24">
        <f>M114-K114</f>
        <v>0</v>
      </c>
      <c r="M114" s="24">
        <v>121.8</v>
      </c>
    </row>
    <row r="115" spans="1:13" s="111" customFormat="1" ht="54" customHeight="1" x14ac:dyDescent="0.35">
      <c r="A115" s="11"/>
      <c r="B115" s="529" t="s">
        <v>126</v>
      </c>
      <c r="C115" s="23" t="s">
        <v>1</v>
      </c>
      <c r="D115" s="10" t="s">
        <v>63</v>
      </c>
      <c r="E115" s="10" t="s">
        <v>88</v>
      </c>
      <c r="F115" s="689" t="s">
        <v>81</v>
      </c>
      <c r="G115" s="690" t="s">
        <v>89</v>
      </c>
      <c r="H115" s="690" t="s">
        <v>39</v>
      </c>
      <c r="I115" s="691" t="s">
        <v>44</v>
      </c>
      <c r="J115" s="10"/>
      <c r="K115" s="24">
        <f t="shared" ref="K115:M116" si="12">K116</f>
        <v>756.69999999999993</v>
      </c>
      <c r="L115" s="24">
        <f t="shared" si="12"/>
        <v>0</v>
      </c>
      <c r="M115" s="24">
        <f t="shared" si="12"/>
        <v>756.69999999999993</v>
      </c>
    </row>
    <row r="116" spans="1:13" s="111" customFormat="1" ht="36" customHeight="1" x14ac:dyDescent="0.35">
      <c r="A116" s="11"/>
      <c r="B116" s="529" t="s">
        <v>127</v>
      </c>
      <c r="C116" s="23" t="s">
        <v>1</v>
      </c>
      <c r="D116" s="10" t="s">
        <v>63</v>
      </c>
      <c r="E116" s="10" t="s">
        <v>88</v>
      </c>
      <c r="F116" s="689" t="s">
        <v>81</v>
      </c>
      <c r="G116" s="690" t="s">
        <v>89</v>
      </c>
      <c r="H116" s="690" t="s">
        <v>39</v>
      </c>
      <c r="I116" s="691" t="s">
        <v>90</v>
      </c>
      <c r="J116" s="10"/>
      <c r="K116" s="24">
        <f t="shared" si="12"/>
        <v>756.69999999999993</v>
      </c>
      <c r="L116" s="24">
        <f t="shared" si="12"/>
        <v>0</v>
      </c>
      <c r="M116" s="24">
        <f t="shared" si="12"/>
        <v>756.69999999999993</v>
      </c>
    </row>
    <row r="117" spans="1:13" s="111" customFormat="1" ht="54" customHeight="1" x14ac:dyDescent="0.35">
      <c r="A117" s="11"/>
      <c r="B117" s="496" t="s">
        <v>55</v>
      </c>
      <c r="C117" s="23" t="s">
        <v>1</v>
      </c>
      <c r="D117" s="10" t="s">
        <v>63</v>
      </c>
      <c r="E117" s="10" t="s">
        <v>88</v>
      </c>
      <c r="F117" s="689" t="s">
        <v>81</v>
      </c>
      <c r="G117" s="690" t="s">
        <v>89</v>
      </c>
      <c r="H117" s="690" t="s">
        <v>39</v>
      </c>
      <c r="I117" s="691" t="s">
        <v>90</v>
      </c>
      <c r="J117" s="10" t="s">
        <v>56</v>
      </c>
      <c r="K117" s="24">
        <f>443.6+1015-38.8-191.2-229.3-220.7-21.9</f>
        <v>756.69999999999993</v>
      </c>
      <c r="L117" s="24">
        <f>M117-K117</f>
        <v>0</v>
      </c>
      <c r="M117" s="24">
        <f>443.6+1015-38.8-191.2-229.3-220.7-21.9</f>
        <v>756.69999999999993</v>
      </c>
    </row>
    <row r="118" spans="1:13" s="111" customFormat="1" ht="72" customHeight="1" x14ac:dyDescent="0.35">
      <c r="A118" s="11"/>
      <c r="B118" s="545" t="s">
        <v>366</v>
      </c>
      <c r="C118" s="23" t="s">
        <v>1</v>
      </c>
      <c r="D118" s="10" t="s">
        <v>63</v>
      </c>
      <c r="E118" s="10" t="s">
        <v>88</v>
      </c>
      <c r="F118" s="689" t="s">
        <v>81</v>
      </c>
      <c r="G118" s="690" t="s">
        <v>30</v>
      </c>
      <c r="H118" s="690" t="s">
        <v>43</v>
      </c>
      <c r="I118" s="691" t="s">
        <v>44</v>
      </c>
      <c r="J118" s="10"/>
      <c r="K118" s="24">
        <f>K119+K124</f>
        <v>12031.548000000001</v>
      </c>
      <c r="L118" s="24">
        <f>L119+L124</f>
        <v>0</v>
      </c>
      <c r="M118" s="24">
        <f>M119+M124</f>
        <v>12031.548000000001</v>
      </c>
    </row>
    <row r="119" spans="1:13" s="111" customFormat="1" ht="72" customHeight="1" x14ac:dyDescent="0.35">
      <c r="A119" s="11"/>
      <c r="B119" s="529" t="s">
        <v>321</v>
      </c>
      <c r="C119" s="23" t="s">
        <v>1</v>
      </c>
      <c r="D119" s="10" t="s">
        <v>63</v>
      </c>
      <c r="E119" s="10" t="s">
        <v>88</v>
      </c>
      <c r="F119" s="689" t="s">
        <v>81</v>
      </c>
      <c r="G119" s="690" t="s">
        <v>30</v>
      </c>
      <c r="H119" s="690" t="s">
        <v>37</v>
      </c>
      <c r="I119" s="691" t="s">
        <v>44</v>
      </c>
      <c r="J119" s="10"/>
      <c r="K119" s="24">
        <f>K120</f>
        <v>11554.648000000001</v>
      </c>
      <c r="L119" s="24">
        <f>L120</f>
        <v>0</v>
      </c>
      <c r="M119" s="24">
        <f>M120</f>
        <v>11554.648000000001</v>
      </c>
    </row>
    <row r="120" spans="1:13" s="111" customFormat="1" ht="36" customHeight="1" x14ac:dyDescent="0.35">
      <c r="A120" s="11"/>
      <c r="B120" s="529" t="s">
        <v>461</v>
      </c>
      <c r="C120" s="23" t="s">
        <v>1</v>
      </c>
      <c r="D120" s="10" t="s">
        <v>63</v>
      </c>
      <c r="E120" s="10" t="s">
        <v>88</v>
      </c>
      <c r="F120" s="689" t="s">
        <v>81</v>
      </c>
      <c r="G120" s="690" t="s">
        <v>30</v>
      </c>
      <c r="H120" s="690" t="s">
        <v>37</v>
      </c>
      <c r="I120" s="691" t="s">
        <v>91</v>
      </c>
      <c r="J120" s="10"/>
      <c r="K120" s="24">
        <f>K121+K122+K123</f>
        <v>11554.648000000001</v>
      </c>
      <c r="L120" s="24">
        <f>L121+L122+L123</f>
        <v>0</v>
      </c>
      <c r="M120" s="24">
        <f>M121+M122+M123</f>
        <v>11554.648000000001</v>
      </c>
    </row>
    <row r="121" spans="1:13" s="111" customFormat="1" ht="108" customHeight="1" x14ac:dyDescent="0.35">
      <c r="A121" s="11"/>
      <c r="B121" s="496" t="s">
        <v>49</v>
      </c>
      <c r="C121" s="23" t="s">
        <v>1</v>
      </c>
      <c r="D121" s="10" t="s">
        <v>63</v>
      </c>
      <c r="E121" s="10" t="s">
        <v>88</v>
      </c>
      <c r="F121" s="689" t="s">
        <v>81</v>
      </c>
      <c r="G121" s="690" t="s">
        <v>30</v>
      </c>
      <c r="H121" s="690" t="s">
        <v>37</v>
      </c>
      <c r="I121" s="691" t="s">
        <v>91</v>
      </c>
      <c r="J121" s="10" t="s">
        <v>50</v>
      </c>
      <c r="K121" s="24">
        <v>8701.2999999999993</v>
      </c>
      <c r="L121" s="24">
        <f>M121-K121</f>
        <v>0</v>
      </c>
      <c r="M121" s="24">
        <v>8701.2999999999993</v>
      </c>
    </row>
    <row r="122" spans="1:13" s="111" customFormat="1" ht="54" x14ac:dyDescent="0.35">
      <c r="A122" s="11"/>
      <c r="B122" s="496" t="s">
        <v>55</v>
      </c>
      <c r="C122" s="23" t="s">
        <v>1</v>
      </c>
      <c r="D122" s="10" t="s">
        <v>63</v>
      </c>
      <c r="E122" s="10" t="s">
        <v>88</v>
      </c>
      <c r="F122" s="689" t="s">
        <v>81</v>
      </c>
      <c r="G122" s="690" t="s">
        <v>30</v>
      </c>
      <c r="H122" s="690" t="s">
        <v>37</v>
      </c>
      <c r="I122" s="691" t="s">
        <v>91</v>
      </c>
      <c r="J122" s="10" t="s">
        <v>56</v>
      </c>
      <c r="K122" s="24">
        <f>1852.3+1.448+429.2+197.6+198.4+171.1-0.22603</f>
        <v>2849.82197</v>
      </c>
      <c r="L122" s="24">
        <f>M122-K122</f>
        <v>0</v>
      </c>
      <c r="M122" s="24">
        <f>1852.3+1.448+429.2+197.6+198.4+171.1-0.22603</f>
        <v>2849.82197</v>
      </c>
    </row>
    <row r="123" spans="1:13" s="111" customFormat="1" ht="18" customHeight="1" x14ac:dyDescent="0.35">
      <c r="A123" s="11"/>
      <c r="B123" s="496" t="s">
        <v>57</v>
      </c>
      <c r="C123" s="23" t="s">
        <v>1</v>
      </c>
      <c r="D123" s="10" t="s">
        <v>63</v>
      </c>
      <c r="E123" s="10" t="s">
        <v>88</v>
      </c>
      <c r="F123" s="689" t="s">
        <v>81</v>
      </c>
      <c r="G123" s="690" t="s">
        <v>30</v>
      </c>
      <c r="H123" s="690" t="s">
        <v>37</v>
      </c>
      <c r="I123" s="691" t="s">
        <v>91</v>
      </c>
      <c r="J123" s="10" t="s">
        <v>58</v>
      </c>
      <c r="K123" s="24">
        <f>3.3+0.22603</f>
        <v>3.52603</v>
      </c>
      <c r="L123" s="24">
        <f>M123-K123</f>
        <v>0</v>
      </c>
      <c r="M123" s="24">
        <f>3.3+0.22603</f>
        <v>3.52603</v>
      </c>
    </row>
    <row r="124" spans="1:13" s="111" customFormat="1" ht="36" customHeight="1" x14ac:dyDescent="0.35">
      <c r="A124" s="11"/>
      <c r="B124" s="492" t="s">
        <v>564</v>
      </c>
      <c r="C124" s="23" t="s">
        <v>1</v>
      </c>
      <c r="D124" s="10" t="s">
        <v>63</v>
      </c>
      <c r="E124" s="10" t="s">
        <v>88</v>
      </c>
      <c r="F124" s="689" t="s">
        <v>81</v>
      </c>
      <c r="G124" s="690" t="s">
        <v>30</v>
      </c>
      <c r="H124" s="690" t="s">
        <v>39</v>
      </c>
      <c r="I124" s="691" t="s">
        <v>44</v>
      </c>
      <c r="J124" s="10"/>
      <c r="K124" s="24">
        <f t="shared" ref="K124:M125" si="13">K125</f>
        <v>476.9</v>
      </c>
      <c r="L124" s="24">
        <f t="shared" si="13"/>
        <v>0</v>
      </c>
      <c r="M124" s="24">
        <f t="shared" si="13"/>
        <v>476.9</v>
      </c>
    </row>
    <row r="125" spans="1:13" s="111" customFormat="1" ht="54" customHeight="1" x14ac:dyDescent="0.35">
      <c r="A125" s="11"/>
      <c r="B125" s="492" t="s">
        <v>85</v>
      </c>
      <c r="C125" s="23" t="s">
        <v>1</v>
      </c>
      <c r="D125" s="10" t="s">
        <v>63</v>
      </c>
      <c r="E125" s="10" t="s">
        <v>88</v>
      </c>
      <c r="F125" s="689" t="s">
        <v>81</v>
      </c>
      <c r="G125" s="690" t="s">
        <v>30</v>
      </c>
      <c r="H125" s="690" t="s">
        <v>39</v>
      </c>
      <c r="I125" s="691" t="s">
        <v>86</v>
      </c>
      <c r="J125" s="10"/>
      <c r="K125" s="24">
        <f t="shared" si="13"/>
        <v>476.9</v>
      </c>
      <c r="L125" s="24">
        <f t="shared" si="13"/>
        <v>0</v>
      </c>
      <c r="M125" s="24">
        <f t="shared" si="13"/>
        <v>476.9</v>
      </c>
    </row>
    <row r="126" spans="1:13" s="111" customFormat="1" ht="54" customHeight="1" x14ac:dyDescent="0.35">
      <c r="A126" s="11"/>
      <c r="B126" s="496" t="s">
        <v>55</v>
      </c>
      <c r="C126" s="23" t="s">
        <v>1</v>
      </c>
      <c r="D126" s="10" t="s">
        <v>63</v>
      </c>
      <c r="E126" s="10" t="s">
        <v>88</v>
      </c>
      <c r="F126" s="689" t="s">
        <v>81</v>
      </c>
      <c r="G126" s="690" t="s">
        <v>30</v>
      </c>
      <c r="H126" s="690" t="s">
        <v>39</v>
      </c>
      <c r="I126" s="691" t="s">
        <v>86</v>
      </c>
      <c r="J126" s="10" t="s">
        <v>56</v>
      </c>
      <c r="K126" s="24">
        <f>308.4+168.5</f>
        <v>476.9</v>
      </c>
      <c r="L126" s="24">
        <f>M126-K126</f>
        <v>0</v>
      </c>
      <c r="M126" s="24">
        <f>308.4+168.5</f>
        <v>476.9</v>
      </c>
    </row>
    <row r="127" spans="1:13" s="111" customFormat="1" ht="54" customHeight="1" x14ac:dyDescent="0.35">
      <c r="A127" s="11"/>
      <c r="B127" s="510" t="s">
        <v>487</v>
      </c>
      <c r="C127" s="23" t="s">
        <v>1</v>
      </c>
      <c r="D127" s="10" t="s">
        <v>63</v>
      </c>
      <c r="E127" s="10" t="s">
        <v>88</v>
      </c>
      <c r="F127" s="689" t="s">
        <v>81</v>
      </c>
      <c r="G127" s="690" t="s">
        <v>31</v>
      </c>
      <c r="H127" s="690" t="s">
        <v>43</v>
      </c>
      <c r="I127" s="691" t="s">
        <v>44</v>
      </c>
      <c r="J127" s="10"/>
      <c r="K127" s="24">
        <f>K128</f>
        <v>21.8</v>
      </c>
      <c r="L127" s="24">
        <f>L128</f>
        <v>0</v>
      </c>
      <c r="M127" s="24">
        <f>M128</f>
        <v>21.8</v>
      </c>
    </row>
    <row r="128" spans="1:13" s="111" customFormat="1" ht="72" customHeight="1" x14ac:dyDescent="0.35">
      <c r="A128" s="11"/>
      <c r="B128" s="511" t="s">
        <v>488</v>
      </c>
      <c r="C128" s="23" t="s">
        <v>1</v>
      </c>
      <c r="D128" s="10" t="s">
        <v>63</v>
      </c>
      <c r="E128" s="10" t="s">
        <v>88</v>
      </c>
      <c r="F128" s="689" t="s">
        <v>81</v>
      </c>
      <c r="G128" s="690" t="s">
        <v>31</v>
      </c>
      <c r="H128" s="690" t="s">
        <v>37</v>
      </c>
      <c r="I128" s="691" t="s">
        <v>44</v>
      </c>
      <c r="J128" s="10"/>
      <c r="K128" s="24">
        <f t="shared" ref="K128:M129" si="14">K129</f>
        <v>21.8</v>
      </c>
      <c r="L128" s="24">
        <f t="shared" si="14"/>
        <v>0</v>
      </c>
      <c r="M128" s="24">
        <f t="shared" si="14"/>
        <v>21.8</v>
      </c>
    </row>
    <row r="129" spans="1:13" s="111" customFormat="1" ht="54" customHeight="1" x14ac:dyDescent="0.35">
      <c r="A129" s="11"/>
      <c r="B129" s="512" t="s">
        <v>85</v>
      </c>
      <c r="C129" s="23" t="s">
        <v>1</v>
      </c>
      <c r="D129" s="10" t="s">
        <v>63</v>
      </c>
      <c r="E129" s="10" t="s">
        <v>88</v>
      </c>
      <c r="F129" s="689" t="s">
        <v>81</v>
      </c>
      <c r="G129" s="690" t="s">
        <v>31</v>
      </c>
      <c r="H129" s="690" t="s">
        <v>37</v>
      </c>
      <c r="I129" s="691" t="s">
        <v>86</v>
      </c>
      <c r="J129" s="10"/>
      <c r="K129" s="24">
        <f t="shared" si="14"/>
        <v>21.8</v>
      </c>
      <c r="L129" s="24">
        <f t="shared" si="14"/>
        <v>0</v>
      </c>
      <c r="M129" s="24">
        <f t="shared" si="14"/>
        <v>21.8</v>
      </c>
    </row>
    <row r="130" spans="1:13" s="111" customFormat="1" ht="54" customHeight="1" x14ac:dyDescent="0.35">
      <c r="A130" s="11"/>
      <c r="B130" s="513" t="s">
        <v>55</v>
      </c>
      <c r="C130" s="23" t="s">
        <v>1</v>
      </c>
      <c r="D130" s="10" t="s">
        <v>63</v>
      </c>
      <c r="E130" s="10" t="s">
        <v>88</v>
      </c>
      <c r="F130" s="689" t="s">
        <v>81</v>
      </c>
      <c r="G130" s="690" t="s">
        <v>31</v>
      </c>
      <c r="H130" s="690" t="s">
        <v>37</v>
      </c>
      <c r="I130" s="691" t="s">
        <v>86</v>
      </c>
      <c r="J130" s="10" t="s">
        <v>56</v>
      </c>
      <c r="K130" s="24">
        <v>21.8</v>
      </c>
      <c r="L130" s="24">
        <f>M130-K130</f>
        <v>0</v>
      </c>
      <c r="M130" s="24">
        <v>21.8</v>
      </c>
    </row>
    <row r="131" spans="1:13" s="111" customFormat="1" ht="18" customHeight="1" x14ac:dyDescent="0.35">
      <c r="A131" s="11"/>
      <c r="B131" s="496" t="s">
        <v>92</v>
      </c>
      <c r="C131" s="23" t="s">
        <v>1</v>
      </c>
      <c r="D131" s="10" t="s">
        <v>52</v>
      </c>
      <c r="E131" s="10"/>
      <c r="F131" s="689"/>
      <c r="G131" s="690"/>
      <c r="H131" s="690"/>
      <c r="I131" s="691"/>
      <c r="J131" s="10"/>
      <c r="K131" s="24" t="e">
        <f>K132+K141+K147</f>
        <v>#REF!</v>
      </c>
      <c r="L131" s="24">
        <f>L132+L141+L147</f>
        <v>-851</v>
      </c>
      <c r="M131" s="24">
        <f>M132+M141+M147</f>
        <v>94042.515599999999</v>
      </c>
    </row>
    <row r="132" spans="1:13" s="7" customFormat="1" ht="18" customHeight="1" x14ac:dyDescent="0.35">
      <c r="A132" s="11"/>
      <c r="B132" s="496" t="s">
        <v>93</v>
      </c>
      <c r="C132" s="23" t="s">
        <v>1</v>
      </c>
      <c r="D132" s="10" t="s">
        <v>52</v>
      </c>
      <c r="E132" s="10" t="s">
        <v>65</v>
      </c>
      <c r="F132" s="689"/>
      <c r="G132" s="690"/>
      <c r="H132" s="690"/>
      <c r="I132" s="691"/>
      <c r="J132" s="10"/>
      <c r="K132" s="24">
        <f t="shared" ref="K132:M133" si="15">K133</f>
        <v>14369.400000000001</v>
      </c>
      <c r="L132" s="24">
        <f t="shared" si="15"/>
        <v>0</v>
      </c>
      <c r="M132" s="24">
        <f t="shared" si="15"/>
        <v>14369.400000000001</v>
      </c>
    </row>
    <row r="133" spans="1:13" s="111" customFormat="1" ht="54" customHeight="1" x14ac:dyDescent="0.35">
      <c r="A133" s="11"/>
      <c r="B133" s="496" t="s">
        <v>94</v>
      </c>
      <c r="C133" s="23" t="s">
        <v>1</v>
      </c>
      <c r="D133" s="10" t="s">
        <v>52</v>
      </c>
      <c r="E133" s="10" t="s">
        <v>65</v>
      </c>
      <c r="F133" s="689" t="s">
        <v>67</v>
      </c>
      <c r="G133" s="690" t="s">
        <v>42</v>
      </c>
      <c r="H133" s="690" t="s">
        <v>43</v>
      </c>
      <c r="I133" s="691" t="s">
        <v>44</v>
      </c>
      <c r="J133" s="10"/>
      <c r="K133" s="24">
        <f t="shared" si="15"/>
        <v>14369.400000000001</v>
      </c>
      <c r="L133" s="24">
        <f t="shared" si="15"/>
        <v>0</v>
      </c>
      <c r="M133" s="24">
        <f t="shared" si="15"/>
        <v>14369.400000000001</v>
      </c>
    </row>
    <row r="134" spans="1:13" s="7" customFormat="1" ht="36" customHeight="1" x14ac:dyDescent="0.35">
      <c r="A134" s="11"/>
      <c r="B134" s="496" t="s">
        <v>337</v>
      </c>
      <c r="C134" s="23" t="s">
        <v>1</v>
      </c>
      <c r="D134" s="10" t="s">
        <v>52</v>
      </c>
      <c r="E134" s="10" t="s">
        <v>65</v>
      </c>
      <c r="F134" s="689" t="s">
        <v>67</v>
      </c>
      <c r="G134" s="690" t="s">
        <v>45</v>
      </c>
      <c r="H134" s="690" t="s">
        <v>43</v>
      </c>
      <c r="I134" s="691" t="s">
        <v>44</v>
      </c>
      <c r="J134" s="10"/>
      <c r="K134" s="24">
        <f>K135+K138</f>
        <v>14369.400000000001</v>
      </c>
      <c r="L134" s="24">
        <f>L135+L138</f>
        <v>0</v>
      </c>
      <c r="M134" s="24">
        <f>M135+M138</f>
        <v>14369.400000000001</v>
      </c>
    </row>
    <row r="135" spans="1:13" s="7" customFormat="1" ht="54" customHeight="1" x14ac:dyDescent="0.35">
      <c r="A135" s="11"/>
      <c r="B135" s="496" t="s">
        <v>95</v>
      </c>
      <c r="C135" s="23" t="s">
        <v>1</v>
      </c>
      <c r="D135" s="10" t="s">
        <v>52</v>
      </c>
      <c r="E135" s="10" t="s">
        <v>65</v>
      </c>
      <c r="F135" s="689" t="s">
        <v>67</v>
      </c>
      <c r="G135" s="690" t="s">
        <v>45</v>
      </c>
      <c r="H135" s="690" t="s">
        <v>37</v>
      </c>
      <c r="I135" s="691" t="s">
        <v>44</v>
      </c>
      <c r="J135" s="10"/>
      <c r="K135" s="24">
        <f t="shared" ref="K135:M136" si="16">K136</f>
        <v>11070.6</v>
      </c>
      <c r="L135" s="24">
        <f t="shared" si="16"/>
        <v>0</v>
      </c>
      <c r="M135" s="24">
        <f t="shared" si="16"/>
        <v>11070.6</v>
      </c>
    </row>
    <row r="136" spans="1:13" s="7" customFormat="1" ht="72" customHeight="1" x14ac:dyDescent="0.35">
      <c r="A136" s="11"/>
      <c r="B136" s="544" t="s">
        <v>407</v>
      </c>
      <c r="C136" s="23" t="s">
        <v>1</v>
      </c>
      <c r="D136" s="10" t="s">
        <v>52</v>
      </c>
      <c r="E136" s="10" t="s">
        <v>65</v>
      </c>
      <c r="F136" s="689" t="s">
        <v>67</v>
      </c>
      <c r="G136" s="690" t="s">
        <v>45</v>
      </c>
      <c r="H136" s="690" t="s">
        <v>37</v>
      </c>
      <c r="I136" s="691" t="s">
        <v>61</v>
      </c>
      <c r="J136" s="10"/>
      <c r="K136" s="24">
        <f t="shared" si="16"/>
        <v>11070.6</v>
      </c>
      <c r="L136" s="24">
        <f t="shared" si="16"/>
        <v>0</v>
      </c>
      <c r="M136" s="24">
        <f t="shared" si="16"/>
        <v>11070.6</v>
      </c>
    </row>
    <row r="137" spans="1:13" s="111" customFormat="1" ht="18" customHeight="1" x14ac:dyDescent="0.35">
      <c r="A137" s="11"/>
      <c r="B137" s="496" t="s">
        <v>57</v>
      </c>
      <c r="C137" s="23" t="s">
        <v>1</v>
      </c>
      <c r="D137" s="10" t="s">
        <v>52</v>
      </c>
      <c r="E137" s="10" t="s">
        <v>65</v>
      </c>
      <c r="F137" s="689" t="s">
        <v>67</v>
      </c>
      <c r="G137" s="690" t="s">
        <v>45</v>
      </c>
      <c r="H137" s="690" t="s">
        <v>37</v>
      </c>
      <c r="I137" s="691" t="s">
        <v>61</v>
      </c>
      <c r="J137" s="10" t="s">
        <v>58</v>
      </c>
      <c r="K137" s="24">
        <v>11070.6</v>
      </c>
      <c r="L137" s="24">
        <f>M137-K137</f>
        <v>0</v>
      </c>
      <c r="M137" s="24">
        <v>11070.6</v>
      </c>
    </row>
    <row r="138" spans="1:13" s="7" customFormat="1" ht="54" customHeight="1" x14ac:dyDescent="0.35">
      <c r="A138" s="11"/>
      <c r="B138" s="496" t="s">
        <v>96</v>
      </c>
      <c r="C138" s="23" t="s">
        <v>1</v>
      </c>
      <c r="D138" s="10" t="s">
        <v>52</v>
      </c>
      <c r="E138" s="10" t="s">
        <v>65</v>
      </c>
      <c r="F138" s="689" t="s">
        <v>67</v>
      </c>
      <c r="G138" s="690" t="s">
        <v>45</v>
      </c>
      <c r="H138" s="690" t="s">
        <v>39</v>
      </c>
      <c r="I138" s="691" t="s">
        <v>44</v>
      </c>
      <c r="J138" s="10"/>
      <c r="K138" s="24">
        <f t="shared" ref="K138:M139" si="17">K139</f>
        <v>3298.8</v>
      </c>
      <c r="L138" s="24">
        <f t="shared" si="17"/>
        <v>0</v>
      </c>
      <c r="M138" s="24">
        <f t="shared" si="17"/>
        <v>3298.8</v>
      </c>
    </row>
    <row r="139" spans="1:13" s="7" customFormat="1" ht="180" customHeight="1" x14ac:dyDescent="0.35">
      <c r="A139" s="11"/>
      <c r="B139" s="496" t="s">
        <v>522</v>
      </c>
      <c r="C139" s="23" t="s">
        <v>1</v>
      </c>
      <c r="D139" s="10" t="s">
        <v>52</v>
      </c>
      <c r="E139" s="10" t="s">
        <v>65</v>
      </c>
      <c r="F139" s="689" t="s">
        <v>67</v>
      </c>
      <c r="G139" s="690" t="s">
        <v>45</v>
      </c>
      <c r="H139" s="690" t="s">
        <v>39</v>
      </c>
      <c r="I139" s="691" t="s">
        <v>97</v>
      </c>
      <c r="J139" s="10"/>
      <c r="K139" s="24">
        <f t="shared" si="17"/>
        <v>3298.8</v>
      </c>
      <c r="L139" s="24">
        <f t="shared" si="17"/>
        <v>0</v>
      </c>
      <c r="M139" s="24">
        <f t="shared" si="17"/>
        <v>3298.8</v>
      </c>
    </row>
    <row r="140" spans="1:13" s="111" customFormat="1" ht="54" customHeight="1" x14ac:dyDescent="0.35">
      <c r="A140" s="11"/>
      <c r="B140" s="496" t="s">
        <v>55</v>
      </c>
      <c r="C140" s="23" t="s">
        <v>1</v>
      </c>
      <c r="D140" s="10" t="s">
        <v>52</v>
      </c>
      <c r="E140" s="10" t="s">
        <v>65</v>
      </c>
      <c r="F140" s="689" t="s">
        <v>67</v>
      </c>
      <c r="G140" s="690" t="s">
        <v>45</v>
      </c>
      <c r="H140" s="690" t="s">
        <v>39</v>
      </c>
      <c r="I140" s="691" t="s">
        <v>97</v>
      </c>
      <c r="J140" s="10" t="s">
        <v>56</v>
      </c>
      <c r="K140" s="24">
        <v>3298.8</v>
      </c>
      <c r="L140" s="24">
        <f>M140-K140</f>
        <v>0</v>
      </c>
      <c r="M140" s="24">
        <v>3298.8</v>
      </c>
    </row>
    <row r="141" spans="1:13" s="7" customFormat="1" ht="18" customHeight="1" x14ac:dyDescent="0.35">
      <c r="A141" s="11"/>
      <c r="B141" s="545" t="s">
        <v>98</v>
      </c>
      <c r="C141" s="23" t="s">
        <v>1</v>
      </c>
      <c r="D141" s="10" t="s">
        <v>52</v>
      </c>
      <c r="E141" s="10" t="s">
        <v>79</v>
      </c>
      <c r="F141" s="689"/>
      <c r="G141" s="690"/>
      <c r="H141" s="690"/>
      <c r="I141" s="691"/>
      <c r="J141" s="10"/>
      <c r="K141" s="24">
        <f t="shared" ref="K141:M145" si="18">K142</f>
        <v>12364.4156</v>
      </c>
      <c r="L141" s="24">
        <f t="shared" si="18"/>
        <v>0</v>
      </c>
      <c r="M141" s="24">
        <f t="shared" si="18"/>
        <v>12364.4156</v>
      </c>
    </row>
    <row r="142" spans="1:13" s="111" customFormat="1" ht="54" customHeight="1" x14ac:dyDescent="0.35">
      <c r="A142" s="11"/>
      <c r="B142" s="496" t="s">
        <v>99</v>
      </c>
      <c r="C142" s="23" t="s">
        <v>1</v>
      </c>
      <c r="D142" s="10" t="s">
        <v>52</v>
      </c>
      <c r="E142" s="10" t="s">
        <v>79</v>
      </c>
      <c r="F142" s="689" t="s">
        <v>100</v>
      </c>
      <c r="G142" s="690" t="s">
        <v>42</v>
      </c>
      <c r="H142" s="690" t="s">
        <v>43</v>
      </c>
      <c r="I142" s="691" t="s">
        <v>44</v>
      </c>
      <c r="J142" s="10"/>
      <c r="K142" s="24">
        <f t="shared" si="18"/>
        <v>12364.4156</v>
      </c>
      <c r="L142" s="24">
        <f t="shared" si="18"/>
        <v>0</v>
      </c>
      <c r="M142" s="24">
        <f t="shared" si="18"/>
        <v>12364.4156</v>
      </c>
    </row>
    <row r="143" spans="1:13" s="7" customFormat="1" ht="36" customHeight="1" x14ac:dyDescent="0.35">
      <c r="A143" s="11"/>
      <c r="B143" s="496" t="s">
        <v>337</v>
      </c>
      <c r="C143" s="23" t="s">
        <v>1</v>
      </c>
      <c r="D143" s="10" t="s">
        <v>52</v>
      </c>
      <c r="E143" s="10" t="s">
        <v>79</v>
      </c>
      <c r="F143" s="689" t="s">
        <v>100</v>
      </c>
      <c r="G143" s="690" t="s">
        <v>45</v>
      </c>
      <c r="H143" s="690" t="s">
        <v>43</v>
      </c>
      <c r="I143" s="691" t="s">
        <v>44</v>
      </c>
      <c r="J143" s="10"/>
      <c r="K143" s="24">
        <f t="shared" si="18"/>
        <v>12364.4156</v>
      </c>
      <c r="L143" s="24">
        <f t="shared" si="18"/>
        <v>0</v>
      </c>
      <c r="M143" s="24">
        <f t="shared" si="18"/>
        <v>12364.4156</v>
      </c>
    </row>
    <row r="144" spans="1:13" s="7" customFormat="1" ht="90" customHeight="1" x14ac:dyDescent="0.35">
      <c r="A144" s="11"/>
      <c r="B144" s="496" t="s">
        <v>101</v>
      </c>
      <c r="C144" s="23" t="s">
        <v>1</v>
      </c>
      <c r="D144" s="10" t="s">
        <v>52</v>
      </c>
      <c r="E144" s="10" t="s">
        <v>79</v>
      </c>
      <c r="F144" s="689" t="s">
        <v>100</v>
      </c>
      <c r="G144" s="690" t="s">
        <v>45</v>
      </c>
      <c r="H144" s="690" t="s">
        <v>37</v>
      </c>
      <c r="I144" s="691" t="s">
        <v>44</v>
      </c>
      <c r="J144" s="10"/>
      <c r="K144" s="24">
        <f>K145</f>
        <v>12364.4156</v>
      </c>
      <c r="L144" s="24">
        <f>L145</f>
        <v>0</v>
      </c>
      <c r="M144" s="24">
        <f>M145</f>
        <v>12364.4156</v>
      </c>
    </row>
    <row r="145" spans="1:13" s="7" customFormat="1" ht="72" customHeight="1" x14ac:dyDescent="0.35">
      <c r="A145" s="11"/>
      <c r="B145" s="546" t="s">
        <v>102</v>
      </c>
      <c r="C145" s="23" t="s">
        <v>1</v>
      </c>
      <c r="D145" s="10" t="s">
        <v>52</v>
      </c>
      <c r="E145" s="10" t="s">
        <v>79</v>
      </c>
      <c r="F145" s="689" t="s">
        <v>100</v>
      </c>
      <c r="G145" s="690" t="s">
        <v>45</v>
      </c>
      <c r="H145" s="690" t="s">
        <v>37</v>
      </c>
      <c r="I145" s="691" t="s">
        <v>103</v>
      </c>
      <c r="J145" s="10"/>
      <c r="K145" s="24">
        <f t="shared" si="18"/>
        <v>12364.4156</v>
      </c>
      <c r="L145" s="24">
        <f t="shared" si="18"/>
        <v>0</v>
      </c>
      <c r="M145" s="24">
        <f t="shared" si="18"/>
        <v>12364.4156</v>
      </c>
    </row>
    <row r="146" spans="1:13" s="111" customFormat="1" ht="54" customHeight="1" x14ac:dyDescent="0.35">
      <c r="A146" s="11"/>
      <c r="B146" s="496" t="s">
        <v>55</v>
      </c>
      <c r="C146" s="23" t="s">
        <v>1</v>
      </c>
      <c r="D146" s="10" t="s">
        <v>52</v>
      </c>
      <c r="E146" s="10" t="s">
        <v>79</v>
      </c>
      <c r="F146" s="689" t="s">
        <v>100</v>
      </c>
      <c r="G146" s="690" t="s">
        <v>45</v>
      </c>
      <c r="H146" s="690" t="s">
        <v>37</v>
      </c>
      <c r="I146" s="691" t="s">
        <v>103</v>
      </c>
      <c r="J146" s="10" t="s">
        <v>56</v>
      </c>
      <c r="K146" s="24">
        <f>6295.9+6068.5156</f>
        <v>12364.4156</v>
      </c>
      <c r="L146" s="24">
        <f>M146-K146</f>
        <v>0</v>
      </c>
      <c r="M146" s="24">
        <f>6295.9+6068.5156</f>
        <v>12364.4156</v>
      </c>
    </row>
    <row r="147" spans="1:13" s="7" customFormat="1" ht="36" customHeight="1" x14ac:dyDescent="0.35">
      <c r="A147" s="11"/>
      <c r="B147" s="545" t="s">
        <v>106</v>
      </c>
      <c r="C147" s="23" t="s">
        <v>1</v>
      </c>
      <c r="D147" s="10" t="s">
        <v>52</v>
      </c>
      <c r="E147" s="10" t="s">
        <v>100</v>
      </c>
      <c r="F147" s="689"/>
      <c r="G147" s="690"/>
      <c r="H147" s="690"/>
      <c r="I147" s="691"/>
      <c r="J147" s="10"/>
      <c r="K147" s="24" t="e">
        <f>K148+K157+K166</f>
        <v>#REF!</v>
      </c>
      <c r="L147" s="24">
        <f>L148+L157+L166</f>
        <v>-851</v>
      </c>
      <c r="M147" s="24">
        <f>M148+M157+M166</f>
        <v>67308.7</v>
      </c>
    </row>
    <row r="148" spans="1:13" s="111" customFormat="1" ht="72" customHeight="1" x14ac:dyDescent="0.35">
      <c r="A148" s="11"/>
      <c r="B148" s="496" t="s">
        <v>107</v>
      </c>
      <c r="C148" s="23" t="s">
        <v>1</v>
      </c>
      <c r="D148" s="10" t="s">
        <v>52</v>
      </c>
      <c r="E148" s="10" t="s">
        <v>100</v>
      </c>
      <c r="F148" s="689" t="s">
        <v>71</v>
      </c>
      <c r="G148" s="690" t="s">
        <v>42</v>
      </c>
      <c r="H148" s="690" t="s">
        <v>43</v>
      </c>
      <c r="I148" s="691" t="s">
        <v>44</v>
      </c>
      <c r="J148" s="10"/>
      <c r="K148" s="24">
        <f>K149+K153</f>
        <v>233</v>
      </c>
      <c r="L148" s="24">
        <f>L149+L153</f>
        <v>0</v>
      </c>
      <c r="M148" s="24">
        <f>M149+M153</f>
        <v>233</v>
      </c>
    </row>
    <row r="149" spans="1:13" s="111" customFormat="1" ht="54" customHeight="1" x14ac:dyDescent="0.35">
      <c r="A149" s="11"/>
      <c r="B149" s="545" t="s">
        <v>108</v>
      </c>
      <c r="C149" s="23" t="s">
        <v>1</v>
      </c>
      <c r="D149" s="10" t="s">
        <v>52</v>
      </c>
      <c r="E149" s="10" t="s">
        <v>100</v>
      </c>
      <c r="F149" s="689" t="s">
        <v>71</v>
      </c>
      <c r="G149" s="690" t="s">
        <v>45</v>
      </c>
      <c r="H149" s="690" t="s">
        <v>43</v>
      </c>
      <c r="I149" s="691" t="s">
        <v>44</v>
      </c>
      <c r="J149" s="10"/>
      <c r="K149" s="24">
        <f t="shared" ref="K149:M150" si="19">K150</f>
        <v>115</v>
      </c>
      <c r="L149" s="24">
        <f t="shared" si="19"/>
        <v>0</v>
      </c>
      <c r="M149" s="24">
        <f t="shared" si="19"/>
        <v>115</v>
      </c>
    </row>
    <row r="150" spans="1:13" s="7" customFormat="1" ht="36" customHeight="1" x14ac:dyDescent="0.35">
      <c r="A150" s="11"/>
      <c r="B150" s="496" t="s">
        <v>109</v>
      </c>
      <c r="C150" s="23" t="s">
        <v>1</v>
      </c>
      <c r="D150" s="10" t="s">
        <v>52</v>
      </c>
      <c r="E150" s="10" t="s">
        <v>100</v>
      </c>
      <c r="F150" s="689" t="s">
        <v>71</v>
      </c>
      <c r="G150" s="690" t="s">
        <v>45</v>
      </c>
      <c r="H150" s="690" t="s">
        <v>37</v>
      </c>
      <c r="I150" s="691" t="s">
        <v>44</v>
      </c>
      <c r="J150" s="10"/>
      <c r="K150" s="24">
        <f t="shared" si="19"/>
        <v>115</v>
      </c>
      <c r="L150" s="24">
        <f t="shared" si="19"/>
        <v>0</v>
      </c>
      <c r="M150" s="24">
        <f t="shared" si="19"/>
        <v>115</v>
      </c>
    </row>
    <row r="151" spans="1:13" s="111" customFormat="1" ht="36" customHeight="1" x14ac:dyDescent="0.35">
      <c r="A151" s="11"/>
      <c r="B151" s="545" t="s">
        <v>110</v>
      </c>
      <c r="C151" s="23" t="s">
        <v>1</v>
      </c>
      <c r="D151" s="10" t="s">
        <v>52</v>
      </c>
      <c r="E151" s="10" t="s">
        <v>100</v>
      </c>
      <c r="F151" s="689" t="s">
        <v>71</v>
      </c>
      <c r="G151" s="690" t="s">
        <v>45</v>
      </c>
      <c r="H151" s="690" t="s">
        <v>37</v>
      </c>
      <c r="I151" s="691" t="s">
        <v>111</v>
      </c>
      <c r="J151" s="10"/>
      <c r="K151" s="24">
        <f>K152</f>
        <v>115</v>
      </c>
      <c r="L151" s="24">
        <f>L152</f>
        <v>0</v>
      </c>
      <c r="M151" s="24">
        <f>M152</f>
        <v>115</v>
      </c>
    </row>
    <row r="152" spans="1:13" s="7" customFormat="1" ht="54" customHeight="1" x14ac:dyDescent="0.35">
      <c r="A152" s="11"/>
      <c r="B152" s="496" t="s">
        <v>55</v>
      </c>
      <c r="C152" s="23" t="s">
        <v>1</v>
      </c>
      <c r="D152" s="10" t="s">
        <v>52</v>
      </c>
      <c r="E152" s="10" t="s">
        <v>100</v>
      </c>
      <c r="F152" s="689" t="s">
        <v>71</v>
      </c>
      <c r="G152" s="690" t="s">
        <v>45</v>
      </c>
      <c r="H152" s="690" t="s">
        <v>37</v>
      </c>
      <c r="I152" s="691" t="s">
        <v>111</v>
      </c>
      <c r="J152" s="10" t="s">
        <v>56</v>
      </c>
      <c r="K152" s="24">
        <f>340-120-105</f>
        <v>115</v>
      </c>
      <c r="L152" s="24">
        <f>M152-K152</f>
        <v>0</v>
      </c>
      <c r="M152" s="24">
        <f>340-120-105</f>
        <v>115</v>
      </c>
    </row>
    <row r="153" spans="1:13" s="111" customFormat="1" ht="36" customHeight="1" x14ac:dyDescent="0.35">
      <c r="A153" s="11"/>
      <c r="B153" s="545" t="s">
        <v>112</v>
      </c>
      <c r="C153" s="23" t="s">
        <v>1</v>
      </c>
      <c r="D153" s="10" t="s">
        <v>52</v>
      </c>
      <c r="E153" s="10" t="s">
        <v>100</v>
      </c>
      <c r="F153" s="689" t="s">
        <v>71</v>
      </c>
      <c r="G153" s="690" t="s">
        <v>89</v>
      </c>
      <c r="H153" s="690" t="s">
        <v>43</v>
      </c>
      <c r="I153" s="691" t="s">
        <v>44</v>
      </c>
      <c r="J153" s="10"/>
      <c r="K153" s="24">
        <f t="shared" ref="K153:M155" si="20">K154</f>
        <v>118</v>
      </c>
      <c r="L153" s="24">
        <f t="shared" si="20"/>
        <v>0</v>
      </c>
      <c r="M153" s="24">
        <f t="shared" si="20"/>
        <v>118</v>
      </c>
    </row>
    <row r="154" spans="1:13" s="7" customFormat="1" ht="54" customHeight="1" x14ac:dyDescent="0.35">
      <c r="A154" s="11"/>
      <c r="B154" s="545" t="s">
        <v>113</v>
      </c>
      <c r="C154" s="23" t="s">
        <v>1</v>
      </c>
      <c r="D154" s="10" t="s">
        <v>52</v>
      </c>
      <c r="E154" s="10" t="s">
        <v>100</v>
      </c>
      <c r="F154" s="689" t="s">
        <v>71</v>
      </c>
      <c r="G154" s="690" t="s">
        <v>89</v>
      </c>
      <c r="H154" s="690" t="s">
        <v>37</v>
      </c>
      <c r="I154" s="691" t="s">
        <v>44</v>
      </c>
      <c r="J154" s="10"/>
      <c r="K154" s="24">
        <f t="shared" si="20"/>
        <v>118</v>
      </c>
      <c r="L154" s="24">
        <f t="shared" si="20"/>
        <v>0</v>
      </c>
      <c r="M154" s="24">
        <f t="shared" si="20"/>
        <v>118</v>
      </c>
    </row>
    <row r="155" spans="1:13" s="111" customFormat="1" ht="87" customHeight="1" x14ac:dyDescent="0.35">
      <c r="A155" s="11"/>
      <c r="B155" s="545" t="s">
        <v>114</v>
      </c>
      <c r="C155" s="23" t="s">
        <v>1</v>
      </c>
      <c r="D155" s="10" t="s">
        <v>52</v>
      </c>
      <c r="E155" s="10" t="s">
        <v>100</v>
      </c>
      <c r="F155" s="689" t="s">
        <v>71</v>
      </c>
      <c r="G155" s="690" t="s">
        <v>89</v>
      </c>
      <c r="H155" s="690" t="s">
        <v>37</v>
      </c>
      <c r="I155" s="691" t="s">
        <v>115</v>
      </c>
      <c r="J155" s="10"/>
      <c r="K155" s="24">
        <f t="shared" si="20"/>
        <v>118</v>
      </c>
      <c r="L155" s="24">
        <f t="shared" si="20"/>
        <v>0</v>
      </c>
      <c r="M155" s="24">
        <f t="shared" si="20"/>
        <v>118</v>
      </c>
    </row>
    <row r="156" spans="1:13" s="7" customFormat="1" ht="54" customHeight="1" x14ac:dyDescent="0.35">
      <c r="A156" s="11"/>
      <c r="B156" s="496" t="s">
        <v>55</v>
      </c>
      <c r="C156" s="23" t="s">
        <v>1</v>
      </c>
      <c r="D156" s="10" t="s">
        <v>52</v>
      </c>
      <c r="E156" s="10" t="s">
        <v>100</v>
      </c>
      <c r="F156" s="689" t="s">
        <v>71</v>
      </c>
      <c r="G156" s="690" t="s">
        <v>89</v>
      </c>
      <c r="H156" s="690" t="s">
        <v>37</v>
      </c>
      <c r="I156" s="691" t="s">
        <v>115</v>
      </c>
      <c r="J156" s="10" t="s">
        <v>56</v>
      </c>
      <c r="K156" s="24">
        <f>726.1-608.1</f>
        <v>118</v>
      </c>
      <c r="L156" s="24">
        <f>M156-K156</f>
        <v>0</v>
      </c>
      <c r="M156" s="24">
        <f>726.1-608.1</f>
        <v>118</v>
      </c>
    </row>
    <row r="157" spans="1:13" s="111" customFormat="1" ht="72" customHeight="1" x14ac:dyDescent="0.35">
      <c r="A157" s="11"/>
      <c r="B157" s="496" t="s">
        <v>116</v>
      </c>
      <c r="C157" s="23" t="s">
        <v>1</v>
      </c>
      <c r="D157" s="10" t="s">
        <v>52</v>
      </c>
      <c r="E157" s="10" t="s">
        <v>100</v>
      </c>
      <c r="F157" s="689" t="s">
        <v>88</v>
      </c>
      <c r="G157" s="690" t="s">
        <v>42</v>
      </c>
      <c r="H157" s="690" t="s">
        <v>43</v>
      </c>
      <c r="I157" s="691" t="s">
        <v>44</v>
      </c>
      <c r="J157" s="10"/>
      <c r="K157" s="24">
        <f t="shared" ref="K157:M160" si="21">K158</f>
        <v>55235.5</v>
      </c>
      <c r="L157" s="24">
        <f t="shared" si="21"/>
        <v>-851</v>
      </c>
      <c r="M157" s="24">
        <f t="shared" si="21"/>
        <v>54384.5</v>
      </c>
    </row>
    <row r="158" spans="1:13" s="111" customFormat="1" ht="36" customHeight="1" x14ac:dyDescent="0.35">
      <c r="A158" s="11"/>
      <c r="B158" s="496" t="s">
        <v>337</v>
      </c>
      <c r="C158" s="23" t="s">
        <v>1</v>
      </c>
      <c r="D158" s="10" t="s">
        <v>52</v>
      </c>
      <c r="E158" s="10" t="s">
        <v>100</v>
      </c>
      <c r="F158" s="689" t="s">
        <v>88</v>
      </c>
      <c r="G158" s="690" t="s">
        <v>45</v>
      </c>
      <c r="H158" s="690" t="s">
        <v>43</v>
      </c>
      <c r="I158" s="691" t="s">
        <v>44</v>
      </c>
      <c r="J158" s="10"/>
      <c r="K158" s="24">
        <f t="shared" si="21"/>
        <v>55235.5</v>
      </c>
      <c r="L158" s="24">
        <f t="shared" si="21"/>
        <v>-851</v>
      </c>
      <c r="M158" s="24">
        <f t="shared" si="21"/>
        <v>54384.5</v>
      </c>
    </row>
    <row r="159" spans="1:13" s="7" customFormat="1" ht="72" customHeight="1" x14ac:dyDescent="0.35">
      <c r="A159" s="11"/>
      <c r="B159" s="545" t="s">
        <v>306</v>
      </c>
      <c r="C159" s="23" t="s">
        <v>1</v>
      </c>
      <c r="D159" s="10" t="s">
        <v>52</v>
      </c>
      <c r="E159" s="10" t="s">
        <v>100</v>
      </c>
      <c r="F159" s="689" t="s">
        <v>88</v>
      </c>
      <c r="G159" s="690" t="s">
        <v>45</v>
      </c>
      <c r="H159" s="690" t="s">
        <v>37</v>
      </c>
      <c r="I159" s="691" t="s">
        <v>44</v>
      </c>
      <c r="J159" s="10"/>
      <c r="K159" s="24">
        <f>K160+K162+K164</f>
        <v>55235.5</v>
      </c>
      <c r="L159" s="24">
        <f>L160+L162+L164</f>
        <v>-851</v>
      </c>
      <c r="M159" s="24">
        <f>M160+M162+M164</f>
        <v>54384.5</v>
      </c>
    </row>
    <row r="160" spans="1:13" s="111" customFormat="1" ht="54" customHeight="1" x14ac:dyDescent="0.35">
      <c r="A160" s="11"/>
      <c r="B160" s="545" t="s">
        <v>117</v>
      </c>
      <c r="C160" s="23" t="s">
        <v>1</v>
      </c>
      <c r="D160" s="10" t="s">
        <v>52</v>
      </c>
      <c r="E160" s="10" t="s">
        <v>100</v>
      </c>
      <c r="F160" s="689" t="s">
        <v>88</v>
      </c>
      <c r="G160" s="690" t="s">
        <v>45</v>
      </c>
      <c r="H160" s="690" t="s">
        <v>37</v>
      </c>
      <c r="I160" s="691" t="s">
        <v>118</v>
      </c>
      <c r="J160" s="10"/>
      <c r="K160" s="24">
        <f t="shared" si="21"/>
        <v>2724.4</v>
      </c>
      <c r="L160" s="24">
        <f t="shared" si="21"/>
        <v>-851</v>
      </c>
      <c r="M160" s="24">
        <f t="shared" si="21"/>
        <v>1873.4</v>
      </c>
    </row>
    <row r="161" spans="1:13" s="7" customFormat="1" ht="54" customHeight="1" x14ac:dyDescent="0.35">
      <c r="A161" s="11"/>
      <c r="B161" s="496" t="s">
        <v>55</v>
      </c>
      <c r="C161" s="23" t="s">
        <v>1</v>
      </c>
      <c r="D161" s="10" t="s">
        <v>52</v>
      </c>
      <c r="E161" s="10" t="s">
        <v>100</v>
      </c>
      <c r="F161" s="689" t="s">
        <v>88</v>
      </c>
      <c r="G161" s="690" t="s">
        <v>45</v>
      </c>
      <c r="H161" s="690" t="s">
        <v>37</v>
      </c>
      <c r="I161" s="691" t="s">
        <v>118</v>
      </c>
      <c r="J161" s="10" t="s">
        <v>56</v>
      </c>
      <c r="K161" s="24">
        <f>50+338.2+313+1573.2+450</f>
        <v>2724.4</v>
      </c>
      <c r="L161" s="24">
        <f>M161-K161</f>
        <v>-851</v>
      </c>
      <c r="M161" s="24">
        <f>50+338.2+313+1573.2+450-351-500</f>
        <v>1873.4</v>
      </c>
    </row>
    <row r="162" spans="1:13" s="7" customFormat="1" ht="99" customHeight="1" x14ac:dyDescent="0.35">
      <c r="A162" s="11"/>
      <c r="B162" s="496" t="s">
        <v>523</v>
      </c>
      <c r="C162" s="23" t="s">
        <v>1</v>
      </c>
      <c r="D162" s="10" t="s">
        <v>52</v>
      </c>
      <c r="E162" s="10" t="s">
        <v>100</v>
      </c>
      <c r="F162" s="689" t="s">
        <v>88</v>
      </c>
      <c r="G162" s="690" t="s">
        <v>45</v>
      </c>
      <c r="H162" s="690" t="s">
        <v>37</v>
      </c>
      <c r="I162" s="691" t="s">
        <v>521</v>
      </c>
      <c r="J162" s="10"/>
      <c r="K162" s="24">
        <f>K163</f>
        <v>15802.7</v>
      </c>
      <c r="L162" s="24">
        <f>L163</f>
        <v>0</v>
      </c>
      <c r="M162" s="24">
        <f>M163</f>
        <v>15802.7</v>
      </c>
    </row>
    <row r="163" spans="1:13" s="7" customFormat="1" ht="54" customHeight="1" x14ac:dyDescent="0.35">
      <c r="A163" s="11"/>
      <c r="B163" s="496" t="s">
        <v>55</v>
      </c>
      <c r="C163" s="23" t="s">
        <v>1</v>
      </c>
      <c r="D163" s="10" t="s">
        <v>52</v>
      </c>
      <c r="E163" s="10" t="s">
        <v>100</v>
      </c>
      <c r="F163" s="689" t="s">
        <v>88</v>
      </c>
      <c r="G163" s="690" t="s">
        <v>45</v>
      </c>
      <c r="H163" s="690" t="s">
        <v>37</v>
      </c>
      <c r="I163" s="691" t="s">
        <v>521</v>
      </c>
      <c r="J163" s="10" t="s">
        <v>56</v>
      </c>
      <c r="K163" s="24">
        <v>15802.7</v>
      </c>
      <c r="L163" s="24">
        <f>M163-K163</f>
        <v>0</v>
      </c>
      <c r="M163" s="24">
        <v>15802.7</v>
      </c>
    </row>
    <row r="164" spans="1:13" s="7" customFormat="1" ht="72" customHeight="1" x14ac:dyDescent="0.35">
      <c r="A164" s="11"/>
      <c r="B164" s="496" t="s">
        <v>579</v>
      </c>
      <c r="C164" s="23" t="s">
        <v>1</v>
      </c>
      <c r="D164" s="10" t="s">
        <v>52</v>
      </c>
      <c r="E164" s="10" t="s">
        <v>100</v>
      </c>
      <c r="F164" s="689" t="s">
        <v>88</v>
      </c>
      <c r="G164" s="690" t="s">
        <v>45</v>
      </c>
      <c r="H164" s="690" t="s">
        <v>37</v>
      </c>
      <c r="I164" s="691" t="s">
        <v>576</v>
      </c>
      <c r="J164" s="10"/>
      <c r="K164" s="24">
        <f>K165</f>
        <v>36708.400000000001</v>
      </c>
      <c r="L164" s="24">
        <f>L165</f>
        <v>0</v>
      </c>
      <c r="M164" s="24">
        <f>M165</f>
        <v>36708.400000000001</v>
      </c>
    </row>
    <row r="165" spans="1:13" s="7" customFormat="1" ht="54" customHeight="1" x14ac:dyDescent="0.35">
      <c r="A165" s="11"/>
      <c r="B165" s="496" t="s">
        <v>55</v>
      </c>
      <c r="C165" s="23" t="s">
        <v>1</v>
      </c>
      <c r="D165" s="10" t="s">
        <v>52</v>
      </c>
      <c r="E165" s="10" t="s">
        <v>100</v>
      </c>
      <c r="F165" s="689" t="s">
        <v>88</v>
      </c>
      <c r="G165" s="690" t="s">
        <v>45</v>
      </c>
      <c r="H165" s="690" t="s">
        <v>37</v>
      </c>
      <c r="I165" s="691" t="s">
        <v>576</v>
      </c>
      <c r="J165" s="10" t="s">
        <v>56</v>
      </c>
      <c r="K165" s="24">
        <v>36708.400000000001</v>
      </c>
      <c r="L165" s="24">
        <f>M165-K165</f>
        <v>0</v>
      </c>
      <c r="M165" s="24">
        <v>36708.400000000001</v>
      </c>
    </row>
    <row r="166" spans="1:13" s="7" customFormat="1" ht="54" customHeight="1" x14ac:dyDescent="0.35">
      <c r="A166" s="11"/>
      <c r="B166" s="496" t="s">
        <v>40</v>
      </c>
      <c r="C166" s="23" t="s">
        <v>1</v>
      </c>
      <c r="D166" s="10" t="s">
        <v>52</v>
      </c>
      <c r="E166" s="10" t="s">
        <v>100</v>
      </c>
      <c r="F166" s="689" t="s">
        <v>41</v>
      </c>
      <c r="G166" s="690" t="s">
        <v>42</v>
      </c>
      <c r="H166" s="690" t="s">
        <v>43</v>
      </c>
      <c r="I166" s="691" t="s">
        <v>44</v>
      </c>
      <c r="J166" s="10"/>
      <c r="K166" s="24" t="e">
        <f t="shared" ref="K166:M166" si="22">K167</f>
        <v>#REF!</v>
      </c>
      <c r="L166" s="24">
        <f t="shared" si="22"/>
        <v>0</v>
      </c>
      <c r="M166" s="24">
        <f t="shared" si="22"/>
        <v>12691.2</v>
      </c>
    </row>
    <row r="167" spans="1:13" s="7" customFormat="1" ht="36" customHeight="1" x14ac:dyDescent="0.35">
      <c r="A167" s="11"/>
      <c r="B167" s="496" t="s">
        <v>337</v>
      </c>
      <c r="C167" s="23" t="s">
        <v>1</v>
      </c>
      <c r="D167" s="10" t="s">
        <v>52</v>
      </c>
      <c r="E167" s="10" t="s">
        <v>100</v>
      </c>
      <c r="F167" s="689" t="s">
        <v>41</v>
      </c>
      <c r="G167" s="690" t="s">
        <v>45</v>
      </c>
      <c r="H167" s="690" t="s">
        <v>43</v>
      </c>
      <c r="I167" s="691" t="s">
        <v>44</v>
      </c>
      <c r="J167" s="10"/>
      <c r="K167" s="24" t="e">
        <f>K168+K173</f>
        <v>#REF!</v>
      </c>
      <c r="L167" s="24">
        <f>L168+L173</f>
        <v>0</v>
      </c>
      <c r="M167" s="24">
        <f>M168+M173</f>
        <v>12691.2</v>
      </c>
    </row>
    <row r="168" spans="1:13" s="7" customFormat="1" ht="54" customHeight="1" x14ac:dyDescent="0.35">
      <c r="A168" s="11"/>
      <c r="B168" s="496" t="s">
        <v>329</v>
      </c>
      <c r="C168" s="23" t="s">
        <v>1</v>
      </c>
      <c r="D168" s="10" t="s">
        <v>52</v>
      </c>
      <c r="E168" s="10" t="s">
        <v>100</v>
      </c>
      <c r="F168" s="689" t="s">
        <v>41</v>
      </c>
      <c r="G168" s="690" t="s">
        <v>45</v>
      </c>
      <c r="H168" s="690" t="s">
        <v>88</v>
      </c>
      <c r="I168" s="691" t="s">
        <v>44</v>
      </c>
      <c r="J168" s="10"/>
      <c r="K168" s="24" t="e">
        <f>K169+#REF!+K171</f>
        <v>#REF!</v>
      </c>
      <c r="L168" s="24">
        <f>L169+L171</f>
        <v>0</v>
      </c>
      <c r="M168" s="24">
        <f>M169+M171</f>
        <v>11643</v>
      </c>
    </row>
    <row r="169" spans="1:13" s="7" customFormat="1" ht="54" customHeight="1" x14ac:dyDescent="0.35">
      <c r="A169" s="11"/>
      <c r="B169" s="496" t="s">
        <v>534</v>
      </c>
      <c r="C169" s="23" t="s">
        <v>1</v>
      </c>
      <c r="D169" s="10" t="s">
        <v>52</v>
      </c>
      <c r="E169" s="10" t="s">
        <v>100</v>
      </c>
      <c r="F169" s="689" t="s">
        <v>41</v>
      </c>
      <c r="G169" s="690" t="s">
        <v>45</v>
      </c>
      <c r="H169" s="690" t="s">
        <v>88</v>
      </c>
      <c r="I169" s="691" t="s">
        <v>533</v>
      </c>
      <c r="J169" s="10"/>
      <c r="K169" s="24">
        <f>K170</f>
        <v>1743</v>
      </c>
      <c r="L169" s="24">
        <f>L170</f>
        <v>0</v>
      </c>
      <c r="M169" s="24">
        <f>M170</f>
        <v>1743</v>
      </c>
    </row>
    <row r="170" spans="1:13" s="7" customFormat="1" ht="54" customHeight="1" x14ac:dyDescent="0.35">
      <c r="A170" s="11"/>
      <c r="B170" s="496" t="s">
        <v>55</v>
      </c>
      <c r="C170" s="23" t="s">
        <v>1</v>
      </c>
      <c r="D170" s="10" t="s">
        <v>52</v>
      </c>
      <c r="E170" s="10" t="s">
        <v>100</v>
      </c>
      <c r="F170" s="689" t="s">
        <v>41</v>
      </c>
      <c r="G170" s="690" t="s">
        <v>45</v>
      </c>
      <c r="H170" s="690" t="s">
        <v>88</v>
      </c>
      <c r="I170" s="691" t="s">
        <v>533</v>
      </c>
      <c r="J170" s="10" t="s">
        <v>56</v>
      </c>
      <c r="K170" s="24">
        <f>1690.7+52.3</f>
        <v>1743</v>
      </c>
      <c r="L170" s="24">
        <f>M170-K170</f>
        <v>0</v>
      </c>
      <c r="M170" s="24">
        <f>1690.7+52.3</f>
        <v>1743</v>
      </c>
    </row>
    <row r="171" spans="1:13" s="7" customFormat="1" ht="54" customHeight="1" x14ac:dyDescent="0.35">
      <c r="A171" s="11"/>
      <c r="B171" s="496" t="s">
        <v>711</v>
      </c>
      <c r="C171" s="23" t="s">
        <v>1</v>
      </c>
      <c r="D171" s="10" t="s">
        <v>52</v>
      </c>
      <c r="E171" s="10" t="s">
        <v>100</v>
      </c>
      <c r="F171" s="689" t="s">
        <v>41</v>
      </c>
      <c r="G171" s="690" t="s">
        <v>45</v>
      </c>
      <c r="H171" s="690" t="s">
        <v>88</v>
      </c>
      <c r="I171" s="691" t="s">
        <v>710</v>
      </c>
      <c r="J171" s="10"/>
      <c r="K171" s="24">
        <f>K172</f>
        <v>9900</v>
      </c>
      <c r="L171" s="24">
        <f>L172</f>
        <v>0</v>
      </c>
      <c r="M171" s="24">
        <f>M172</f>
        <v>9900</v>
      </c>
    </row>
    <row r="172" spans="1:13" s="7" customFormat="1" ht="54" customHeight="1" x14ac:dyDescent="0.35">
      <c r="A172" s="11"/>
      <c r="B172" s="496" t="s">
        <v>55</v>
      </c>
      <c r="C172" s="23" t="s">
        <v>1</v>
      </c>
      <c r="D172" s="10" t="s">
        <v>52</v>
      </c>
      <c r="E172" s="10" t="s">
        <v>100</v>
      </c>
      <c r="F172" s="689" t="s">
        <v>41</v>
      </c>
      <c r="G172" s="690" t="s">
        <v>45</v>
      </c>
      <c r="H172" s="690" t="s">
        <v>88</v>
      </c>
      <c r="I172" s="691" t="s">
        <v>710</v>
      </c>
      <c r="J172" s="10" t="s">
        <v>56</v>
      </c>
      <c r="K172" s="24">
        <f>9603+297</f>
        <v>9900</v>
      </c>
      <c r="L172" s="24">
        <f>M172-K172</f>
        <v>0</v>
      </c>
      <c r="M172" s="24">
        <f>9603+297</f>
        <v>9900</v>
      </c>
    </row>
    <row r="173" spans="1:13" s="7" customFormat="1" ht="36" customHeight="1" x14ac:dyDescent="0.35">
      <c r="A173" s="11"/>
      <c r="B173" s="579" t="s">
        <v>372</v>
      </c>
      <c r="C173" s="23" t="s">
        <v>1</v>
      </c>
      <c r="D173" s="10" t="s">
        <v>52</v>
      </c>
      <c r="E173" s="10" t="s">
        <v>100</v>
      </c>
      <c r="F173" s="689" t="s">
        <v>41</v>
      </c>
      <c r="G173" s="690" t="s">
        <v>45</v>
      </c>
      <c r="H173" s="690" t="s">
        <v>659</v>
      </c>
      <c r="I173" s="691" t="s">
        <v>44</v>
      </c>
      <c r="J173" s="10"/>
      <c r="K173" s="24">
        <f t="shared" ref="K173:M174" si="23">K174</f>
        <v>1048.2</v>
      </c>
      <c r="L173" s="24">
        <f t="shared" si="23"/>
        <v>0</v>
      </c>
      <c r="M173" s="24">
        <f t="shared" si="23"/>
        <v>1048.2</v>
      </c>
    </row>
    <row r="174" spans="1:13" s="7" customFormat="1" ht="36" customHeight="1" x14ac:dyDescent="0.35">
      <c r="A174" s="11"/>
      <c r="B174" s="579" t="s">
        <v>370</v>
      </c>
      <c r="C174" s="23" t="s">
        <v>1</v>
      </c>
      <c r="D174" s="10" t="s">
        <v>52</v>
      </c>
      <c r="E174" s="10" t="s">
        <v>100</v>
      </c>
      <c r="F174" s="689" t="s">
        <v>41</v>
      </c>
      <c r="G174" s="690" t="s">
        <v>45</v>
      </c>
      <c r="H174" s="690" t="s">
        <v>659</v>
      </c>
      <c r="I174" s="691" t="s">
        <v>369</v>
      </c>
      <c r="J174" s="10"/>
      <c r="K174" s="24">
        <f t="shared" si="23"/>
        <v>1048.2</v>
      </c>
      <c r="L174" s="24">
        <f t="shared" si="23"/>
        <v>0</v>
      </c>
      <c r="M174" s="24">
        <f t="shared" si="23"/>
        <v>1048.2</v>
      </c>
    </row>
    <row r="175" spans="1:13" s="7" customFormat="1" ht="54" customHeight="1" x14ac:dyDescent="0.35">
      <c r="A175" s="11"/>
      <c r="B175" s="579" t="s">
        <v>55</v>
      </c>
      <c r="C175" s="23" t="s">
        <v>1</v>
      </c>
      <c r="D175" s="10" t="s">
        <v>52</v>
      </c>
      <c r="E175" s="10" t="s">
        <v>100</v>
      </c>
      <c r="F175" s="689" t="s">
        <v>41</v>
      </c>
      <c r="G175" s="690" t="s">
        <v>45</v>
      </c>
      <c r="H175" s="690" t="s">
        <v>659</v>
      </c>
      <c r="I175" s="691" t="s">
        <v>369</v>
      </c>
      <c r="J175" s="10" t="s">
        <v>56</v>
      </c>
      <c r="K175" s="24">
        <f>1117-68.8</f>
        <v>1048.2</v>
      </c>
      <c r="L175" s="24">
        <f>M175-K175</f>
        <v>0</v>
      </c>
      <c r="M175" s="24">
        <f>1117-68.8</f>
        <v>1048.2</v>
      </c>
    </row>
    <row r="176" spans="1:13" s="7" customFormat="1" ht="18" customHeight="1" x14ac:dyDescent="0.35">
      <c r="A176" s="11"/>
      <c r="B176" s="496" t="s">
        <v>177</v>
      </c>
      <c r="C176" s="23" t="s">
        <v>1</v>
      </c>
      <c r="D176" s="10" t="s">
        <v>65</v>
      </c>
      <c r="E176" s="10"/>
      <c r="F176" s="689"/>
      <c r="G176" s="690"/>
      <c r="H176" s="690"/>
      <c r="I176" s="691"/>
      <c r="J176" s="10"/>
      <c r="K176" s="255">
        <f>K177+K187</f>
        <v>67769.5</v>
      </c>
      <c r="L176" s="255">
        <f>L177+L187</f>
        <v>0</v>
      </c>
      <c r="M176" s="255">
        <f>M177+M187</f>
        <v>67769.5</v>
      </c>
    </row>
    <row r="177" spans="1:13" s="7" customFormat="1" ht="18" customHeight="1" x14ac:dyDescent="0.35">
      <c r="A177" s="11"/>
      <c r="B177" s="496" t="s">
        <v>474</v>
      </c>
      <c r="C177" s="23" t="s">
        <v>1</v>
      </c>
      <c r="D177" s="10" t="s">
        <v>65</v>
      </c>
      <c r="E177" s="10" t="s">
        <v>37</v>
      </c>
      <c r="F177" s="689"/>
      <c r="G177" s="690"/>
      <c r="H177" s="690"/>
      <c r="I177" s="691"/>
      <c r="J177" s="10"/>
      <c r="K177" s="255">
        <f>K178</f>
        <v>60690.600000000006</v>
      </c>
      <c r="L177" s="255">
        <f>L178</f>
        <v>0</v>
      </c>
      <c r="M177" s="255">
        <f>M178</f>
        <v>60690.600000000006</v>
      </c>
    </row>
    <row r="178" spans="1:13" s="7" customFormat="1" ht="72" customHeight="1" x14ac:dyDescent="0.35">
      <c r="A178" s="11"/>
      <c r="B178" s="547" t="s">
        <v>330</v>
      </c>
      <c r="C178" s="23" t="s">
        <v>1</v>
      </c>
      <c r="D178" s="10" t="s">
        <v>65</v>
      </c>
      <c r="E178" s="10" t="s">
        <v>37</v>
      </c>
      <c r="F178" s="689" t="s">
        <v>104</v>
      </c>
      <c r="G178" s="690" t="s">
        <v>42</v>
      </c>
      <c r="H178" s="690" t="s">
        <v>43</v>
      </c>
      <c r="I178" s="691" t="s">
        <v>44</v>
      </c>
      <c r="J178" s="10"/>
      <c r="K178" s="24">
        <f>K180</f>
        <v>60690.600000000006</v>
      </c>
      <c r="L178" s="24">
        <f>L180</f>
        <v>0</v>
      </c>
      <c r="M178" s="24">
        <f>M180</f>
        <v>60690.600000000006</v>
      </c>
    </row>
    <row r="179" spans="1:13" s="7" customFormat="1" ht="36" customHeight="1" x14ac:dyDescent="0.35">
      <c r="A179" s="11"/>
      <c r="B179" s="527" t="s">
        <v>476</v>
      </c>
      <c r="C179" s="23" t="s">
        <v>1</v>
      </c>
      <c r="D179" s="10" t="s">
        <v>65</v>
      </c>
      <c r="E179" s="10" t="s">
        <v>37</v>
      </c>
      <c r="F179" s="689" t="s">
        <v>104</v>
      </c>
      <c r="G179" s="690" t="s">
        <v>477</v>
      </c>
      <c r="H179" s="690" t="s">
        <v>43</v>
      </c>
      <c r="I179" s="691" t="s">
        <v>44</v>
      </c>
      <c r="J179" s="10"/>
      <c r="K179" s="24">
        <f>K180</f>
        <v>60690.600000000006</v>
      </c>
      <c r="L179" s="24">
        <f>L180</f>
        <v>0</v>
      </c>
      <c r="M179" s="24">
        <f>M180</f>
        <v>60690.600000000006</v>
      </c>
    </row>
    <row r="180" spans="1:13" s="7" customFormat="1" ht="54" customHeight="1" x14ac:dyDescent="0.35">
      <c r="A180" s="11"/>
      <c r="B180" s="496" t="s">
        <v>472</v>
      </c>
      <c r="C180" s="23" t="s">
        <v>1</v>
      </c>
      <c r="D180" s="10" t="s">
        <v>65</v>
      </c>
      <c r="E180" s="10" t="s">
        <v>37</v>
      </c>
      <c r="F180" s="689" t="s">
        <v>104</v>
      </c>
      <c r="G180" s="690" t="s">
        <v>477</v>
      </c>
      <c r="H180" s="690" t="s">
        <v>471</v>
      </c>
      <c r="I180" s="691" t="s">
        <v>44</v>
      </c>
      <c r="J180" s="10"/>
      <c r="K180" s="24">
        <f>K185+K181+K183</f>
        <v>60690.600000000006</v>
      </c>
      <c r="L180" s="24">
        <f>L185+L181+L183</f>
        <v>0</v>
      </c>
      <c r="M180" s="24">
        <f>M185+M181+M183</f>
        <v>60690.600000000006</v>
      </c>
    </row>
    <row r="181" spans="1:13" s="7" customFormat="1" ht="108" customHeight="1" x14ac:dyDescent="0.35">
      <c r="A181" s="11"/>
      <c r="B181" s="579" t="s">
        <v>473</v>
      </c>
      <c r="C181" s="23" t="s">
        <v>1</v>
      </c>
      <c r="D181" s="10" t="s">
        <v>65</v>
      </c>
      <c r="E181" s="10" t="s">
        <v>37</v>
      </c>
      <c r="F181" s="689" t="s">
        <v>104</v>
      </c>
      <c r="G181" s="690" t="s">
        <v>477</v>
      </c>
      <c r="H181" s="690" t="s">
        <v>471</v>
      </c>
      <c r="I181" s="691" t="s">
        <v>612</v>
      </c>
      <c r="J181" s="10"/>
      <c r="K181" s="24">
        <f>K182</f>
        <v>20989.9</v>
      </c>
      <c r="L181" s="24">
        <f>L182</f>
        <v>0</v>
      </c>
      <c r="M181" s="24">
        <f>M182</f>
        <v>20989.9</v>
      </c>
    </row>
    <row r="182" spans="1:13" s="7" customFormat="1" ht="54" customHeight="1" x14ac:dyDescent="0.35">
      <c r="A182" s="11"/>
      <c r="B182" s="579" t="s">
        <v>203</v>
      </c>
      <c r="C182" s="23" t="s">
        <v>1</v>
      </c>
      <c r="D182" s="10" t="s">
        <v>65</v>
      </c>
      <c r="E182" s="10" t="s">
        <v>37</v>
      </c>
      <c r="F182" s="689" t="s">
        <v>104</v>
      </c>
      <c r="G182" s="690" t="s">
        <v>477</v>
      </c>
      <c r="H182" s="690" t="s">
        <v>471</v>
      </c>
      <c r="I182" s="691" t="s">
        <v>612</v>
      </c>
      <c r="J182" s="10" t="s">
        <v>204</v>
      </c>
      <c r="K182" s="24">
        <f>13125.3+7864.6</f>
        <v>20989.9</v>
      </c>
      <c r="L182" s="24">
        <f>M182-K182</f>
        <v>0</v>
      </c>
      <c r="M182" s="24">
        <f>13125.3+7864.6</f>
        <v>20989.9</v>
      </c>
    </row>
    <row r="183" spans="1:13" s="7" customFormat="1" ht="108" customHeight="1" x14ac:dyDescent="0.35">
      <c r="A183" s="11"/>
      <c r="B183" s="579" t="s">
        <v>473</v>
      </c>
      <c r="C183" s="23" t="s">
        <v>1</v>
      </c>
      <c r="D183" s="10" t="s">
        <v>65</v>
      </c>
      <c r="E183" s="10" t="s">
        <v>37</v>
      </c>
      <c r="F183" s="689" t="s">
        <v>104</v>
      </c>
      <c r="G183" s="690" t="s">
        <v>477</v>
      </c>
      <c r="H183" s="690" t="s">
        <v>471</v>
      </c>
      <c r="I183" s="691" t="s">
        <v>611</v>
      </c>
      <c r="J183" s="10"/>
      <c r="K183" s="24">
        <f>K184</f>
        <v>36665.9</v>
      </c>
      <c r="L183" s="24">
        <f>L184</f>
        <v>0</v>
      </c>
      <c r="M183" s="24">
        <f>M184</f>
        <v>36665.9</v>
      </c>
    </row>
    <row r="184" spans="1:13" s="7" customFormat="1" ht="54" customHeight="1" x14ac:dyDescent="0.35">
      <c r="A184" s="11"/>
      <c r="B184" s="580" t="s">
        <v>203</v>
      </c>
      <c r="C184" s="23" t="s">
        <v>1</v>
      </c>
      <c r="D184" s="10" t="s">
        <v>65</v>
      </c>
      <c r="E184" s="10" t="s">
        <v>37</v>
      </c>
      <c r="F184" s="689" t="s">
        <v>104</v>
      </c>
      <c r="G184" s="690" t="s">
        <v>477</v>
      </c>
      <c r="H184" s="690" t="s">
        <v>471</v>
      </c>
      <c r="I184" s="691" t="s">
        <v>611</v>
      </c>
      <c r="J184" s="10" t="s">
        <v>204</v>
      </c>
      <c r="K184" s="24">
        <f>18201+18464.9</f>
        <v>36665.9</v>
      </c>
      <c r="L184" s="24">
        <f>M184-K184</f>
        <v>0</v>
      </c>
      <c r="M184" s="24">
        <f>18201+18464.9</f>
        <v>36665.9</v>
      </c>
    </row>
    <row r="185" spans="1:13" s="7" customFormat="1" ht="108" customHeight="1" x14ac:dyDescent="0.35">
      <c r="A185" s="11"/>
      <c r="B185" s="496" t="s">
        <v>473</v>
      </c>
      <c r="C185" s="23" t="s">
        <v>1</v>
      </c>
      <c r="D185" s="10" t="s">
        <v>65</v>
      </c>
      <c r="E185" s="10" t="s">
        <v>37</v>
      </c>
      <c r="F185" s="689" t="s">
        <v>104</v>
      </c>
      <c r="G185" s="690" t="s">
        <v>477</v>
      </c>
      <c r="H185" s="690" t="s">
        <v>471</v>
      </c>
      <c r="I185" s="691" t="s">
        <v>515</v>
      </c>
      <c r="J185" s="10"/>
      <c r="K185" s="24">
        <f>K186</f>
        <v>3034.8</v>
      </c>
      <c r="L185" s="24">
        <f>L186</f>
        <v>0</v>
      </c>
      <c r="M185" s="24">
        <f>M186</f>
        <v>3034.8</v>
      </c>
    </row>
    <row r="186" spans="1:13" s="7" customFormat="1" ht="54" customHeight="1" x14ac:dyDescent="0.35">
      <c r="A186" s="11"/>
      <c r="B186" s="496" t="s">
        <v>203</v>
      </c>
      <c r="C186" s="23" t="s">
        <v>1</v>
      </c>
      <c r="D186" s="10" t="s">
        <v>65</v>
      </c>
      <c r="E186" s="10" t="s">
        <v>37</v>
      </c>
      <c r="F186" s="689" t="s">
        <v>104</v>
      </c>
      <c r="G186" s="690" t="s">
        <v>477</v>
      </c>
      <c r="H186" s="690" t="s">
        <v>471</v>
      </c>
      <c r="I186" s="691" t="s">
        <v>515</v>
      </c>
      <c r="J186" s="10" t="s">
        <v>204</v>
      </c>
      <c r="K186" s="24">
        <f>1649+1385.8</f>
        <v>3034.8</v>
      </c>
      <c r="L186" s="24">
        <f>M186-K186</f>
        <v>0</v>
      </c>
      <c r="M186" s="24">
        <f>1649+1385.8</f>
        <v>3034.8</v>
      </c>
    </row>
    <row r="187" spans="1:13" s="7" customFormat="1" ht="18" customHeight="1" x14ac:dyDescent="0.35">
      <c r="A187" s="11"/>
      <c r="B187" s="579" t="s">
        <v>622</v>
      </c>
      <c r="C187" s="23" t="s">
        <v>1</v>
      </c>
      <c r="D187" s="10" t="s">
        <v>65</v>
      </c>
      <c r="E187" s="10" t="s">
        <v>63</v>
      </c>
      <c r="F187" s="689"/>
      <c r="G187" s="690"/>
      <c r="H187" s="690"/>
      <c r="I187" s="691"/>
      <c r="J187" s="10"/>
      <c r="K187" s="24">
        <f t="shared" ref="K187:M191" si="24">K188</f>
        <v>7078.9000000000005</v>
      </c>
      <c r="L187" s="24">
        <f t="shared" si="24"/>
        <v>0</v>
      </c>
      <c r="M187" s="24">
        <f t="shared" si="24"/>
        <v>7078.9000000000005</v>
      </c>
    </row>
    <row r="188" spans="1:13" s="7" customFormat="1" ht="72" customHeight="1" x14ac:dyDescent="0.35">
      <c r="A188" s="11"/>
      <c r="B188" s="579" t="s">
        <v>623</v>
      </c>
      <c r="C188" s="23" t="s">
        <v>1</v>
      </c>
      <c r="D188" s="10" t="s">
        <v>65</v>
      </c>
      <c r="E188" s="10" t="s">
        <v>63</v>
      </c>
      <c r="F188" s="689" t="s">
        <v>104</v>
      </c>
      <c r="G188" s="690" t="s">
        <v>42</v>
      </c>
      <c r="H188" s="690" t="s">
        <v>43</v>
      </c>
      <c r="I188" s="691" t="s">
        <v>44</v>
      </c>
      <c r="J188" s="10"/>
      <c r="K188" s="24">
        <f t="shared" si="24"/>
        <v>7078.9000000000005</v>
      </c>
      <c r="L188" s="24">
        <f t="shared" si="24"/>
        <v>0</v>
      </c>
      <c r="M188" s="24">
        <f t="shared" si="24"/>
        <v>7078.9000000000005</v>
      </c>
    </row>
    <row r="189" spans="1:13" s="7" customFormat="1" ht="54" customHeight="1" x14ac:dyDescent="0.35">
      <c r="A189" s="11"/>
      <c r="B189" s="579" t="s">
        <v>618</v>
      </c>
      <c r="C189" s="23" t="s">
        <v>1</v>
      </c>
      <c r="D189" s="10" t="s">
        <v>65</v>
      </c>
      <c r="E189" s="10" t="s">
        <v>63</v>
      </c>
      <c r="F189" s="689" t="s">
        <v>104</v>
      </c>
      <c r="G189" s="690" t="s">
        <v>34</v>
      </c>
      <c r="H189" s="690" t="s">
        <v>43</v>
      </c>
      <c r="I189" s="691" t="s">
        <v>44</v>
      </c>
      <c r="J189" s="10"/>
      <c r="K189" s="24">
        <f t="shared" si="24"/>
        <v>7078.9000000000005</v>
      </c>
      <c r="L189" s="24">
        <f t="shared" si="24"/>
        <v>0</v>
      </c>
      <c r="M189" s="24">
        <f t="shared" si="24"/>
        <v>7078.9000000000005</v>
      </c>
    </row>
    <row r="190" spans="1:13" s="7" customFormat="1" ht="54" customHeight="1" x14ac:dyDescent="0.35">
      <c r="A190" s="11"/>
      <c r="B190" s="579" t="s">
        <v>619</v>
      </c>
      <c r="C190" s="23" t="s">
        <v>1</v>
      </c>
      <c r="D190" s="10" t="s">
        <v>65</v>
      </c>
      <c r="E190" s="10" t="s">
        <v>63</v>
      </c>
      <c r="F190" s="689" t="s">
        <v>104</v>
      </c>
      <c r="G190" s="690" t="s">
        <v>34</v>
      </c>
      <c r="H190" s="690" t="s">
        <v>37</v>
      </c>
      <c r="I190" s="691" t="s">
        <v>44</v>
      </c>
      <c r="J190" s="10"/>
      <c r="K190" s="24">
        <f t="shared" si="24"/>
        <v>7078.9000000000005</v>
      </c>
      <c r="L190" s="24">
        <f t="shared" si="24"/>
        <v>0</v>
      </c>
      <c r="M190" s="24">
        <f t="shared" si="24"/>
        <v>7078.9000000000005</v>
      </c>
    </row>
    <row r="191" spans="1:13" s="7" customFormat="1" ht="36" customHeight="1" x14ac:dyDescent="0.35">
      <c r="A191" s="11"/>
      <c r="B191" s="579" t="s">
        <v>620</v>
      </c>
      <c r="C191" s="23" t="s">
        <v>1</v>
      </c>
      <c r="D191" s="10" t="s">
        <v>65</v>
      </c>
      <c r="E191" s="10" t="s">
        <v>63</v>
      </c>
      <c r="F191" s="689" t="s">
        <v>104</v>
      </c>
      <c r="G191" s="690" t="s">
        <v>34</v>
      </c>
      <c r="H191" s="690" t="s">
        <v>37</v>
      </c>
      <c r="I191" s="691" t="s">
        <v>621</v>
      </c>
      <c r="J191" s="10"/>
      <c r="K191" s="24">
        <f t="shared" si="24"/>
        <v>7078.9000000000005</v>
      </c>
      <c r="L191" s="24">
        <f t="shared" si="24"/>
        <v>0</v>
      </c>
      <c r="M191" s="24">
        <f t="shared" si="24"/>
        <v>7078.9000000000005</v>
      </c>
    </row>
    <row r="192" spans="1:13" s="7" customFormat="1" ht="54" customHeight="1" x14ac:dyDescent="0.35">
      <c r="A192" s="11"/>
      <c r="B192" s="579" t="s">
        <v>55</v>
      </c>
      <c r="C192" s="23" t="s">
        <v>1</v>
      </c>
      <c r="D192" s="10" t="s">
        <v>65</v>
      </c>
      <c r="E192" s="10" t="s">
        <v>63</v>
      </c>
      <c r="F192" s="689" t="s">
        <v>104</v>
      </c>
      <c r="G192" s="690" t="s">
        <v>34</v>
      </c>
      <c r="H192" s="690" t="s">
        <v>37</v>
      </c>
      <c r="I192" s="691" t="s">
        <v>621</v>
      </c>
      <c r="J192" s="10" t="s">
        <v>56</v>
      </c>
      <c r="K192" s="24">
        <f>5758.6+1327.1-6.8</f>
        <v>7078.9000000000005</v>
      </c>
      <c r="L192" s="24">
        <f>M192-K192</f>
        <v>0</v>
      </c>
      <c r="M192" s="24">
        <f>5758.6+1327.1-6.8</f>
        <v>7078.9000000000005</v>
      </c>
    </row>
    <row r="193" spans="1:13" s="7" customFormat="1" ht="18" customHeight="1" x14ac:dyDescent="0.35">
      <c r="A193" s="11"/>
      <c r="B193" s="496" t="s">
        <v>179</v>
      </c>
      <c r="C193" s="23" t="s">
        <v>1</v>
      </c>
      <c r="D193" s="10" t="s">
        <v>224</v>
      </c>
      <c r="E193" s="10"/>
      <c r="F193" s="689"/>
      <c r="G193" s="690"/>
      <c r="H193" s="690"/>
      <c r="I193" s="691"/>
      <c r="J193" s="10"/>
      <c r="K193" s="24">
        <f>K194</f>
        <v>130.9</v>
      </c>
      <c r="L193" s="24">
        <f>L194</f>
        <v>0</v>
      </c>
      <c r="M193" s="24">
        <f>M194</f>
        <v>130.9</v>
      </c>
    </row>
    <row r="194" spans="1:13" s="7" customFormat="1" ht="36" customHeight="1" x14ac:dyDescent="0.35">
      <c r="A194" s="11"/>
      <c r="B194" s="496" t="s">
        <v>527</v>
      </c>
      <c r="C194" s="23" t="s">
        <v>1</v>
      </c>
      <c r="D194" s="10" t="s">
        <v>224</v>
      </c>
      <c r="E194" s="10" t="s">
        <v>65</v>
      </c>
      <c r="F194" s="689"/>
      <c r="G194" s="690"/>
      <c r="H194" s="690"/>
      <c r="I194" s="691"/>
      <c r="J194" s="10"/>
      <c r="K194" s="24">
        <f t="shared" ref="K194:M198" si="25">K195</f>
        <v>130.9</v>
      </c>
      <c r="L194" s="24">
        <f t="shared" si="25"/>
        <v>0</v>
      </c>
      <c r="M194" s="24">
        <f t="shared" si="25"/>
        <v>130.9</v>
      </c>
    </row>
    <row r="195" spans="1:13" s="7" customFormat="1" ht="54" customHeight="1" x14ac:dyDescent="0.35">
      <c r="A195" s="11"/>
      <c r="B195" s="496" t="s">
        <v>40</v>
      </c>
      <c r="C195" s="23" t="s">
        <v>1</v>
      </c>
      <c r="D195" s="10" t="s">
        <v>224</v>
      </c>
      <c r="E195" s="10" t="s">
        <v>65</v>
      </c>
      <c r="F195" s="689" t="s">
        <v>41</v>
      </c>
      <c r="G195" s="690" t="s">
        <v>42</v>
      </c>
      <c r="H195" s="690" t="s">
        <v>43</v>
      </c>
      <c r="I195" s="691" t="s">
        <v>44</v>
      </c>
      <c r="J195" s="10"/>
      <c r="K195" s="24">
        <f t="shared" si="25"/>
        <v>130.9</v>
      </c>
      <c r="L195" s="24">
        <f t="shared" si="25"/>
        <v>0</v>
      </c>
      <c r="M195" s="24">
        <f t="shared" si="25"/>
        <v>130.9</v>
      </c>
    </row>
    <row r="196" spans="1:13" s="7" customFormat="1" ht="36" customHeight="1" x14ac:dyDescent="0.35">
      <c r="A196" s="11"/>
      <c r="B196" s="496" t="s">
        <v>337</v>
      </c>
      <c r="C196" s="23" t="s">
        <v>1</v>
      </c>
      <c r="D196" s="10" t="s">
        <v>224</v>
      </c>
      <c r="E196" s="10" t="s">
        <v>65</v>
      </c>
      <c r="F196" s="689" t="s">
        <v>41</v>
      </c>
      <c r="G196" s="690" t="s">
        <v>45</v>
      </c>
      <c r="H196" s="690" t="s">
        <v>43</v>
      </c>
      <c r="I196" s="691" t="s">
        <v>44</v>
      </c>
      <c r="J196" s="10"/>
      <c r="K196" s="24">
        <f t="shared" si="25"/>
        <v>130.9</v>
      </c>
      <c r="L196" s="24">
        <f t="shared" si="25"/>
        <v>0</v>
      </c>
      <c r="M196" s="24">
        <f t="shared" si="25"/>
        <v>130.9</v>
      </c>
    </row>
    <row r="197" spans="1:13" s="7" customFormat="1" ht="18" customHeight="1" x14ac:dyDescent="0.35">
      <c r="A197" s="11"/>
      <c r="B197" s="496" t="s">
        <v>62</v>
      </c>
      <c r="C197" s="23" t="s">
        <v>1</v>
      </c>
      <c r="D197" s="10" t="s">
        <v>224</v>
      </c>
      <c r="E197" s="10" t="s">
        <v>65</v>
      </c>
      <c r="F197" s="689" t="s">
        <v>41</v>
      </c>
      <c r="G197" s="690" t="s">
        <v>45</v>
      </c>
      <c r="H197" s="690" t="s">
        <v>63</v>
      </c>
      <c r="I197" s="691" t="s">
        <v>44</v>
      </c>
      <c r="J197" s="10"/>
      <c r="K197" s="24">
        <f t="shared" si="25"/>
        <v>130.9</v>
      </c>
      <c r="L197" s="24">
        <f t="shared" si="25"/>
        <v>0</v>
      </c>
      <c r="M197" s="24">
        <f t="shared" si="25"/>
        <v>130.9</v>
      </c>
    </row>
    <row r="198" spans="1:13" s="7" customFormat="1" ht="36" customHeight="1" x14ac:dyDescent="0.35">
      <c r="A198" s="11"/>
      <c r="B198" s="496" t="s">
        <v>529</v>
      </c>
      <c r="C198" s="23" t="s">
        <v>1</v>
      </c>
      <c r="D198" s="10" t="s">
        <v>224</v>
      </c>
      <c r="E198" s="10" t="s">
        <v>65</v>
      </c>
      <c r="F198" s="689" t="s">
        <v>41</v>
      </c>
      <c r="G198" s="690" t="s">
        <v>45</v>
      </c>
      <c r="H198" s="690" t="s">
        <v>63</v>
      </c>
      <c r="I198" s="691" t="s">
        <v>528</v>
      </c>
      <c r="J198" s="10"/>
      <c r="K198" s="24">
        <f t="shared" si="25"/>
        <v>130.9</v>
      </c>
      <c r="L198" s="24">
        <f t="shared" si="25"/>
        <v>0</v>
      </c>
      <c r="M198" s="24">
        <f t="shared" si="25"/>
        <v>130.9</v>
      </c>
    </row>
    <row r="199" spans="1:13" s="7" customFormat="1" ht="54" customHeight="1" x14ac:dyDescent="0.35">
      <c r="A199" s="11"/>
      <c r="B199" s="496" t="s">
        <v>55</v>
      </c>
      <c r="C199" s="23" t="s">
        <v>1</v>
      </c>
      <c r="D199" s="10" t="s">
        <v>224</v>
      </c>
      <c r="E199" s="10" t="s">
        <v>65</v>
      </c>
      <c r="F199" s="689" t="s">
        <v>41</v>
      </c>
      <c r="G199" s="690" t="s">
        <v>45</v>
      </c>
      <c r="H199" s="690" t="s">
        <v>63</v>
      </c>
      <c r="I199" s="691" t="s">
        <v>528</v>
      </c>
      <c r="J199" s="10" t="s">
        <v>56</v>
      </c>
      <c r="K199" s="24">
        <f>91.9+39</f>
        <v>130.9</v>
      </c>
      <c r="L199" s="24">
        <f>M199-K199</f>
        <v>0</v>
      </c>
      <c r="M199" s="24">
        <f>91.9+39</f>
        <v>130.9</v>
      </c>
    </row>
    <row r="200" spans="1:13" s="111" customFormat="1" ht="18" customHeight="1" x14ac:dyDescent="0.35">
      <c r="A200" s="11"/>
      <c r="B200" s="496" t="s">
        <v>119</v>
      </c>
      <c r="C200" s="23" t="s">
        <v>1</v>
      </c>
      <c r="D200" s="10" t="s">
        <v>104</v>
      </c>
      <c r="E200" s="10"/>
      <c r="F200" s="689"/>
      <c r="G200" s="690"/>
      <c r="H200" s="690"/>
      <c r="I200" s="691"/>
      <c r="J200" s="10"/>
      <c r="K200" s="24">
        <f>K201+K207+K218</f>
        <v>5420.1</v>
      </c>
      <c r="L200" s="24">
        <f>L201+L207+L218</f>
        <v>8259.6880799999999</v>
      </c>
      <c r="M200" s="24">
        <f>M201+M207+M218</f>
        <v>13679.78808</v>
      </c>
    </row>
    <row r="201" spans="1:13" s="111" customFormat="1" ht="18" customHeight="1" x14ac:dyDescent="0.35">
      <c r="A201" s="11"/>
      <c r="B201" s="496" t="s">
        <v>353</v>
      </c>
      <c r="C201" s="23" t="s">
        <v>1</v>
      </c>
      <c r="D201" s="10" t="s">
        <v>104</v>
      </c>
      <c r="E201" s="10" t="s">
        <v>37</v>
      </c>
      <c r="F201" s="689"/>
      <c r="G201" s="690"/>
      <c r="H201" s="690"/>
      <c r="I201" s="691"/>
      <c r="J201" s="10"/>
      <c r="K201" s="24">
        <f t="shared" ref="K201:M205" si="26">K202</f>
        <v>1504.6</v>
      </c>
      <c r="L201" s="24">
        <f>L202</f>
        <v>0</v>
      </c>
      <c r="M201" s="24">
        <f t="shared" si="26"/>
        <v>1504.6</v>
      </c>
    </row>
    <row r="202" spans="1:13" s="111" customFormat="1" ht="54" customHeight="1" x14ac:dyDescent="0.35">
      <c r="A202" s="11"/>
      <c r="B202" s="548" t="s">
        <v>294</v>
      </c>
      <c r="C202" s="23" t="s">
        <v>1</v>
      </c>
      <c r="D202" s="10" t="s">
        <v>104</v>
      </c>
      <c r="E202" s="10" t="s">
        <v>37</v>
      </c>
      <c r="F202" s="689" t="s">
        <v>79</v>
      </c>
      <c r="G202" s="690" t="s">
        <v>42</v>
      </c>
      <c r="H202" s="690" t="s">
        <v>43</v>
      </c>
      <c r="I202" s="691" t="s">
        <v>44</v>
      </c>
      <c r="J202" s="10"/>
      <c r="K202" s="24">
        <f t="shared" si="26"/>
        <v>1504.6</v>
      </c>
      <c r="L202" s="24">
        <f t="shared" si="26"/>
        <v>0</v>
      </c>
      <c r="M202" s="24">
        <f t="shared" si="26"/>
        <v>1504.6</v>
      </c>
    </row>
    <row r="203" spans="1:13" s="111" customFormat="1" ht="36" customHeight="1" x14ac:dyDescent="0.35">
      <c r="A203" s="11"/>
      <c r="B203" s="496" t="s">
        <v>337</v>
      </c>
      <c r="C203" s="23" t="s">
        <v>1</v>
      </c>
      <c r="D203" s="10" t="s">
        <v>104</v>
      </c>
      <c r="E203" s="10" t="s">
        <v>37</v>
      </c>
      <c r="F203" s="689" t="s">
        <v>79</v>
      </c>
      <c r="G203" s="690" t="s">
        <v>45</v>
      </c>
      <c r="H203" s="690" t="s">
        <v>43</v>
      </c>
      <c r="I203" s="691" t="s">
        <v>44</v>
      </c>
      <c r="J203" s="10"/>
      <c r="K203" s="24">
        <f t="shared" si="26"/>
        <v>1504.6</v>
      </c>
      <c r="L203" s="24">
        <f t="shared" si="26"/>
        <v>0</v>
      </c>
      <c r="M203" s="24">
        <f t="shared" si="26"/>
        <v>1504.6</v>
      </c>
    </row>
    <row r="204" spans="1:13" s="111" customFormat="1" ht="90" customHeight="1" x14ac:dyDescent="0.35">
      <c r="A204" s="11"/>
      <c r="B204" s="529" t="s">
        <v>445</v>
      </c>
      <c r="C204" s="23" t="s">
        <v>1</v>
      </c>
      <c r="D204" s="10" t="s">
        <v>104</v>
      </c>
      <c r="E204" s="10" t="s">
        <v>37</v>
      </c>
      <c r="F204" s="689" t="s">
        <v>79</v>
      </c>
      <c r="G204" s="690" t="s">
        <v>45</v>
      </c>
      <c r="H204" s="690" t="s">
        <v>52</v>
      </c>
      <c r="I204" s="691" t="s">
        <v>44</v>
      </c>
      <c r="J204" s="10"/>
      <c r="K204" s="24">
        <f t="shared" si="26"/>
        <v>1504.6</v>
      </c>
      <c r="L204" s="24">
        <f t="shared" si="26"/>
        <v>0</v>
      </c>
      <c r="M204" s="24">
        <f t="shared" si="26"/>
        <v>1504.6</v>
      </c>
    </row>
    <row r="205" spans="1:13" s="111" customFormat="1" ht="72" customHeight="1" x14ac:dyDescent="0.35">
      <c r="A205" s="11"/>
      <c r="B205" s="529" t="s">
        <v>440</v>
      </c>
      <c r="C205" s="23" t="s">
        <v>1</v>
      </c>
      <c r="D205" s="10" t="s">
        <v>104</v>
      </c>
      <c r="E205" s="10" t="s">
        <v>37</v>
      </c>
      <c r="F205" s="689" t="s">
        <v>79</v>
      </c>
      <c r="G205" s="690" t="s">
        <v>45</v>
      </c>
      <c r="H205" s="690" t="s">
        <v>52</v>
      </c>
      <c r="I205" s="691" t="s">
        <v>354</v>
      </c>
      <c r="J205" s="10"/>
      <c r="K205" s="24">
        <f t="shared" si="26"/>
        <v>1504.6</v>
      </c>
      <c r="L205" s="24">
        <f t="shared" si="26"/>
        <v>0</v>
      </c>
      <c r="M205" s="24">
        <f t="shared" si="26"/>
        <v>1504.6</v>
      </c>
    </row>
    <row r="206" spans="1:13" s="111" customFormat="1" ht="36" customHeight="1" x14ac:dyDescent="0.35">
      <c r="A206" s="11"/>
      <c r="B206" s="503" t="s">
        <v>120</v>
      </c>
      <c r="C206" s="23" t="s">
        <v>1</v>
      </c>
      <c r="D206" s="10" t="s">
        <v>104</v>
      </c>
      <c r="E206" s="10" t="s">
        <v>37</v>
      </c>
      <c r="F206" s="689" t="s">
        <v>79</v>
      </c>
      <c r="G206" s="690" t="s">
        <v>45</v>
      </c>
      <c r="H206" s="690" t="s">
        <v>52</v>
      </c>
      <c r="I206" s="691" t="s">
        <v>354</v>
      </c>
      <c r="J206" s="10" t="s">
        <v>121</v>
      </c>
      <c r="K206" s="24">
        <f>1260+60+137.3+30+52.3-22.1-12.9</f>
        <v>1504.6</v>
      </c>
      <c r="L206" s="24">
        <f>M206-K206</f>
        <v>0</v>
      </c>
      <c r="M206" s="24">
        <f>1260+60+137.3+30+52.3-22.1-12.9</f>
        <v>1504.6</v>
      </c>
    </row>
    <row r="207" spans="1:13" s="111" customFormat="1" ht="18" x14ac:dyDescent="0.35">
      <c r="A207" s="11"/>
      <c r="B207" s="496" t="s">
        <v>719</v>
      </c>
      <c r="C207" s="23" t="s">
        <v>1</v>
      </c>
      <c r="D207" s="10" t="s">
        <v>104</v>
      </c>
      <c r="E207" s="10" t="s">
        <v>63</v>
      </c>
      <c r="F207" s="689"/>
      <c r="G207" s="690"/>
      <c r="H207" s="690"/>
      <c r="I207" s="691"/>
      <c r="J207" s="10"/>
      <c r="K207" s="24">
        <f>K208</f>
        <v>1150</v>
      </c>
      <c r="L207" s="24">
        <f>L208+L213</f>
        <v>8259.6880799999999</v>
      </c>
      <c r="M207" s="24">
        <f>M208+M213</f>
        <v>9409.6880799999999</v>
      </c>
    </row>
    <row r="208" spans="1:13" s="111" customFormat="1" ht="52.95" customHeight="1" x14ac:dyDescent="0.35">
      <c r="A208" s="11"/>
      <c r="B208" s="548" t="s">
        <v>294</v>
      </c>
      <c r="C208" s="23" t="s">
        <v>1</v>
      </c>
      <c r="D208" s="10" t="s">
        <v>104</v>
      </c>
      <c r="E208" s="10" t="s">
        <v>63</v>
      </c>
      <c r="F208" s="689" t="s">
        <v>79</v>
      </c>
      <c r="G208" s="690" t="s">
        <v>42</v>
      </c>
      <c r="H208" s="690" t="s">
        <v>43</v>
      </c>
      <c r="I208" s="691" t="s">
        <v>44</v>
      </c>
      <c r="J208" s="10"/>
      <c r="K208" s="24">
        <f t="shared" ref="K208:M211" si="27">K209</f>
        <v>1150</v>
      </c>
      <c r="L208" s="24">
        <f t="shared" si="27"/>
        <v>0</v>
      </c>
      <c r="M208" s="24">
        <f t="shared" si="27"/>
        <v>1150</v>
      </c>
    </row>
    <row r="209" spans="1:13" s="111" customFormat="1" ht="36" customHeight="1" x14ac:dyDescent="0.35">
      <c r="A209" s="11"/>
      <c r="B209" s="496" t="s">
        <v>337</v>
      </c>
      <c r="C209" s="23" t="s">
        <v>1</v>
      </c>
      <c r="D209" s="10" t="s">
        <v>104</v>
      </c>
      <c r="E209" s="10" t="s">
        <v>63</v>
      </c>
      <c r="F209" s="689" t="s">
        <v>79</v>
      </c>
      <c r="G209" s="690" t="s">
        <v>45</v>
      </c>
      <c r="H209" s="690" t="s">
        <v>43</v>
      </c>
      <c r="I209" s="691" t="s">
        <v>44</v>
      </c>
      <c r="J209" s="10"/>
      <c r="K209" s="24">
        <f>K210</f>
        <v>1150</v>
      </c>
      <c r="L209" s="24">
        <f>L210</f>
        <v>0</v>
      </c>
      <c r="M209" s="24">
        <f>M210</f>
        <v>1150</v>
      </c>
    </row>
    <row r="210" spans="1:13" s="111" customFormat="1" ht="36" customHeight="1" x14ac:dyDescent="0.35">
      <c r="A210" s="11"/>
      <c r="B210" s="496" t="s">
        <v>713</v>
      </c>
      <c r="C210" s="23" t="s">
        <v>1</v>
      </c>
      <c r="D210" s="10" t="s">
        <v>104</v>
      </c>
      <c r="E210" s="10" t="s">
        <v>63</v>
      </c>
      <c r="F210" s="689" t="s">
        <v>79</v>
      </c>
      <c r="G210" s="690" t="s">
        <v>45</v>
      </c>
      <c r="H210" s="690" t="s">
        <v>65</v>
      </c>
      <c r="I210" s="691" t="s">
        <v>44</v>
      </c>
      <c r="J210" s="10"/>
      <c r="K210" s="24">
        <f t="shared" si="27"/>
        <v>1150</v>
      </c>
      <c r="L210" s="24">
        <f t="shared" si="27"/>
        <v>0</v>
      </c>
      <c r="M210" s="24">
        <f t="shared" si="27"/>
        <v>1150</v>
      </c>
    </row>
    <row r="211" spans="1:13" s="111" customFormat="1" ht="54" x14ac:dyDescent="0.35">
      <c r="A211" s="11"/>
      <c r="B211" s="496" t="s">
        <v>714</v>
      </c>
      <c r="C211" s="23" t="s">
        <v>1</v>
      </c>
      <c r="D211" s="10" t="s">
        <v>104</v>
      </c>
      <c r="E211" s="10" t="s">
        <v>63</v>
      </c>
      <c r="F211" s="689" t="s">
        <v>79</v>
      </c>
      <c r="G211" s="690" t="s">
        <v>45</v>
      </c>
      <c r="H211" s="690" t="s">
        <v>65</v>
      </c>
      <c r="I211" s="691" t="s">
        <v>712</v>
      </c>
      <c r="J211" s="10"/>
      <c r="K211" s="24">
        <f t="shared" si="27"/>
        <v>1150</v>
      </c>
      <c r="L211" s="24">
        <f t="shared" si="27"/>
        <v>0</v>
      </c>
      <c r="M211" s="24">
        <f t="shared" si="27"/>
        <v>1150</v>
      </c>
    </row>
    <row r="212" spans="1:13" s="111" customFormat="1" ht="36" customHeight="1" x14ac:dyDescent="0.35">
      <c r="A212" s="11"/>
      <c r="B212" s="495" t="s">
        <v>120</v>
      </c>
      <c r="C212" s="23" t="s">
        <v>1</v>
      </c>
      <c r="D212" s="10" t="s">
        <v>104</v>
      </c>
      <c r="E212" s="10" t="s">
        <v>63</v>
      </c>
      <c r="F212" s="689" t="s">
        <v>79</v>
      </c>
      <c r="G212" s="690" t="s">
        <v>45</v>
      </c>
      <c r="H212" s="690" t="s">
        <v>65</v>
      </c>
      <c r="I212" s="691" t="s">
        <v>712</v>
      </c>
      <c r="J212" s="10" t="s">
        <v>121</v>
      </c>
      <c r="K212" s="24">
        <v>1150</v>
      </c>
      <c r="L212" s="24">
        <f>M212-K212</f>
        <v>0</v>
      </c>
      <c r="M212" s="24">
        <v>1150</v>
      </c>
    </row>
    <row r="213" spans="1:13" s="111" customFormat="1" ht="112.95" customHeight="1" x14ac:dyDescent="0.35">
      <c r="A213" s="11"/>
      <c r="B213" s="641" t="s">
        <v>784</v>
      </c>
      <c r="C213" s="23" t="s">
        <v>1</v>
      </c>
      <c r="D213" s="10" t="s">
        <v>104</v>
      </c>
      <c r="E213" s="10" t="s">
        <v>63</v>
      </c>
      <c r="F213" s="689" t="s">
        <v>667</v>
      </c>
      <c r="G213" s="690" t="s">
        <v>42</v>
      </c>
      <c r="H213" s="690" t="s">
        <v>43</v>
      </c>
      <c r="I213" s="691" t="s">
        <v>44</v>
      </c>
      <c r="J213" s="10"/>
      <c r="K213" s="753"/>
      <c r="L213" s="24">
        <f t="shared" ref="L213:M215" si="28">L214</f>
        <v>8259.6880799999999</v>
      </c>
      <c r="M213" s="24">
        <f t="shared" si="28"/>
        <v>8259.6880799999999</v>
      </c>
    </row>
    <row r="214" spans="1:13" s="111" customFormat="1" ht="107.4" customHeight="1" x14ac:dyDescent="0.35">
      <c r="A214" s="11"/>
      <c r="B214" s="641" t="s">
        <v>785</v>
      </c>
      <c r="C214" s="23" t="s">
        <v>1</v>
      </c>
      <c r="D214" s="10" t="s">
        <v>104</v>
      </c>
      <c r="E214" s="10" t="s">
        <v>63</v>
      </c>
      <c r="F214" s="689" t="s">
        <v>667</v>
      </c>
      <c r="G214" s="690" t="s">
        <v>45</v>
      </c>
      <c r="H214" s="690" t="s">
        <v>43</v>
      </c>
      <c r="I214" s="691" t="s">
        <v>44</v>
      </c>
      <c r="J214" s="10"/>
      <c r="K214" s="753"/>
      <c r="L214" s="754">
        <f t="shared" si="28"/>
        <v>8259.6880799999999</v>
      </c>
      <c r="M214" s="754">
        <f t="shared" si="28"/>
        <v>8259.6880799999999</v>
      </c>
    </row>
    <row r="215" spans="1:13" s="111" customFormat="1" ht="56.4" customHeight="1" x14ac:dyDescent="0.35">
      <c r="A215" s="11"/>
      <c r="B215" s="641" t="s">
        <v>786</v>
      </c>
      <c r="C215" s="23" t="s">
        <v>1</v>
      </c>
      <c r="D215" s="10" t="s">
        <v>104</v>
      </c>
      <c r="E215" s="10" t="s">
        <v>63</v>
      </c>
      <c r="F215" s="689" t="s">
        <v>667</v>
      </c>
      <c r="G215" s="690" t="s">
        <v>45</v>
      </c>
      <c r="H215" s="690" t="s">
        <v>37</v>
      </c>
      <c r="I215" s="691" t="s">
        <v>44</v>
      </c>
      <c r="J215" s="10"/>
      <c r="K215" s="753"/>
      <c r="L215" s="754">
        <f t="shared" si="28"/>
        <v>8259.6880799999999</v>
      </c>
      <c r="M215" s="754">
        <f t="shared" si="28"/>
        <v>8259.6880799999999</v>
      </c>
    </row>
    <row r="216" spans="1:13" s="111" customFormat="1" ht="36" customHeight="1" x14ac:dyDescent="0.35">
      <c r="A216" s="11"/>
      <c r="B216" s="641" t="s">
        <v>707</v>
      </c>
      <c r="C216" s="23" t="s">
        <v>1</v>
      </c>
      <c r="D216" s="10" t="s">
        <v>104</v>
      </c>
      <c r="E216" s="10" t="s">
        <v>63</v>
      </c>
      <c r="F216" s="689" t="s">
        <v>667</v>
      </c>
      <c r="G216" s="690" t="s">
        <v>45</v>
      </c>
      <c r="H216" s="690" t="s">
        <v>37</v>
      </c>
      <c r="I216" s="691" t="s">
        <v>787</v>
      </c>
      <c r="J216" s="10"/>
      <c r="K216" s="753"/>
      <c r="L216" s="24">
        <f>L217</f>
        <v>8259.6880799999999</v>
      </c>
      <c r="M216" s="24">
        <f t="shared" ref="M216" si="29">M217</f>
        <v>8259.6880799999999</v>
      </c>
    </row>
    <row r="217" spans="1:13" s="111" customFormat="1" ht="36" customHeight="1" x14ac:dyDescent="0.35">
      <c r="A217" s="11"/>
      <c r="B217" s="641" t="s">
        <v>120</v>
      </c>
      <c r="C217" s="23" t="s">
        <v>1</v>
      </c>
      <c r="D217" s="10" t="s">
        <v>104</v>
      </c>
      <c r="E217" s="10" t="s">
        <v>63</v>
      </c>
      <c r="F217" s="689" t="s">
        <v>667</v>
      </c>
      <c r="G217" s="690" t="s">
        <v>45</v>
      </c>
      <c r="H217" s="690" t="s">
        <v>37</v>
      </c>
      <c r="I217" s="691" t="s">
        <v>787</v>
      </c>
      <c r="J217" s="10" t="s">
        <v>121</v>
      </c>
      <c r="K217" s="753"/>
      <c r="L217" s="24">
        <f>M217-K217</f>
        <v>8259.6880799999999</v>
      </c>
      <c r="M217" s="24">
        <v>8259.6880799999999</v>
      </c>
    </row>
    <row r="218" spans="1:13" s="111" customFormat="1" ht="36" customHeight="1" x14ac:dyDescent="0.35">
      <c r="A218" s="11"/>
      <c r="B218" s="496" t="s">
        <v>122</v>
      </c>
      <c r="C218" s="23" t="s">
        <v>1</v>
      </c>
      <c r="D218" s="10" t="s">
        <v>104</v>
      </c>
      <c r="E218" s="10" t="s">
        <v>81</v>
      </c>
      <c r="F218" s="689"/>
      <c r="G218" s="690"/>
      <c r="H218" s="690"/>
      <c r="I218" s="691"/>
      <c r="J218" s="10"/>
      <c r="K218" s="24">
        <f>K219</f>
        <v>2765.5000000000005</v>
      </c>
      <c r="L218" s="24">
        <f>L219</f>
        <v>0</v>
      </c>
      <c r="M218" s="24">
        <f>M219</f>
        <v>2765.5000000000005</v>
      </c>
    </row>
    <row r="219" spans="1:13" s="111" customFormat="1" ht="72" customHeight="1" x14ac:dyDescent="0.35">
      <c r="A219" s="11"/>
      <c r="B219" s="496" t="s">
        <v>72</v>
      </c>
      <c r="C219" s="23" t="s">
        <v>1</v>
      </c>
      <c r="D219" s="10" t="s">
        <v>104</v>
      </c>
      <c r="E219" s="10" t="s">
        <v>81</v>
      </c>
      <c r="F219" s="689" t="s">
        <v>73</v>
      </c>
      <c r="G219" s="690" t="s">
        <v>42</v>
      </c>
      <c r="H219" s="690" t="s">
        <v>43</v>
      </c>
      <c r="I219" s="691" t="s">
        <v>44</v>
      </c>
      <c r="J219" s="10"/>
      <c r="K219" s="24">
        <f t="shared" ref="K219:M222" si="30">K220</f>
        <v>2765.5000000000005</v>
      </c>
      <c r="L219" s="24">
        <f t="shared" si="30"/>
        <v>0</v>
      </c>
      <c r="M219" s="24">
        <f t="shared" si="30"/>
        <v>2765.5000000000005</v>
      </c>
    </row>
    <row r="220" spans="1:13" s="111" customFormat="1" ht="36" customHeight="1" x14ac:dyDescent="0.35">
      <c r="A220" s="11"/>
      <c r="B220" s="496" t="s">
        <v>337</v>
      </c>
      <c r="C220" s="23" t="s">
        <v>1</v>
      </c>
      <c r="D220" s="10" t="s">
        <v>104</v>
      </c>
      <c r="E220" s="10" t="s">
        <v>81</v>
      </c>
      <c r="F220" s="689" t="s">
        <v>73</v>
      </c>
      <c r="G220" s="690" t="s">
        <v>45</v>
      </c>
      <c r="H220" s="690" t="s">
        <v>43</v>
      </c>
      <c r="I220" s="691" t="s">
        <v>44</v>
      </c>
      <c r="J220" s="10"/>
      <c r="K220" s="24">
        <f t="shared" si="30"/>
        <v>2765.5000000000005</v>
      </c>
      <c r="L220" s="24">
        <f t="shared" si="30"/>
        <v>0</v>
      </c>
      <c r="M220" s="24">
        <f t="shared" si="30"/>
        <v>2765.5000000000005</v>
      </c>
    </row>
    <row r="221" spans="1:13" s="111" customFormat="1" ht="54" customHeight="1" x14ac:dyDescent="0.35">
      <c r="A221" s="11"/>
      <c r="B221" s="529" t="s">
        <v>265</v>
      </c>
      <c r="C221" s="23" t="s">
        <v>1</v>
      </c>
      <c r="D221" s="10" t="s">
        <v>104</v>
      </c>
      <c r="E221" s="10" t="s">
        <v>81</v>
      </c>
      <c r="F221" s="689" t="s">
        <v>73</v>
      </c>
      <c r="G221" s="690" t="s">
        <v>45</v>
      </c>
      <c r="H221" s="690" t="s">
        <v>37</v>
      </c>
      <c r="I221" s="691" t="s">
        <v>44</v>
      </c>
      <c r="J221" s="10"/>
      <c r="K221" s="24">
        <f t="shared" si="30"/>
        <v>2765.5000000000005</v>
      </c>
      <c r="L221" s="24">
        <f t="shared" si="30"/>
        <v>0</v>
      </c>
      <c r="M221" s="24">
        <f t="shared" si="30"/>
        <v>2765.5000000000005</v>
      </c>
    </row>
    <row r="222" spans="1:13" s="111" customFormat="1" ht="54" customHeight="1" x14ac:dyDescent="0.35">
      <c r="A222" s="11"/>
      <c r="B222" s="529" t="s">
        <v>74</v>
      </c>
      <c r="C222" s="23" t="s">
        <v>1</v>
      </c>
      <c r="D222" s="10" t="s">
        <v>104</v>
      </c>
      <c r="E222" s="10" t="s">
        <v>81</v>
      </c>
      <c r="F222" s="689" t="s">
        <v>73</v>
      </c>
      <c r="G222" s="690" t="s">
        <v>45</v>
      </c>
      <c r="H222" s="690" t="s">
        <v>37</v>
      </c>
      <c r="I222" s="691" t="s">
        <v>75</v>
      </c>
      <c r="J222" s="10"/>
      <c r="K222" s="24">
        <f t="shared" si="30"/>
        <v>2765.5000000000005</v>
      </c>
      <c r="L222" s="24">
        <f t="shared" si="30"/>
        <v>0</v>
      </c>
      <c r="M222" s="24">
        <f t="shared" si="30"/>
        <v>2765.5000000000005</v>
      </c>
    </row>
    <row r="223" spans="1:13" s="111" customFormat="1" ht="54" customHeight="1" x14ac:dyDescent="0.35">
      <c r="A223" s="11"/>
      <c r="B223" s="503" t="s">
        <v>76</v>
      </c>
      <c r="C223" s="23" t="s">
        <v>1</v>
      </c>
      <c r="D223" s="10" t="s">
        <v>104</v>
      </c>
      <c r="E223" s="10" t="s">
        <v>81</v>
      </c>
      <c r="F223" s="689" t="s">
        <v>73</v>
      </c>
      <c r="G223" s="690" t="s">
        <v>45</v>
      </c>
      <c r="H223" s="690" t="s">
        <v>37</v>
      </c>
      <c r="I223" s="691" t="s">
        <v>75</v>
      </c>
      <c r="J223" s="10" t="s">
        <v>77</v>
      </c>
      <c r="K223" s="24">
        <f>1111.2+100.9+108+63+1200+182.4</f>
        <v>2765.5000000000005</v>
      </c>
      <c r="L223" s="24">
        <f>M223-K223</f>
        <v>0</v>
      </c>
      <c r="M223" s="24">
        <f>1111.2+100.9+108+63+1200+182.4</f>
        <v>2765.5000000000005</v>
      </c>
    </row>
    <row r="224" spans="1:13" s="111" customFormat="1" ht="36" x14ac:dyDescent="0.35">
      <c r="A224" s="11"/>
      <c r="B224" s="237" t="s">
        <v>774</v>
      </c>
      <c r="C224" s="23" t="s">
        <v>1</v>
      </c>
      <c r="D224" s="10" t="s">
        <v>71</v>
      </c>
      <c r="E224" s="10"/>
      <c r="F224" s="689"/>
      <c r="G224" s="690"/>
      <c r="H224" s="690"/>
      <c r="I224" s="691"/>
      <c r="J224" s="10"/>
      <c r="K224" s="24">
        <f t="shared" ref="K224:M229" si="31">K225</f>
        <v>6</v>
      </c>
      <c r="L224" s="24">
        <f t="shared" si="31"/>
        <v>0</v>
      </c>
      <c r="M224" s="24">
        <f t="shared" si="31"/>
        <v>6</v>
      </c>
    </row>
    <row r="225" spans="1:13" s="111" customFormat="1" ht="36" x14ac:dyDescent="0.35">
      <c r="A225" s="11"/>
      <c r="B225" s="673" t="s">
        <v>775</v>
      </c>
      <c r="C225" s="23" t="s">
        <v>1</v>
      </c>
      <c r="D225" s="10" t="s">
        <v>71</v>
      </c>
      <c r="E225" s="10" t="s">
        <v>37</v>
      </c>
      <c r="F225" s="689"/>
      <c r="G225" s="690"/>
      <c r="H225" s="690"/>
      <c r="I225" s="691"/>
      <c r="J225" s="10"/>
      <c r="K225" s="24">
        <f t="shared" si="31"/>
        <v>6</v>
      </c>
      <c r="L225" s="24">
        <f t="shared" si="31"/>
        <v>0</v>
      </c>
      <c r="M225" s="24">
        <f t="shared" si="31"/>
        <v>6</v>
      </c>
    </row>
    <row r="226" spans="1:13" s="111" customFormat="1" ht="54" x14ac:dyDescent="0.35">
      <c r="A226" s="11"/>
      <c r="B226" s="579" t="s">
        <v>40</v>
      </c>
      <c r="C226" s="23" t="s">
        <v>1</v>
      </c>
      <c r="D226" s="10" t="s">
        <v>71</v>
      </c>
      <c r="E226" s="10" t="s">
        <v>37</v>
      </c>
      <c r="F226" s="689" t="s">
        <v>41</v>
      </c>
      <c r="G226" s="690" t="s">
        <v>42</v>
      </c>
      <c r="H226" s="690" t="s">
        <v>43</v>
      </c>
      <c r="I226" s="691" t="s">
        <v>44</v>
      </c>
      <c r="J226" s="10"/>
      <c r="K226" s="24">
        <f t="shared" si="31"/>
        <v>6</v>
      </c>
      <c r="L226" s="24">
        <f t="shared" si="31"/>
        <v>0</v>
      </c>
      <c r="M226" s="24">
        <f t="shared" si="31"/>
        <v>6</v>
      </c>
    </row>
    <row r="227" spans="1:13" s="111" customFormat="1" ht="36" x14ac:dyDescent="0.35">
      <c r="A227" s="11"/>
      <c r="B227" s="579" t="s">
        <v>337</v>
      </c>
      <c r="C227" s="23" t="s">
        <v>1</v>
      </c>
      <c r="D227" s="10" t="s">
        <v>71</v>
      </c>
      <c r="E227" s="10" t="s">
        <v>37</v>
      </c>
      <c r="F227" s="689" t="s">
        <v>41</v>
      </c>
      <c r="G227" s="690" t="s">
        <v>45</v>
      </c>
      <c r="H227" s="690" t="s">
        <v>43</v>
      </c>
      <c r="I227" s="691" t="s">
        <v>44</v>
      </c>
      <c r="J227" s="10"/>
      <c r="K227" s="24">
        <f t="shared" si="31"/>
        <v>6</v>
      </c>
      <c r="L227" s="24">
        <f t="shared" si="31"/>
        <v>0</v>
      </c>
      <c r="M227" s="24">
        <f t="shared" si="31"/>
        <v>6</v>
      </c>
    </row>
    <row r="228" spans="1:13" s="111" customFormat="1" ht="54" x14ac:dyDescent="0.35">
      <c r="A228" s="11"/>
      <c r="B228" s="641" t="s">
        <v>776</v>
      </c>
      <c r="C228" s="23" t="s">
        <v>1</v>
      </c>
      <c r="D228" s="10" t="s">
        <v>71</v>
      </c>
      <c r="E228" s="10" t="s">
        <v>37</v>
      </c>
      <c r="F228" s="689" t="s">
        <v>41</v>
      </c>
      <c r="G228" s="690" t="s">
        <v>45</v>
      </c>
      <c r="H228" s="690" t="s">
        <v>79</v>
      </c>
      <c r="I228" s="691" t="s">
        <v>44</v>
      </c>
      <c r="J228" s="10"/>
      <c r="K228" s="24">
        <f t="shared" si="31"/>
        <v>6</v>
      </c>
      <c r="L228" s="24">
        <f t="shared" si="31"/>
        <v>0</v>
      </c>
      <c r="M228" s="24">
        <f t="shared" si="31"/>
        <v>6</v>
      </c>
    </row>
    <row r="229" spans="1:13" s="111" customFormat="1" ht="36" x14ac:dyDescent="0.35">
      <c r="A229" s="11"/>
      <c r="B229" s="641" t="s">
        <v>777</v>
      </c>
      <c r="C229" s="23" t="s">
        <v>1</v>
      </c>
      <c r="D229" s="10" t="s">
        <v>71</v>
      </c>
      <c r="E229" s="10" t="s">
        <v>37</v>
      </c>
      <c r="F229" s="689" t="s">
        <v>41</v>
      </c>
      <c r="G229" s="690" t="s">
        <v>45</v>
      </c>
      <c r="H229" s="690" t="s">
        <v>79</v>
      </c>
      <c r="I229" s="691" t="s">
        <v>778</v>
      </c>
      <c r="J229" s="10"/>
      <c r="K229" s="24">
        <f t="shared" si="31"/>
        <v>6</v>
      </c>
      <c r="L229" s="24">
        <f t="shared" si="31"/>
        <v>0</v>
      </c>
      <c r="M229" s="24">
        <f t="shared" si="31"/>
        <v>6</v>
      </c>
    </row>
    <row r="230" spans="1:13" s="111" customFormat="1" ht="36" x14ac:dyDescent="0.35">
      <c r="A230" s="11"/>
      <c r="B230" s="641" t="s">
        <v>774</v>
      </c>
      <c r="C230" s="23" t="s">
        <v>1</v>
      </c>
      <c r="D230" s="10" t="s">
        <v>71</v>
      </c>
      <c r="E230" s="10" t="s">
        <v>37</v>
      </c>
      <c r="F230" s="689" t="s">
        <v>41</v>
      </c>
      <c r="G230" s="690" t="s">
        <v>45</v>
      </c>
      <c r="H230" s="690" t="s">
        <v>79</v>
      </c>
      <c r="I230" s="691" t="s">
        <v>778</v>
      </c>
      <c r="J230" s="10" t="s">
        <v>779</v>
      </c>
      <c r="K230" s="24">
        <v>6</v>
      </c>
      <c r="L230" s="24">
        <f>M230-K230</f>
        <v>0</v>
      </c>
      <c r="M230" s="24">
        <v>6</v>
      </c>
    </row>
    <row r="231" spans="1:13" s="111" customFormat="1" ht="54" customHeight="1" x14ac:dyDescent="0.35">
      <c r="A231" s="11"/>
      <c r="B231" s="579" t="s">
        <v>200</v>
      </c>
      <c r="C231" s="23" t="s">
        <v>1</v>
      </c>
      <c r="D231" s="10" t="s">
        <v>88</v>
      </c>
      <c r="E231" s="10"/>
      <c r="F231" s="689"/>
      <c r="G231" s="690"/>
      <c r="H231" s="690"/>
      <c r="I231" s="691"/>
      <c r="J231" s="10"/>
      <c r="K231" s="24">
        <f t="shared" ref="K231:M239" si="32">K232</f>
        <v>55146.6</v>
      </c>
      <c r="L231" s="24">
        <f t="shared" si="32"/>
        <v>0</v>
      </c>
      <c r="M231" s="24">
        <f t="shared" si="32"/>
        <v>55146.6</v>
      </c>
    </row>
    <row r="232" spans="1:13" s="111" customFormat="1" ht="36" customHeight="1" x14ac:dyDescent="0.35">
      <c r="A232" s="11"/>
      <c r="B232" s="641" t="s">
        <v>665</v>
      </c>
      <c r="C232" s="23" t="s">
        <v>1</v>
      </c>
      <c r="D232" s="10" t="s">
        <v>88</v>
      </c>
      <c r="E232" s="10" t="s">
        <v>63</v>
      </c>
      <c r="F232" s="689"/>
      <c r="G232" s="690"/>
      <c r="H232" s="690"/>
      <c r="I232" s="691"/>
      <c r="J232" s="10"/>
      <c r="K232" s="24">
        <f>K233+K289</f>
        <v>55146.6</v>
      </c>
      <c r="L232" s="24">
        <f>L233+L289</f>
        <v>0</v>
      </c>
      <c r="M232" s="24">
        <f>M233+M289</f>
        <v>55146.6</v>
      </c>
    </row>
    <row r="233" spans="1:13" s="111" customFormat="1" ht="108" customHeight="1" x14ac:dyDescent="0.35">
      <c r="A233" s="11"/>
      <c r="B233" s="641" t="s">
        <v>666</v>
      </c>
      <c r="C233" s="23" t="s">
        <v>1</v>
      </c>
      <c r="D233" s="10" t="s">
        <v>88</v>
      </c>
      <c r="E233" s="10" t="s">
        <v>63</v>
      </c>
      <c r="F233" s="689" t="s">
        <v>667</v>
      </c>
      <c r="G233" s="690" t="s">
        <v>42</v>
      </c>
      <c r="H233" s="690" t="s">
        <v>43</v>
      </c>
      <c r="I233" s="691" t="s">
        <v>44</v>
      </c>
      <c r="J233" s="10"/>
      <c r="K233" s="24">
        <f t="shared" si="32"/>
        <v>33385</v>
      </c>
      <c r="L233" s="24">
        <f t="shared" si="32"/>
        <v>0</v>
      </c>
      <c r="M233" s="24">
        <f t="shared" si="32"/>
        <v>33385</v>
      </c>
    </row>
    <row r="234" spans="1:13" s="111" customFormat="1" ht="108" customHeight="1" x14ac:dyDescent="0.35">
      <c r="A234" s="11"/>
      <c r="B234" s="641" t="s">
        <v>668</v>
      </c>
      <c r="C234" s="23" t="s">
        <v>1</v>
      </c>
      <c r="D234" s="10" t="s">
        <v>88</v>
      </c>
      <c r="E234" s="10" t="s">
        <v>63</v>
      </c>
      <c r="F234" s="689" t="s">
        <v>667</v>
      </c>
      <c r="G234" s="690" t="s">
        <v>89</v>
      </c>
      <c r="H234" s="690" t="s">
        <v>43</v>
      </c>
      <c r="I234" s="691" t="s">
        <v>44</v>
      </c>
      <c r="J234" s="10"/>
      <c r="K234" s="24">
        <f>K235+K238+K241+K244+K247+K250+K253+K256+K259+K262+K265+K268+K271+K274+K277+K280+K283+K286</f>
        <v>33385</v>
      </c>
      <c r="L234" s="24">
        <f>L235+L238+L241+L244+L247+L250+L253+L256+L259+L262+L265+L268+L271+L274+L277+L280+L283+L286</f>
        <v>0</v>
      </c>
      <c r="M234" s="24">
        <f>M235+M238+M241+M244+M247+M250+M253+M256+M259+M262+M265+M268+M271+M274+M277+M280+M283+M286</f>
        <v>33385</v>
      </c>
    </row>
    <row r="235" spans="1:13" s="111" customFormat="1" ht="126" customHeight="1" x14ac:dyDescent="0.35">
      <c r="A235" s="11"/>
      <c r="B235" s="503" t="s">
        <v>671</v>
      </c>
      <c r="C235" s="23" t="s">
        <v>1</v>
      </c>
      <c r="D235" s="10" t="s">
        <v>88</v>
      </c>
      <c r="E235" s="10" t="s">
        <v>63</v>
      </c>
      <c r="F235" s="689" t="s">
        <v>667</v>
      </c>
      <c r="G235" s="690" t="s">
        <v>89</v>
      </c>
      <c r="H235" s="690" t="s">
        <v>37</v>
      </c>
      <c r="I235" s="691" t="s">
        <v>44</v>
      </c>
      <c r="J235" s="10"/>
      <c r="K235" s="24">
        <f t="shared" si="32"/>
        <v>11752.900000000001</v>
      </c>
      <c r="L235" s="24">
        <f t="shared" si="32"/>
        <v>0</v>
      </c>
      <c r="M235" s="24">
        <f t="shared" si="32"/>
        <v>11752.900000000001</v>
      </c>
    </row>
    <row r="236" spans="1:13" s="111" customFormat="1" ht="72" customHeight="1" x14ac:dyDescent="0.35">
      <c r="A236" s="11"/>
      <c r="B236" s="503" t="s">
        <v>670</v>
      </c>
      <c r="C236" s="23" t="s">
        <v>1</v>
      </c>
      <c r="D236" s="10" t="s">
        <v>88</v>
      </c>
      <c r="E236" s="10" t="s">
        <v>63</v>
      </c>
      <c r="F236" s="689" t="s">
        <v>667</v>
      </c>
      <c r="G236" s="690" t="s">
        <v>89</v>
      </c>
      <c r="H236" s="690" t="s">
        <v>37</v>
      </c>
      <c r="I236" s="691" t="s">
        <v>669</v>
      </c>
      <c r="J236" s="10"/>
      <c r="K236" s="24">
        <f t="shared" si="32"/>
        <v>11752.900000000001</v>
      </c>
      <c r="L236" s="24">
        <f t="shared" si="32"/>
        <v>0</v>
      </c>
      <c r="M236" s="24">
        <f t="shared" si="32"/>
        <v>11752.900000000001</v>
      </c>
    </row>
    <row r="237" spans="1:13" s="111" customFormat="1" ht="18" customHeight="1" x14ac:dyDescent="0.35">
      <c r="A237" s="11"/>
      <c r="B237" s="641" t="s">
        <v>123</v>
      </c>
      <c r="C237" s="23" t="s">
        <v>1</v>
      </c>
      <c r="D237" s="10" t="s">
        <v>88</v>
      </c>
      <c r="E237" s="10" t="s">
        <v>63</v>
      </c>
      <c r="F237" s="689" t="s">
        <v>667</v>
      </c>
      <c r="G237" s="690" t="s">
        <v>89</v>
      </c>
      <c r="H237" s="690" t="s">
        <v>37</v>
      </c>
      <c r="I237" s="691" t="s">
        <v>669</v>
      </c>
      <c r="J237" s="10" t="s">
        <v>124</v>
      </c>
      <c r="K237" s="24">
        <f>18635.2-6882.3</f>
        <v>11752.900000000001</v>
      </c>
      <c r="L237" s="24">
        <f>M237-K237</f>
        <v>0</v>
      </c>
      <c r="M237" s="24">
        <f>18635.2-6882.3</f>
        <v>11752.900000000001</v>
      </c>
    </row>
    <row r="238" spans="1:13" s="111" customFormat="1" ht="54" x14ac:dyDescent="0.35">
      <c r="A238" s="11"/>
      <c r="B238" s="641" t="s">
        <v>694</v>
      </c>
      <c r="C238" s="23" t="s">
        <v>1</v>
      </c>
      <c r="D238" s="10" t="s">
        <v>88</v>
      </c>
      <c r="E238" s="10" t="s">
        <v>63</v>
      </c>
      <c r="F238" s="689" t="s">
        <v>667</v>
      </c>
      <c r="G238" s="690" t="s">
        <v>89</v>
      </c>
      <c r="H238" s="690" t="s">
        <v>39</v>
      </c>
      <c r="I238" s="691" t="s">
        <v>44</v>
      </c>
      <c r="J238" s="10"/>
      <c r="K238" s="24">
        <f t="shared" si="32"/>
        <v>2699</v>
      </c>
      <c r="L238" s="24">
        <f>L239</f>
        <v>0</v>
      </c>
      <c r="M238" s="24">
        <f t="shared" si="32"/>
        <v>2699</v>
      </c>
    </row>
    <row r="239" spans="1:13" s="111" customFormat="1" ht="72" x14ac:dyDescent="0.35">
      <c r="A239" s="11"/>
      <c r="B239" s="641" t="s">
        <v>670</v>
      </c>
      <c r="C239" s="23" t="s">
        <v>1</v>
      </c>
      <c r="D239" s="10" t="s">
        <v>88</v>
      </c>
      <c r="E239" s="10" t="s">
        <v>63</v>
      </c>
      <c r="F239" s="689" t="s">
        <v>667</v>
      </c>
      <c r="G239" s="690" t="s">
        <v>89</v>
      </c>
      <c r="H239" s="690" t="s">
        <v>39</v>
      </c>
      <c r="I239" s="691" t="s">
        <v>669</v>
      </c>
      <c r="J239" s="10"/>
      <c r="K239" s="24">
        <f t="shared" si="32"/>
        <v>2699</v>
      </c>
      <c r="L239" s="24">
        <f t="shared" si="32"/>
        <v>0</v>
      </c>
      <c r="M239" s="24">
        <f t="shared" si="32"/>
        <v>2699</v>
      </c>
    </row>
    <row r="240" spans="1:13" ht="18" customHeight="1" x14ac:dyDescent="0.35">
      <c r="A240" s="11"/>
      <c r="B240" s="496" t="s">
        <v>123</v>
      </c>
      <c r="C240" s="23" t="s">
        <v>1</v>
      </c>
      <c r="D240" s="10" t="s">
        <v>88</v>
      </c>
      <c r="E240" s="10" t="s">
        <v>63</v>
      </c>
      <c r="F240" s="689" t="s">
        <v>667</v>
      </c>
      <c r="G240" s="690" t="s">
        <v>89</v>
      </c>
      <c r="H240" s="690" t="s">
        <v>39</v>
      </c>
      <c r="I240" s="691" t="s">
        <v>669</v>
      </c>
      <c r="J240" s="266" t="s">
        <v>124</v>
      </c>
      <c r="K240" s="24">
        <v>2699</v>
      </c>
      <c r="L240" s="24">
        <f>M240-K240</f>
        <v>0</v>
      </c>
      <c r="M240" s="24">
        <v>2699</v>
      </c>
    </row>
    <row r="241" spans="1:13" ht="144" x14ac:dyDescent="0.35">
      <c r="A241" s="11"/>
      <c r="B241" s="496" t="s">
        <v>705</v>
      </c>
      <c r="C241" s="23" t="s">
        <v>1</v>
      </c>
      <c r="D241" s="10" t="s">
        <v>88</v>
      </c>
      <c r="E241" s="10" t="s">
        <v>63</v>
      </c>
      <c r="F241" s="689" t="s">
        <v>667</v>
      </c>
      <c r="G241" s="690" t="s">
        <v>89</v>
      </c>
      <c r="H241" s="690" t="s">
        <v>63</v>
      </c>
      <c r="I241" s="691" t="s">
        <v>44</v>
      </c>
      <c r="J241" s="266"/>
      <c r="K241" s="24">
        <f t="shared" ref="K241:M242" si="33">K242</f>
        <v>250</v>
      </c>
      <c r="L241" s="24">
        <f t="shared" si="33"/>
        <v>0</v>
      </c>
      <c r="M241" s="24">
        <f t="shared" si="33"/>
        <v>250</v>
      </c>
    </row>
    <row r="242" spans="1:13" ht="75.599999999999994" customHeight="1" x14ac:dyDescent="0.35">
      <c r="A242" s="11"/>
      <c r="B242" s="641" t="s">
        <v>670</v>
      </c>
      <c r="C242" s="23" t="s">
        <v>1</v>
      </c>
      <c r="D242" s="10" t="s">
        <v>88</v>
      </c>
      <c r="E242" s="10" t="s">
        <v>63</v>
      </c>
      <c r="F242" s="689" t="s">
        <v>667</v>
      </c>
      <c r="G242" s="690" t="s">
        <v>89</v>
      </c>
      <c r="H242" s="690" t="s">
        <v>63</v>
      </c>
      <c r="I242" s="691" t="s">
        <v>669</v>
      </c>
      <c r="J242" s="266"/>
      <c r="K242" s="24">
        <f t="shared" si="33"/>
        <v>250</v>
      </c>
      <c r="L242" s="24">
        <f t="shared" si="33"/>
        <v>0</v>
      </c>
      <c r="M242" s="24">
        <f t="shared" si="33"/>
        <v>250</v>
      </c>
    </row>
    <row r="243" spans="1:13" ht="18" customHeight="1" x14ac:dyDescent="0.35">
      <c r="A243" s="11"/>
      <c r="B243" s="496" t="s">
        <v>123</v>
      </c>
      <c r="C243" s="23" t="s">
        <v>1</v>
      </c>
      <c r="D243" s="10" t="s">
        <v>88</v>
      </c>
      <c r="E243" s="10" t="s">
        <v>63</v>
      </c>
      <c r="F243" s="689" t="s">
        <v>667</v>
      </c>
      <c r="G243" s="690" t="s">
        <v>89</v>
      </c>
      <c r="H243" s="690" t="s">
        <v>63</v>
      </c>
      <c r="I243" s="691" t="s">
        <v>669</v>
      </c>
      <c r="J243" s="266">
        <v>500</v>
      </c>
      <c r="K243" s="24">
        <f>170+80</f>
        <v>250</v>
      </c>
      <c r="L243" s="24">
        <f>M243-K243</f>
        <v>0</v>
      </c>
      <c r="M243" s="24">
        <f>170+80</f>
        <v>250</v>
      </c>
    </row>
    <row r="244" spans="1:13" ht="90" x14ac:dyDescent="0.35">
      <c r="A244" s="11"/>
      <c r="B244" s="496" t="s">
        <v>708</v>
      </c>
      <c r="C244" s="23" t="s">
        <v>1</v>
      </c>
      <c r="D244" s="10" t="s">
        <v>88</v>
      </c>
      <c r="E244" s="10" t="s">
        <v>63</v>
      </c>
      <c r="F244" s="689" t="s">
        <v>667</v>
      </c>
      <c r="G244" s="690" t="s">
        <v>89</v>
      </c>
      <c r="H244" s="690" t="s">
        <v>52</v>
      </c>
      <c r="I244" s="691" t="s">
        <v>44</v>
      </c>
      <c r="J244" s="266"/>
      <c r="K244" s="24">
        <f t="shared" ref="K244:M245" si="34">K245</f>
        <v>5950</v>
      </c>
      <c r="L244" s="24">
        <f t="shared" si="34"/>
        <v>0</v>
      </c>
      <c r="M244" s="24">
        <f t="shared" si="34"/>
        <v>5950</v>
      </c>
    </row>
    <row r="245" spans="1:13" ht="84" customHeight="1" x14ac:dyDescent="0.35">
      <c r="A245" s="11"/>
      <c r="B245" s="641" t="s">
        <v>670</v>
      </c>
      <c r="C245" s="23" t="s">
        <v>1</v>
      </c>
      <c r="D245" s="10" t="s">
        <v>88</v>
      </c>
      <c r="E245" s="10" t="s">
        <v>63</v>
      </c>
      <c r="F245" s="689" t="s">
        <v>667</v>
      </c>
      <c r="G245" s="690" t="s">
        <v>89</v>
      </c>
      <c r="H245" s="690" t="s">
        <v>52</v>
      </c>
      <c r="I245" s="691" t="s">
        <v>669</v>
      </c>
      <c r="J245" s="266"/>
      <c r="K245" s="24">
        <f t="shared" si="34"/>
        <v>5950</v>
      </c>
      <c r="L245" s="24">
        <f t="shared" si="34"/>
        <v>0</v>
      </c>
      <c r="M245" s="24">
        <f t="shared" si="34"/>
        <v>5950</v>
      </c>
    </row>
    <row r="246" spans="1:13" ht="18" customHeight="1" x14ac:dyDescent="0.35">
      <c r="A246" s="11"/>
      <c r="B246" s="496" t="s">
        <v>123</v>
      </c>
      <c r="C246" s="23" t="s">
        <v>1</v>
      </c>
      <c r="D246" s="10" t="s">
        <v>88</v>
      </c>
      <c r="E246" s="10" t="s">
        <v>63</v>
      </c>
      <c r="F246" s="689" t="s">
        <v>667</v>
      </c>
      <c r="G246" s="690" t="s">
        <v>89</v>
      </c>
      <c r="H246" s="690" t="s">
        <v>52</v>
      </c>
      <c r="I246" s="691" t="s">
        <v>669</v>
      </c>
      <c r="J246" s="266">
        <v>500</v>
      </c>
      <c r="K246" s="24">
        <v>5950</v>
      </c>
      <c r="L246" s="24">
        <f>M246-K246</f>
        <v>0</v>
      </c>
      <c r="M246" s="24">
        <v>5950</v>
      </c>
    </row>
    <row r="247" spans="1:13" ht="72" x14ac:dyDescent="0.35">
      <c r="A247" s="11"/>
      <c r="B247" s="496" t="s">
        <v>721</v>
      </c>
      <c r="C247" s="23" t="s">
        <v>1</v>
      </c>
      <c r="D247" s="10" t="s">
        <v>88</v>
      </c>
      <c r="E247" s="10" t="s">
        <v>63</v>
      </c>
      <c r="F247" s="689" t="s">
        <v>667</v>
      </c>
      <c r="G247" s="690" t="s">
        <v>89</v>
      </c>
      <c r="H247" s="690" t="s">
        <v>65</v>
      </c>
      <c r="I247" s="691" t="s">
        <v>44</v>
      </c>
      <c r="J247" s="266"/>
      <c r="K247" s="24">
        <f t="shared" ref="K247:M248" si="35">K248</f>
        <v>590</v>
      </c>
      <c r="L247" s="24">
        <f t="shared" si="35"/>
        <v>0</v>
      </c>
      <c r="M247" s="24">
        <f t="shared" si="35"/>
        <v>590</v>
      </c>
    </row>
    <row r="248" spans="1:13" ht="72" x14ac:dyDescent="0.35">
      <c r="A248" s="11"/>
      <c r="B248" s="641" t="s">
        <v>670</v>
      </c>
      <c r="C248" s="23" t="s">
        <v>1</v>
      </c>
      <c r="D248" s="10" t="s">
        <v>88</v>
      </c>
      <c r="E248" s="10" t="s">
        <v>63</v>
      </c>
      <c r="F248" s="689" t="s">
        <v>667</v>
      </c>
      <c r="G248" s="690" t="s">
        <v>89</v>
      </c>
      <c r="H248" s="690" t="s">
        <v>65</v>
      </c>
      <c r="I248" s="691" t="s">
        <v>669</v>
      </c>
      <c r="J248" s="266"/>
      <c r="K248" s="24">
        <f t="shared" si="35"/>
        <v>590</v>
      </c>
      <c r="L248" s="24">
        <f t="shared" si="35"/>
        <v>0</v>
      </c>
      <c r="M248" s="24">
        <f t="shared" si="35"/>
        <v>590</v>
      </c>
    </row>
    <row r="249" spans="1:13" ht="18" customHeight="1" x14ac:dyDescent="0.35">
      <c r="A249" s="11"/>
      <c r="B249" s="496" t="s">
        <v>123</v>
      </c>
      <c r="C249" s="23" t="s">
        <v>1</v>
      </c>
      <c r="D249" s="10" t="s">
        <v>88</v>
      </c>
      <c r="E249" s="10" t="s">
        <v>63</v>
      </c>
      <c r="F249" s="689" t="s">
        <v>667</v>
      </c>
      <c r="G249" s="690" t="s">
        <v>89</v>
      </c>
      <c r="H249" s="690" t="s">
        <v>65</v>
      </c>
      <c r="I249" s="691" t="s">
        <v>669</v>
      </c>
      <c r="J249" s="266">
        <v>500</v>
      </c>
      <c r="K249" s="24">
        <v>590</v>
      </c>
      <c r="L249" s="24">
        <f>M249-K249</f>
        <v>0</v>
      </c>
      <c r="M249" s="24">
        <v>590</v>
      </c>
    </row>
    <row r="250" spans="1:13" ht="90" x14ac:dyDescent="0.35">
      <c r="A250" s="11"/>
      <c r="B250" s="496" t="s">
        <v>727</v>
      </c>
      <c r="C250" s="23" t="s">
        <v>1</v>
      </c>
      <c r="D250" s="10" t="s">
        <v>88</v>
      </c>
      <c r="E250" s="10" t="s">
        <v>63</v>
      </c>
      <c r="F250" s="689" t="s">
        <v>667</v>
      </c>
      <c r="G250" s="690" t="s">
        <v>89</v>
      </c>
      <c r="H250" s="690" t="s">
        <v>224</v>
      </c>
      <c r="I250" s="691" t="s">
        <v>44</v>
      </c>
      <c r="J250" s="266"/>
      <c r="K250" s="24">
        <f t="shared" ref="K250:M251" si="36">K251</f>
        <v>569.1</v>
      </c>
      <c r="L250" s="24">
        <f t="shared" si="36"/>
        <v>0</v>
      </c>
      <c r="M250" s="24">
        <f t="shared" si="36"/>
        <v>569.1</v>
      </c>
    </row>
    <row r="251" spans="1:13" ht="72" x14ac:dyDescent="0.35">
      <c r="A251" s="11"/>
      <c r="B251" s="641" t="s">
        <v>670</v>
      </c>
      <c r="C251" s="23" t="s">
        <v>1</v>
      </c>
      <c r="D251" s="10" t="s">
        <v>88</v>
      </c>
      <c r="E251" s="10" t="s">
        <v>63</v>
      </c>
      <c r="F251" s="689" t="s">
        <v>667</v>
      </c>
      <c r="G251" s="690" t="s">
        <v>89</v>
      </c>
      <c r="H251" s="690" t="s">
        <v>224</v>
      </c>
      <c r="I251" s="691" t="s">
        <v>669</v>
      </c>
      <c r="J251" s="266"/>
      <c r="K251" s="24">
        <f t="shared" si="36"/>
        <v>569.1</v>
      </c>
      <c r="L251" s="24">
        <f t="shared" si="36"/>
        <v>0</v>
      </c>
      <c r="M251" s="24">
        <f t="shared" si="36"/>
        <v>569.1</v>
      </c>
    </row>
    <row r="252" spans="1:13" ht="18" customHeight="1" x14ac:dyDescent="0.35">
      <c r="A252" s="11"/>
      <c r="B252" s="496" t="s">
        <v>123</v>
      </c>
      <c r="C252" s="23" t="s">
        <v>1</v>
      </c>
      <c r="D252" s="10" t="s">
        <v>88</v>
      </c>
      <c r="E252" s="10" t="s">
        <v>63</v>
      </c>
      <c r="F252" s="689" t="s">
        <v>667</v>
      </c>
      <c r="G252" s="690" t="s">
        <v>89</v>
      </c>
      <c r="H252" s="690" t="s">
        <v>224</v>
      </c>
      <c r="I252" s="691" t="s">
        <v>669</v>
      </c>
      <c r="J252" s="266">
        <v>500</v>
      </c>
      <c r="K252" s="24">
        <v>569.1</v>
      </c>
      <c r="L252" s="24">
        <f>M252-K252</f>
        <v>0</v>
      </c>
      <c r="M252" s="24">
        <v>569.1</v>
      </c>
    </row>
    <row r="253" spans="1:13" ht="54" x14ac:dyDescent="0.35">
      <c r="A253" s="11"/>
      <c r="B253" s="496" t="s">
        <v>731</v>
      </c>
      <c r="C253" s="23" t="s">
        <v>1</v>
      </c>
      <c r="D253" s="10" t="s">
        <v>88</v>
      </c>
      <c r="E253" s="10" t="s">
        <v>63</v>
      </c>
      <c r="F253" s="689" t="s">
        <v>667</v>
      </c>
      <c r="G253" s="690" t="s">
        <v>89</v>
      </c>
      <c r="H253" s="690" t="s">
        <v>226</v>
      </c>
      <c r="I253" s="691" t="s">
        <v>44</v>
      </c>
      <c r="J253" s="266"/>
      <c r="K253" s="24">
        <f t="shared" ref="K253:M254" si="37">K254</f>
        <v>245</v>
      </c>
      <c r="L253" s="24">
        <f t="shared" si="37"/>
        <v>0</v>
      </c>
      <c r="M253" s="24">
        <f t="shared" si="37"/>
        <v>245</v>
      </c>
    </row>
    <row r="254" spans="1:13" ht="18" customHeight="1" x14ac:dyDescent="0.35">
      <c r="A254" s="11"/>
      <c r="B254" s="641" t="s">
        <v>670</v>
      </c>
      <c r="C254" s="23" t="s">
        <v>1</v>
      </c>
      <c r="D254" s="10" t="s">
        <v>88</v>
      </c>
      <c r="E254" s="10" t="s">
        <v>63</v>
      </c>
      <c r="F254" s="689" t="s">
        <v>667</v>
      </c>
      <c r="G254" s="690" t="s">
        <v>89</v>
      </c>
      <c r="H254" s="690" t="s">
        <v>226</v>
      </c>
      <c r="I254" s="691" t="s">
        <v>669</v>
      </c>
      <c r="J254" s="266"/>
      <c r="K254" s="24">
        <f t="shared" si="37"/>
        <v>245</v>
      </c>
      <c r="L254" s="24">
        <f t="shared" si="37"/>
        <v>0</v>
      </c>
      <c r="M254" s="24">
        <f t="shared" si="37"/>
        <v>245</v>
      </c>
    </row>
    <row r="255" spans="1:13" ht="18" customHeight="1" x14ac:dyDescent="0.35">
      <c r="A255" s="11"/>
      <c r="B255" s="496" t="s">
        <v>123</v>
      </c>
      <c r="C255" s="23" t="s">
        <v>1</v>
      </c>
      <c r="D255" s="10" t="s">
        <v>88</v>
      </c>
      <c r="E255" s="10" t="s">
        <v>63</v>
      </c>
      <c r="F255" s="689" t="s">
        <v>667</v>
      </c>
      <c r="G255" s="690" t="s">
        <v>89</v>
      </c>
      <c r="H255" s="690" t="s">
        <v>226</v>
      </c>
      <c r="I255" s="691" t="s">
        <v>669</v>
      </c>
      <c r="J255" s="266">
        <v>500</v>
      </c>
      <c r="K255" s="24">
        <v>245</v>
      </c>
      <c r="L255" s="24">
        <f>M255-K255</f>
        <v>0</v>
      </c>
      <c r="M255" s="24">
        <v>245</v>
      </c>
    </row>
    <row r="256" spans="1:13" ht="90" x14ac:dyDescent="0.35">
      <c r="A256" s="11"/>
      <c r="B256" s="496" t="s">
        <v>732</v>
      </c>
      <c r="C256" s="23" t="s">
        <v>1</v>
      </c>
      <c r="D256" s="10" t="s">
        <v>88</v>
      </c>
      <c r="E256" s="10" t="s">
        <v>63</v>
      </c>
      <c r="F256" s="689" t="s">
        <v>667</v>
      </c>
      <c r="G256" s="690" t="s">
        <v>89</v>
      </c>
      <c r="H256" s="690" t="s">
        <v>79</v>
      </c>
      <c r="I256" s="691" t="s">
        <v>44</v>
      </c>
      <c r="J256" s="266"/>
      <c r="K256" s="24">
        <f t="shared" ref="K256:M257" si="38">K257</f>
        <v>530</v>
      </c>
      <c r="L256" s="24">
        <f t="shared" si="38"/>
        <v>0</v>
      </c>
      <c r="M256" s="24">
        <f t="shared" si="38"/>
        <v>530</v>
      </c>
    </row>
    <row r="257" spans="1:13" ht="18" customHeight="1" x14ac:dyDescent="0.35">
      <c r="A257" s="11"/>
      <c r="B257" s="641" t="s">
        <v>670</v>
      </c>
      <c r="C257" s="23" t="s">
        <v>1</v>
      </c>
      <c r="D257" s="10" t="s">
        <v>88</v>
      </c>
      <c r="E257" s="10" t="s">
        <v>63</v>
      </c>
      <c r="F257" s="689" t="s">
        <v>667</v>
      </c>
      <c r="G257" s="690" t="s">
        <v>89</v>
      </c>
      <c r="H257" s="690" t="s">
        <v>79</v>
      </c>
      <c r="I257" s="691" t="s">
        <v>669</v>
      </c>
      <c r="J257" s="266"/>
      <c r="K257" s="24">
        <f t="shared" si="38"/>
        <v>530</v>
      </c>
      <c r="L257" s="24">
        <f t="shared" si="38"/>
        <v>0</v>
      </c>
      <c r="M257" s="24">
        <f t="shared" si="38"/>
        <v>530</v>
      </c>
    </row>
    <row r="258" spans="1:13" ht="18" customHeight="1" x14ac:dyDescent="0.35">
      <c r="A258" s="11"/>
      <c r="B258" s="496" t="s">
        <v>123</v>
      </c>
      <c r="C258" s="23" t="s">
        <v>1</v>
      </c>
      <c r="D258" s="10" t="s">
        <v>88</v>
      </c>
      <c r="E258" s="10" t="s">
        <v>63</v>
      </c>
      <c r="F258" s="689" t="s">
        <v>667</v>
      </c>
      <c r="G258" s="690" t="s">
        <v>89</v>
      </c>
      <c r="H258" s="690" t="s">
        <v>79</v>
      </c>
      <c r="I258" s="691" t="s">
        <v>669</v>
      </c>
      <c r="J258" s="266">
        <v>500</v>
      </c>
      <c r="K258" s="24">
        <v>530</v>
      </c>
      <c r="L258" s="24">
        <f>M258-K258</f>
        <v>0</v>
      </c>
      <c r="M258" s="24">
        <v>530</v>
      </c>
    </row>
    <row r="259" spans="1:13" ht="54" x14ac:dyDescent="0.35">
      <c r="A259" s="11"/>
      <c r="B259" s="496" t="s">
        <v>735</v>
      </c>
      <c r="C259" s="23" t="s">
        <v>1</v>
      </c>
      <c r="D259" s="10" t="s">
        <v>88</v>
      </c>
      <c r="E259" s="10" t="s">
        <v>63</v>
      </c>
      <c r="F259" s="689" t="s">
        <v>667</v>
      </c>
      <c r="G259" s="690" t="s">
        <v>89</v>
      </c>
      <c r="H259" s="690" t="s">
        <v>104</v>
      </c>
      <c r="I259" s="691" t="s">
        <v>44</v>
      </c>
      <c r="J259" s="266"/>
      <c r="K259" s="24">
        <f t="shared" ref="K259:M260" si="39">K260</f>
        <v>1400</v>
      </c>
      <c r="L259" s="24">
        <f t="shared" si="39"/>
        <v>0</v>
      </c>
      <c r="M259" s="24">
        <f t="shared" si="39"/>
        <v>1400</v>
      </c>
    </row>
    <row r="260" spans="1:13" ht="18" customHeight="1" x14ac:dyDescent="0.35">
      <c r="A260" s="11"/>
      <c r="B260" s="641" t="s">
        <v>670</v>
      </c>
      <c r="C260" s="23" t="s">
        <v>1</v>
      </c>
      <c r="D260" s="10" t="s">
        <v>88</v>
      </c>
      <c r="E260" s="10" t="s">
        <v>63</v>
      </c>
      <c r="F260" s="689" t="s">
        <v>667</v>
      </c>
      <c r="G260" s="690" t="s">
        <v>89</v>
      </c>
      <c r="H260" s="690" t="s">
        <v>104</v>
      </c>
      <c r="I260" s="691" t="s">
        <v>669</v>
      </c>
      <c r="J260" s="266"/>
      <c r="K260" s="24">
        <f t="shared" si="39"/>
        <v>1400</v>
      </c>
      <c r="L260" s="24">
        <f t="shared" si="39"/>
        <v>0</v>
      </c>
      <c r="M260" s="24">
        <f t="shared" si="39"/>
        <v>1400</v>
      </c>
    </row>
    <row r="261" spans="1:13" ht="18" customHeight="1" x14ac:dyDescent="0.35">
      <c r="A261" s="11"/>
      <c r="B261" s="496" t="s">
        <v>123</v>
      </c>
      <c r="C261" s="23" t="s">
        <v>1</v>
      </c>
      <c r="D261" s="10" t="s">
        <v>88</v>
      </c>
      <c r="E261" s="10" t="s">
        <v>63</v>
      </c>
      <c r="F261" s="689" t="s">
        <v>667</v>
      </c>
      <c r="G261" s="690" t="s">
        <v>89</v>
      </c>
      <c r="H261" s="690" t="s">
        <v>104</v>
      </c>
      <c r="I261" s="691" t="s">
        <v>669</v>
      </c>
      <c r="J261" s="266">
        <v>500</v>
      </c>
      <c r="K261" s="24">
        <v>1400</v>
      </c>
      <c r="L261" s="24">
        <f>M261-K261</f>
        <v>0</v>
      </c>
      <c r="M261" s="24">
        <v>1400</v>
      </c>
    </row>
    <row r="262" spans="1:13" ht="90" x14ac:dyDescent="0.35">
      <c r="A262" s="11"/>
      <c r="B262" s="496" t="s">
        <v>736</v>
      </c>
      <c r="C262" s="23" t="s">
        <v>1</v>
      </c>
      <c r="D262" s="10" t="s">
        <v>88</v>
      </c>
      <c r="E262" s="10" t="s">
        <v>63</v>
      </c>
      <c r="F262" s="689" t="s">
        <v>667</v>
      </c>
      <c r="G262" s="690" t="s">
        <v>89</v>
      </c>
      <c r="H262" s="690" t="s">
        <v>67</v>
      </c>
      <c r="I262" s="691" t="s">
        <v>44</v>
      </c>
      <c r="J262" s="266"/>
      <c r="K262" s="24">
        <f t="shared" ref="K262:M263" si="40">K263</f>
        <v>2800</v>
      </c>
      <c r="L262" s="24">
        <f t="shared" si="40"/>
        <v>0</v>
      </c>
      <c r="M262" s="24">
        <f t="shared" si="40"/>
        <v>2800</v>
      </c>
    </row>
    <row r="263" spans="1:13" ht="18" customHeight="1" x14ac:dyDescent="0.35">
      <c r="A263" s="11"/>
      <c r="B263" s="641" t="s">
        <v>670</v>
      </c>
      <c r="C263" s="23" t="s">
        <v>1</v>
      </c>
      <c r="D263" s="10" t="s">
        <v>88</v>
      </c>
      <c r="E263" s="10" t="s">
        <v>63</v>
      </c>
      <c r="F263" s="689" t="s">
        <v>667</v>
      </c>
      <c r="G263" s="690" t="s">
        <v>89</v>
      </c>
      <c r="H263" s="690" t="s">
        <v>67</v>
      </c>
      <c r="I263" s="691" t="s">
        <v>669</v>
      </c>
      <c r="J263" s="266"/>
      <c r="K263" s="24">
        <f t="shared" si="40"/>
        <v>2800</v>
      </c>
      <c r="L263" s="24">
        <f t="shared" si="40"/>
        <v>0</v>
      </c>
      <c r="M263" s="24">
        <f t="shared" si="40"/>
        <v>2800</v>
      </c>
    </row>
    <row r="264" spans="1:13" ht="18" customHeight="1" x14ac:dyDescent="0.35">
      <c r="A264" s="11"/>
      <c r="B264" s="496" t="s">
        <v>123</v>
      </c>
      <c r="C264" s="23" t="s">
        <v>1</v>
      </c>
      <c r="D264" s="10" t="s">
        <v>88</v>
      </c>
      <c r="E264" s="10" t="s">
        <v>63</v>
      </c>
      <c r="F264" s="689" t="s">
        <v>667</v>
      </c>
      <c r="G264" s="690" t="s">
        <v>89</v>
      </c>
      <c r="H264" s="690" t="s">
        <v>67</v>
      </c>
      <c r="I264" s="691" t="s">
        <v>669</v>
      </c>
      <c r="J264" s="266">
        <v>500</v>
      </c>
      <c r="K264" s="24">
        <v>2800</v>
      </c>
      <c r="L264" s="24">
        <f>M264-K264</f>
        <v>0</v>
      </c>
      <c r="M264" s="24">
        <v>2800</v>
      </c>
    </row>
    <row r="265" spans="1:13" ht="70.2" customHeight="1" x14ac:dyDescent="0.35">
      <c r="A265" s="11"/>
      <c r="B265" s="496" t="s">
        <v>742</v>
      </c>
      <c r="C265" s="23" t="s">
        <v>1</v>
      </c>
      <c r="D265" s="10" t="s">
        <v>88</v>
      </c>
      <c r="E265" s="10" t="s">
        <v>63</v>
      </c>
      <c r="F265" s="689" t="s">
        <v>667</v>
      </c>
      <c r="G265" s="690" t="s">
        <v>89</v>
      </c>
      <c r="H265" s="690" t="s">
        <v>100</v>
      </c>
      <c r="I265" s="691" t="s">
        <v>44</v>
      </c>
      <c r="J265" s="266"/>
      <c r="K265" s="24">
        <f t="shared" ref="K265:M266" si="41">K266</f>
        <v>1100</v>
      </c>
      <c r="L265" s="24">
        <f t="shared" si="41"/>
        <v>0</v>
      </c>
      <c r="M265" s="24">
        <f t="shared" si="41"/>
        <v>1100</v>
      </c>
    </row>
    <row r="266" spans="1:13" ht="18" customHeight="1" x14ac:dyDescent="0.35">
      <c r="A266" s="11"/>
      <c r="B266" s="641" t="s">
        <v>670</v>
      </c>
      <c r="C266" s="23" t="s">
        <v>1</v>
      </c>
      <c r="D266" s="10" t="s">
        <v>88</v>
      </c>
      <c r="E266" s="10" t="s">
        <v>63</v>
      </c>
      <c r="F266" s="689" t="s">
        <v>667</v>
      </c>
      <c r="G266" s="690" t="s">
        <v>89</v>
      </c>
      <c r="H266" s="690" t="s">
        <v>100</v>
      </c>
      <c r="I266" s="691" t="s">
        <v>669</v>
      </c>
      <c r="J266" s="266"/>
      <c r="K266" s="24">
        <f t="shared" si="41"/>
        <v>1100</v>
      </c>
      <c r="L266" s="24">
        <f t="shared" si="41"/>
        <v>0</v>
      </c>
      <c r="M266" s="24">
        <f t="shared" si="41"/>
        <v>1100</v>
      </c>
    </row>
    <row r="267" spans="1:13" ht="18" customHeight="1" x14ac:dyDescent="0.35">
      <c r="A267" s="11"/>
      <c r="B267" s="496" t="s">
        <v>123</v>
      </c>
      <c r="C267" s="23" t="s">
        <v>1</v>
      </c>
      <c r="D267" s="10" t="s">
        <v>88</v>
      </c>
      <c r="E267" s="10" t="s">
        <v>63</v>
      </c>
      <c r="F267" s="689" t="s">
        <v>667</v>
      </c>
      <c r="G267" s="690" t="s">
        <v>89</v>
      </c>
      <c r="H267" s="690" t="s">
        <v>100</v>
      </c>
      <c r="I267" s="691" t="s">
        <v>669</v>
      </c>
      <c r="J267" s="266">
        <v>500</v>
      </c>
      <c r="K267" s="24">
        <v>1100</v>
      </c>
      <c r="L267" s="24">
        <f>M267-K267</f>
        <v>0</v>
      </c>
      <c r="M267" s="24">
        <v>1100</v>
      </c>
    </row>
    <row r="268" spans="1:13" ht="126" x14ac:dyDescent="0.35">
      <c r="A268" s="11"/>
      <c r="B268" s="496" t="s">
        <v>743</v>
      </c>
      <c r="C268" s="23" t="s">
        <v>1</v>
      </c>
      <c r="D268" s="10" t="s">
        <v>88</v>
      </c>
      <c r="E268" s="10" t="s">
        <v>63</v>
      </c>
      <c r="F268" s="689" t="s">
        <v>667</v>
      </c>
      <c r="G268" s="690" t="s">
        <v>89</v>
      </c>
      <c r="H268" s="690" t="s">
        <v>71</v>
      </c>
      <c r="I268" s="691" t="s">
        <v>44</v>
      </c>
      <c r="J268" s="266"/>
      <c r="K268" s="24">
        <f t="shared" ref="K268:M269" si="42">K269</f>
        <v>900</v>
      </c>
      <c r="L268" s="24">
        <f t="shared" si="42"/>
        <v>0</v>
      </c>
      <c r="M268" s="24">
        <f t="shared" si="42"/>
        <v>900</v>
      </c>
    </row>
    <row r="269" spans="1:13" ht="18" customHeight="1" x14ac:dyDescent="0.35">
      <c r="A269" s="11"/>
      <c r="B269" s="641" t="s">
        <v>670</v>
      </c>
      <c r="C269" s="23" t="s">
        <v>1</v>
      </c>
      <c r="D269" s="10" t="s">
        <v>88</v>
      </c>
      <c r="E269" s="10" t="s">
        <v>63</v>
      </c>
      <c r="F269" s="689" t="s">
        <v>667</v>
      </c>
      <c r="G269" s="690" t="s">
        <v>89</v>
      </c>
      <c r="H269" s="690" t="s">
        <v>71</v>
      </c>
      <c r="I269" s="691" t="s">
        <v>669</v>
      </c>
      <c r="J269" s="266"/>
      <c r="K269" s="24">
        <f t="shared" si="42"/>
        <v>900</v>
      </c>
      <c r="L269" s="24">
        <f t="shared" si="42"/>
        <v>0</v>
      </c>
      <c r="M269" s="24">
        <f t="shared" si="42"/>
        <v>900</v>
      </c>
    </row>
    <row r="270" spans="1:13" ht="18" customHeight="1" x14ac:dyDescent="0.35">
      <c r="A270" s="11"/>
      <c r="B270" s="496" t="s">
        <v>123</v>
      </c>
      <c r="C270" s="23" t="s">
        <v>1</v>
      </c>
      <c r="D270" s="10" t="s">
        <v>88</v>
      </c>
      <c r="E270" s="10" t="s">
        <v>63</v>
      </c>
      <c r="F270" s="689" t="s">
        <v>667</v>
      </c>
      <c r="G270" s="690" t="s">
        <v>89</v>
      </c>
      <c r="H270" s="690" t="s">
        <v>71</v>
      </c>
      <c r="I270" s="691" t="s">
        <v>669</v>
      </c>
      <c r="J270" s="266">
        <v>500</v>
      </c>
      <c r="K270" s="24">
        <v>900</v>
      </c>
      <c r="L270" s="24">
        <f>M270-K270</f>
        <v>0</v>
      </c>
      <c r="M270" s="24">
        <v>900</v>
      </c>
    </row>
    <row r="271" spans="1:13" ht="72" x14ac:dyDescent="0.35">
      <c r="A271" s="11"/>
      <c r="B271" s="496" t="s">
        <v>748</v>
      </c>
      <c r="C271" s="23" t="s">
        <v>1</v>
      </c>
      <c r="D271" s="10" t="s">
        <v>88</v>
      </c>
      <c r="E271" s="10" t="s">
        <v>63</v>
      </c>
      <c r="F271" s="689" t="s">
        <v>667</v>
      </c>
      <c r="G271" s="690" t="s">
        <v>89</v>
      </c>
      <c r="H271" s="690" t="s">
        <v>88</v>
      </c>
      <c r="I271" s="691" t="s">
        <v>44</v>
      </c>
      <c r="J271" s="266"/>
      <c r="K271" s="24">
        <f t="shared" ref="K271:M272" si="43">K272</f>
        <v>599</v>
      </c>
      <c r="L271" s="24">
        <f t="shared" si="43"/>
        <v>0</v>
      </c>
      <c r="M271" s="24">
        <f t="shared" si="43"/>
        <v>599</v>
      </c>
    </row>
    <row r="272" spans="1:13" ht="18" customHeight="1" x14ac:dyDescent="0.35">
      <c r="A272" s="11"/>
      <c r="B272" s="641" t="s">
        <v>670</v>
      </c>
      <c r="C272" s="23" t="s">
        <v>1</v>
      </c>
      <c r="D272" s="10" t="s">
        <v>88</v>
      </c>
      <c r="E272" s="10" t="s">
        <v>63</v>
      </c>
      <c r="F272" s="689" t="s">
        <v>667</v>
      </c>
      <c r="G272" s="690" t="s">
        <v>89</v>
      </c>
      <c r="H272" s="690" t="s">
        <v>88</v>
      </c>
      <c r="I272" s="691" t="s">
        <v>669</v>
      </c>
      <c r="J272" s="266"/>
      <c r="K272" s="24">
        <f t="shared" si="43"/>
        <v>599</v>
      </c>
      <c r="L272" s="24">
        <f t="shared" si="43"/>
        <v>0</v>
      </c>
      <c r="M272" s="24">
        <f t="shared" si="43"/>
        <v>599</v>
      </c>
    </row>
    <row r="273" spans="1:13" ht="18" customHeight="1" x14ac:dyDescent="0.35">
      <c r="A273" s="11"/>
      <c r="B273" s="496" t="s">
        <v>123</v>
      </c>
      <c r="C273" s="23" t="s">
        <v>1</v>
      </c>
      <c r="D273" s="10" t="s">
        <v>88</v>
      </c>
      <c r="E273" s="10" t="s">
        <v>63</v>
      </c>
      <c r="F273" s="689" t="s">
        <v>667</v>
      </c>
      <c r="G273" s="690" t="s">
        <v>89</v>
      </c>
      <c r="H273" s="690" t="s">
        <v>88</v>
      </c>
      <c r="I273" s="691" t="s">
        <v>669</v>
      </c>
      <c r="J273" s="266">
        <v>500</v>
      </c>
      <c r="K273" s="24">
        <v>599</v>
      </c>
      <c r="L273" s="24">
        <f>M273-K273</f>
        <v>0</v>
      </c>
      <c r="M273" s="24">
        <v>599</v>
      </c>
    </row>
    <row r="274" spans="1:13" ht="90" x14ac:dyDescent="0.35">
      <c r="A274" s="11"/>
      <c r="B274" s="496" t="s">
        <v>749</v>
      </c>
      <c r="C274" s="23" t="s">
        <v>1</v>
      </c>
      <c r="D274" s="10" t="s">
        <v>88</v>
      </c>
      <c r="E274" s="10" t="s">
        <v>63</v>
      </c>
      <c r="F274" s="689" t="s">
        <v>667</v>
      </c>
      <c r="G274" s="690" t="s">
        <v>89</v>
      </c>
      <c r="H274" s="690" t="s">
        <v>73</v>
      </c>
      <c r="I274" s="691" t="s">
        <v>44</v>
      </c>
      <c r="J274" s="266"/>
      <c r="K274" s="24">
        <f t="shared" ref="K274:M275" si="44">K275</f>
        <v>1000</v>
      </c>
      <c r="L274" s="24">
        <f t="shared" si="44"/>
        <v>0</v>
      </c>
      <c r="M274" s="24">
        <f t="shared" si="44"/>
        <v>1000</v>
      </c>
    </row>
    <row r="275" spans="1:13" ht="18" customHeight="1" x14ac:dyDescent="0.35">
      <c r="A275" s="11"/>
      <c r="B275" s="641" t="s">
        <v>670</v>
      </c>
      <c r="C275" s="23" t="s">
        <v>1</v>
      </c>
      <c r="D275" s="10" t="s">
        <v>88</v>
      </c>
      <c r="E275" s="10" t="s">
        <v>63</v>
      </c>
      <c r="F275" s="689" t="s">
        <v>667</v>
      </c>
      <c r="G275" s="690" t="s">
        <v>89</v>
      </c>
      <c r="H275" s="690" t="s">
        <v>73</v>
      </c>
      <c r="I275" s="691" t="s">
        <v>669</v>
      </c>
      <c r="J275" s="266"/>
      <c r="K275" s="24">
        <f t="shared" si="44"/>
        <v>1000</v>
      </c>
      <c r="L275" s="24">
        <f t="shared" si="44"/>
        <v>0</v>
      </c>
      <c r="M275" s="24">
        <f t="shared" si="44"/>
        <v>1000</v>
      </c>
    </row>
    <row r="276" spans="1:13" ht="18" customHeight="1" x14ac:dyDescent="0.35">
      <c r="A276" s="11"/>
      <c r="B276" s="496" t="s">
        <v>123</v>
      </c>
      <c r="C276" s="23" t="s">
        <v>1</v>
      </c>
      <c r="D276" s="10" t="s">
        <v>88</v>
      </c>
      <c r="E276" s="10" t="s">
        <v>63</v>
      </c>
      <c r="F276" s="689" t="s">
        <v>667</v>
      </c>
      <c r="G276" s="690" t="s">
        <v>89</v>
      </c>
      <c r="H276" s="690" t="s">
        <v>73</v>
      </c>
      <c r="I276" s="691" t="s">
        <v>669</v>
      </c>
      <c r="J276" s="266">
        <v>500</v>
      </c>
      <c r="K276" s="24">
        <v>1000</v>
      </c>
      <c r="L276" s="24">
        <f>M276-K276</f>
        <v>0</v>
      </c>
      <c r="M276" s="24">
        <v>1000</v>
      </c>
    </row>
    <row r="277" spans="1:13" ht="123.6" customHeight="1" x14ac:dyDescent="0.35">
      <c r="A277" s="11"/>
      <c r="B277" s="496" t="s">
        <v>750</v>
      </c>
      <c r="C277" s="23" t="s">
        <v>1</v>
      </c>
      <c r="D277" s="10" t="s">
        <v>88</v>
      </c>
      <c r="E277" s="10" t="s">
        <v>63</v>
      </c>
      <c r="F277" s="689" t="s">
        <v>667</v>
      </c>
      <c r="G277" s="690" t="s">
        <v>89</v>
      </c>
      <c r="H277" s="690" t="s">
        <v>747</v>
      </c>
      <c r="I277" s="691" t="s">
        <v>44</v>
      </c>
      <c r="J277" s="266"/>
      <c r="K277" s="24">
        <f t="shared" ref="K277:M278" si="45">K278</f>
        <v>245</v>
      </c>
      <c r="L277" s="24">
        <f t="shared" si="45"/>
        <v>0</v>
      </c>
      <c r="M277" s="24">
        <f t="shared" si="45"/>
        <v>245</v>
      </c>
    </row>
    <row r="278" spans="1:13" ht="18" customHeight="1" x14ac:dyDescent="0.35">
      <c r="A278" s="11"/>
      <c r="B278" s="641" t="s">
        <v>670</v>
      </c>
      <c r="C278" s="23" t="s">
        <v>1</v>
      </c>
      <c r="D278" s="10" t="s">
        <v>88</v>
      </c>
      <c r="E278" s="10" t="s">
        <v>63</v>
      </c>
      <c r="F278" s="689" t="s">
        <v>667</v>
      </c>
      <c r="G278" s="690" t="s">
        <v>89</v>
      </c>
      <c r="H278" s="690" t="s">
        <v>747</v>
      </c>
      <c r="I278" s="691" t="s">
        <v>669</v>
      </c>
      <c r="J278" s="266"/>
      <c r="K278" s="24">
        <f t="shared" si="45"/>
        <v>245</v>
      </c>
      <c r="L278" s="24">
        <f t="shared" si="45"/>
        <v>0</v>
      </c>
      <c r="M278" s="24">
        <f t="shared" si="45"/>
        <v>245</v>
      </c>
    </row>
    <row r="279" spans="1:13" ht="18" customHeight="1" x14ac:dyDescent="0.35">
      <c r="A279" s="11"/>
      <c r="B279" s="496" t="s">
        <v>123</v>
      </c>
      <c r="C279" s="23" t="s">
        <v>1</v>
      </c>
      <c r="D279" s="10" t="s">
        <v>88</v>
      </c>
      <c r="E279" s="10" t="s">
        <v>63</v>
      </c>
      <c r="F279" s="689" t="s">
        <v>667</v>
      </c>
      <c r="G279" s="690" t="s">
        <v>89</v>
      </c>
      <c r="H279" s="690" t="s">
        <v>747</v>
      </c>
      <c r="I279" s="691" t="s">
        <v>669</v>
      </c>
      <c r="J279" s="266">
        <v>500</v>
      </c>
      <c r="K279" s="24">
        <v>245</v>
      </c>
      <c r="L279" s="24">
        <f>M279-K279</f>
        <v>0</v>
      </c>
      <c r="M279" s="24">
        <v>245</v>
      </c>
    </row>
    <row r="280" spans="1:13" ht="100.2" customHeight="1" x14ac:dyDescent="0.35">
      <c r="A280" s="11"/>
      <c r="B280" s="496" t="s">
        <v>751</v>
      </c>
      <c r="C280" s="23" t="s">
        <v>1</v>
      </c>
      <c r="D280" s="10" t="s">
        <v>88</v>
      </c>
      <c r="E280" s="10" t="s">
        <v>63</v>
      </c>
      <c r="F280" s="689" t="s">
        <v>667</v>
      </c>
      <c r="G280" s="690" t="s">
        <v>89</v>
      </c>
      <c r="H280" s="690" t="s">
        <v>41</v>
      </c>
      <c r="I280" s="691" t="s">
        <v>44</v>
      </c>
      <c r="J280" s="266"/>
      <c r="K280" s="24">
        <f t="shared" ref="K280:M281" si="46">K281</f>
        <v>975</v>
      </c>
      <c r="L280" s="24">
        <f t="shared" si="46"/>
        <v>0</v>
      </c>
      <c r="M280" s="24">
        <f t="shared" si="46"/>
        <v>975</v>
      </c>
    </row>
    <row r="281" spans="1:13" ht="18" customHeight="1" x14ac:dyDescent="0.35">
      <c r="A281" s="11"/>
      <c r="B281" s="641" t="s">
        <v>670</v>
      </c>
      <c r="C281" s="23" t="s">
        <v>1</v>
      </c>
      <c r="D281" s="10" t="s">
        <v>88</v>
      </c>
      <c r="E281" s="10" t="s">
        <v>63</v>
      </c>
      <c r="F281" s="689" t="s">
        <v>667</v>
      </c>
      <c r="G281" s="690" t="s">
        <v>89</v>
      </c>
      <c r="H281" s="690" t="s">
        <v>41</v>
      </c>
      <c r="I281" s="691" t="s">
        <v>669</v>
      </c>
      <c r="J281" s="266"/>
      <c r="K281" s="24">
        <f t="shared" si="46"/>
        <v>975</v>
      </c>
      <c r="L281" s="24">
        <f t="shared" si="46"/>
        <v>0</v>
      </c>
      <c r="M281" s="24">
        <f t="shared" si="46"/>
        <v>975</v>
      </c>
    </row>
    <row r="282" spans="1:13" ht="18" customHeight="1" x14ac:dyDescent="0.35">
      <c r="A282" s="11"/>
      <c r="B282" s="496" t="s">
        <v>123</v>
      </c>
      <c r="C282" s="23" t="s">
        <v>1</v>
      </c>
      <c r="D282" s="10" t="s">
        <v>88</v>
      </c>
      <c r="E282" s="10" t="s">
        <v>63</v>
      </c>
      <c r="F282" s="689" t="s">
        <v>667</v>
      </c>
      <c r="G282" s="690" t="s">
        <v>89</v>
      </c>
      <c r="H282" s="690" t="s">
        <v>41</v>
      </c>
      <c r="I282" s="691" t="s">
        <v>669</v>
      </c>
      <c r="J282" s="266">
        <v>500</v>
      </c>
      <c r="K282" s="24">
        <v>975</v>
      </c>
      <c r="L282" s="24">
        <f>M282-K282</f>
        <v>0</v>
      </c>
      <c r="M282" s="24">
        <v>975</v>
      </c>
    </row>
    <row r="283" spans="1:13" ht="56.4" customHeight="1" x14ac:dyDescent="0.35">
      <c r="A283" s="11"/>
      <c r="B283" s="496" t="s">
        <v>752</v>
      </c>
      <c r="C283" s="23" t="s">
        <v>1</v>
      </c>
      <c r="D283" s="10" t="s">
        <v>88</v>
      </c>
      <c r="E283" s="10" t="s">
        <v>63</v>
      </c>
      <c r="F283" s="689" t="s">
        <v>667</v>
      </c>
      <c r="G283" s="690" t="s">
        <v>89</v>
      </c>
      <c r="H283" s="690" t="s">
        <v>659</v>
      </c>
      <c r="I283" s="691" t="s">
        <v>44</v>
      </c>
      <c r="J283" s="266"/>
      <c r="K283" s="24">
        <f t="shared" ref="K283:M284" si="47">K284</f>
        <v>300</v>
      </c>
      <c r="L283" s="24">
        <f t="shared" si="47"/>
        <v>0</v>
      </c>
      <c r="M283" s="24">
        <f t="shared" si="47"/>
        <v>300</v>
      </c>
    </row>
    <row r="284" spans="1:13" ht="18" customHeight="1" x14ac:dyDescent="0.35">
      <c r="A284" s="11"/>
      <c r="B284" s="641" t="s">
        <v>670</v>
      </c>
      <c r="C284" s="23" t="s">
        <v>1</v>
      </c>
      <c r="D284" s="10" t="s">
        <v>88</v>
      </c>
      <c r="E284" s="10" t="s">
        <v>63</v>
      </c>
      <c r="F284" s="689" t="s">
        <v>667</v>
      </c>
      <c r="G284" s="690" t="s">
        <v>89</v>
      </c>
      <c r="H284" s="690" t="s">
        <v>659</v>
      </c>
      <c r="I284" s="691" t="s">
        <v>669</v>
      </c>
      <c r="J284" s="266"/>
      <c r="K284" s="24">
        <f t="shared" si="47"/>
        <v>300</v>
      </c>
      <c r="L284" s="24">
        <f t="shared" si="47"/>
        <v>0</v>
      </c>
      <c r="M284" s="24">
        <f t="shared" si="47"/>
        <v>300</v>
      </c>
    </row>
    <row r="285" spans="1:13" ht="18" customHeight="1" x14ac:dyDescent="0.35">
      <c r="A285" s="11"/>
      <c r="B285" s="496" t="s">
        <v>123</v>
      </c>
      <c r="C285" s="23" t="s">
        <v>1</v>
      </c>
      <c r="D285" s="10" t="s">
        <v>88</v>
      </c>
      <c r="E285" s="10" t="s">
        <v>63</v>
      </c>
      <c r="F285" s="689" t="s">
        <v>667</v>
      </c>
      <c r="G285" s="690" t="s">
        <v>89</v>
      </c>
      <c r="H285" s="690" t="s">
        <v>659</v>
      </c>
      <c r="I285" s="691" t="s">
        <v>669</v>
      </c>
      <c r="J285" s="266">
        <v>500</v>
      </c>
      <c r="K285" s="24">
        <v>300</v>
      </c>
      <c r="L285" s="24">
        <f>M285-K285</f>
        <v>0</v>
      </c>
      <c r="M285" s="24">
        <v>300</v>
      </c>
    </row>
    <row r="286" spans="1:13" ht="114.6" customHeight="1" x14ac:dyDescent="0.35">
      <c r="A286" s="11"/>
      <c r="B286" s="496" t="s">
        <v>753</v>
      </c>
      <c r="C286" s="23" t="s">
        <v>1</v>
      </c>
      <c r="D286" s="10" t="s">
        <v>88</v>
      </c>
      <c r="E286" s="10" t="s">
        <v>63</v>
      </c>
      <c r="F286" s="689" t="s">
        <v>667</v>
      </c>
      <c r="G286" s="690" t="s">
        <v>89</v>
      </c>
      <c r="H286" s="690" t="s">
        <v>580</v>
      </c>
      <c r="I286" s="691" t="s">
        <v>44</v>
      </c>
      <c r="J286" s="266"/>
      <c r="K286" s="24">
        <f t="shared" ref="K286:M287" si="48">K287</f>
        <v>1480</v>
      </c>
      <c r="L286" s="24">
        <f t="shared" si="48"/>
        <v>0</v>
      </c>
      <c r="M286" s="24">
        <f t="shared" si="48"/>
        <v>1480</v>
      </c>
    </row>
    <row r="287" spans="1:13" ht="18" customHeight="1" x14ac:dyDescent="0.35">
      <c r="A287" s="11"/>
      <c r="B287" s="641" t="s">
        <v>670</v>
      </c>
      <c r="C287" s="23" t="s">
        <v>1</v>
      </c>
      <c r="D287" s="10" t="s">
        <v>88</v>
      </c>
      <c r="E287" s="10" t="s">
        <v>63</v>
      </c>
      <c r="F287" s="689" t="s">
        <v>667</v>
      </c>
      <c r="G287" s="690" t="s">
        <v>89</v>
      </c>
      <c r="H287" s="690" t="s">
        <v>580</v>
      </c>
      <c r="I287" s="691" t="s">
        <v>669</v>
      </c>
      <c r="J287" s="266"/>
      <c r="K287" s="24">
        <f t="shared" si="48"/>
        <v>1480</v>
      </c>
      <c r="L287" s="24">
        <f t="shared" si="48"/>
        <v>0</v>
      </c>
      <c r="M287" s="24">
        <f t="shared" si="48"/>
        <v>1480</v>
      </c>
    </row>
    <row r="288" spans="1:13" ht="18" customHeight="1" x14ac:dyDescent="0.35">
      <c r="A288" s="11"/>
      <c r="B288" s="496" t="s">
        <v>123</v>
      </c>
      <c r="C288" s="23" t="s">
        <v>1</v>
      </c>
      <c r="D288" s="10" t="s">
        <v>88</v>
      </c>
      <c r="E288" s="10" t="s">
        <v>63</v>
      </c>
      <c r="F288" s="689" t="s">
        <v>667</v>
      </c>
      <c r="G288" s="690" t="s">
        <v>89</v>
      </c>
      <c r="H288" s="690" t="s">
        <v>580</v>
      </c>
      <c r="I288" s="691" t="s">
        <v>669</v>
      </c>
      <c r="J288" s="266">
        <v>500</v>
      </c>
      <c r="K288" s="24">
        <v>1480</v>
      </c>
      <c r="L288" s="24">
        <f>M288-K288</f>
        <v>0</v>
      </c>
      <c r="M288" s="24">
        <v>1480</v>
      </c>
    </row>
    <row r="289" spans="1:13" ht="36" x14ac:dyDescent="0.35">
      <c r="A289" s="11"/>
      <c r="B289" s="496" t="s">
        <v>443</v>
      </c>
      <c r="C289" s="23" t="s">
        <v>1</v>
      </c>
      <c r="D289" s="10" t="s">
        <v>88</v>
      </c>
      <c r="E289" s="10" t="s">
        <v>63</v>
      </c>
      <c r="F289" s="689" t="s">
        <v>68</v>
      </c>
      <c r="G289" s="690" t="s">
        <v>42</v>
      </c>
      <c r="H289" s="690" t="s">
        <v>43</v>
      </c>
      <c r="I289" s="691" t="s">
        <v>44</v>
      </c>
      <c r="J289" s="266"/>
      <c r="K289" s="24">
        <f t="shared" ref="K289:M291" si="49">K290</f>
        <v>21761.599999999999</v>
      </c>
      <c r="L289" s="24">
        <f t="shared" si="49"/>
        <v>0</v>
      </c>
      <c r="M289" s="24">
        <f t="shared" si="49"/>
        <v>21761.599999999999</v>
      </c>
    </row>
    <row r="290" spans="1:13" ht="18" customHeight="1" x14ac:dyDescent="0.35">
      <c r="A290" s="11"/>
      <c r="B290" s="496" t="s">
        <v>444</v>
      </c>
      <c r="C290" s="23" t="s">
        <v>1</v>
      </c>
      <c r="D290" s="10" t="s">
        <v>88</v>
      </c>
      <c r="E290" s="10" t="s">
        <v>63</v>
      </c>
      <c r="F290" s="689" t="s">
        <v>68</v>
      </c>
      <c r="G290" s="690" t="s">
        <v>45</v>
      </c>
      <c r="H290" s="690" t="s">
        <v>43</v>
      </c>
      <c r="I290" s="691" t="s">
        <v>44</v>
      </c>
      <c r="J290" s="266"/>
      <c r="K290" s="24">
        <f t="shared" si="49"/>
        <v>21761.599999999999</v>
      </c>
      <c r="L290" s="24">
        <f t="shared" si="49"/>
        <v>0</v>
      </c>
      <c r="M290" s="24">
        <f t="shared" si="49"/>
        <v>21761.599999999999</v>
      </c>
    </row>
    <row r="291" spans="1:13" ht="36" x14ac:dyDescent="0.35">
      <c r="A291" s="11"/>
      <c r="B291" s="496" t="s">
        <v>695</v>
      </c>
      <c r="C291" s="23" t="s">
        <v>1</v>
      </c>
      <c r="D291" s="10" t="s">
        <v>88</v>
      </c>
      <c r="E291" s="10" t="s">
        <v>63</v>
      </c>
      <c r="F291" s="689" t="s">
        <v>68</v>
      </c>
      <c r="G291" s="690" t="s">
        <v>45</v>
      </c>
      <c r="H291" s="690" t="s">
        <v>43</v>
      </c>
      <c r="I291" s="691" t="s">
        <v>696</v>
      </c>
      <c r="J291" s="266"/>
      <c r="K291" s="24">
        <f t="shared" si="49"/>
        <v>21761.599999999999</v>
      </c>
      <c r="L291" s="24">
        <f t="shared" si="49"/>
        <v>0</v>
      </c>
      <c r="M291" s="24">
        <f t="shared" si="49"/>
        <v>21761.599999999999</v>
      </c>
    </row>
    <row r="292" spans="1:13" ht="18" customHeight="1" x14ac:dyDescent="0.35">
      <c r="A292" s="11"/>
      <c r="B292" s="496" t="s">
        <v>123</v>
      </c>
      <c r="C292" s="23" t="s">
        <v>1</v>
      </c>
      <c r="D292" s="10" t="s">
        <v>88</v>
      </c>
      <c r="E292" s="10" t="s">
        <v>63</v>
      </c>
      <c r="F292" s="689" t="s">
        <v>68</v>
      </c>
      <c r="G292" s="690" t="s">
        <v>45</v>
      </c>
      <c r="H292" s="690" t="s">
        <v>43</v>
      </c>
      <c r="I292" s="691" t="s">
        <v>696</v>
      </c>
      <c r="J292" s="266">
        <v>500</v>
      </c>
      <c r="K292" s="24">
        <f>11161.2+10600.4</f>
        <v>21761.599999999999</v>
      </c>
      <c r="L292" s="24">
        <f>M292-K292</f>
        <v>0</v>
      </c>
      <c r="M292" s="24">
        <f>11161.2+10600.4</f>
        <v>21761.599999999999</v>
      </c>
    </row>
    <row r="293" spans="1:13" ht="18" customHeight="1" x14ac:dyDescent="0.35">
      <c r="A293" s="11"/>
      <c r="B293" s="496"/>
      <c r="C293" s="23"/>
      <c r="D293" s="10"/>
      <c r="E293" s="10"/>
      <c r="F293" s="689"/>
      <c r="G293" s="690"/>
      <c r="H293" s="690"/>
      <c r="I293" s="691"/>
      <c r="J293" s="266"/>
      <c r="K293" s="24"/>
      <c r="L293" s="24"/>
      <c r="M293" s="24"/>
    </row>
    <row r="294" spans="1:13" ht="52.2" customHeight="1" x14ac:dyDescent="0.3">
      <c r="A294" s="110">
        <v>2</v>
      </c>
      <c r="B294" s="543" t="s">
        <v>2</v>
      </c>
      <c r="C294" s="18" t="s">
        <v>301</v>
      </c>
      <c r="D294" s="19"/>
      <c r="E294" s="19"/>
      <c r="F294" s="20"/>
      <c r="G294" s="21"/>
      <c r="H294" s="21"/>
      <c r="I294" s="22"/>
      <c r="J294" s="19"/>
      <c r="K294" s="32" t="e">
        <f>K295+K326+K319</f>
        <v>#REF!</v>
      </c>
      <c r="L294" s="32">
        <f>L295+L326+L319</f>
        <v>6.8212102632969618E-13</v>
      </c>
      <c r="M294" s="32">
        <f>M295+M326+M319</f>
        <v>53072.7</v>
      </c>
    </row>
    <row r="295" spans="1:13" s="115" customFormat="1" ht="18" customHeight="1" x14ac:dyDescent="0.35">
      <c r="A295" s="11"/>
      <c r="B295" s="496" t="s">
        <v>36</v>
      </c>
      <c r="C295" s="23" t="s">
        <v>301</v>
      </c>
      <c r="D295" s="10" t="s">
        <v>37</v>
      </c>
      <c r="E295" s="10"/>
      <c r="F295" s="689"/>
      <c r="G295" s="690"/>
      <c r="H295" s="690"/>
      <c r="I295" s="691"/>
      <c r="J295" s="10"/>
      <c r="K295" s="24" t="e">
        <f>K296+K307</f>
        <v>#REF!</v>
      </c>
      <c r="L295" s="24">
        <f>L296+L307</f>
        <v>6.8212102632969618E-13</v>
      </c>
      <c r="M295" s="24">
        <f>M296+M307</f>
        <v>34577.699999999997</v>
      </c>
    </row>
    <row r="296" spans="1:13" s="116" customFormat="1" ht="72" customHeight="1" x14ac:dyDescent="0.35">
      <c r="A296" s="11"/>
      <c r="B296" s="496" t="s">
        <v>129</v>
      </c>
      <c r="C296" s="23" t="s">
        <v>301</v>
      </c>
      <c r="D296" s="10" t="s">
        <v>37</v>
      </c>
      <c r="E296" s="10" t="s">
        <v>81</v>
      </c>
      <c r="F296" s="689"/>
      <c r="G296" s="690"/>
      <c r="H296" s="690"/>
      <c r="I296" s="691"/>
      <c r="J296" s="10"/>
      <c r="K296" s="24" t="e">
        <f t="shared" ref="K296:M297" si="50">K297</f>
        <v>#REF!</v>
      </c>
      <c r="L296" s="24">
        <f t="shared" si="50"/>
        <v>6.8212102632969618E-13</v>
      </c>
      <c r="M296" s="24">
        <f t="shared" si="50"/>
        <v>31173.399999999998</v>
      </c>
    </row>
    <row r="297" spans="1:13" s="111" customFormat="1" ht="54" customHeight="1" x14ac:dyDescent="0.35">
      <c r="A297" s="11"/>
      <c r="B297" s="496" t="s">
        <v>223</v>
      </c>
      <c r="C297" s="23" t="s">
        <v>301</v>
      </c>
      <c r="D297" s="10" t="s">
        <v>37</v>
      </c>
      <c r="E297" s="10" t="s">
        <v>81</v>
      </c>
      <c r="F297" s="689" t="s">
        <v>224</v>
      </c>
      <c r="G297" s="690" t="s">
        <v>42</v>
      </c>
      <c r="H297" s="690" t="s">
        <v>43</v>
      </c>
      <c r="I297" s="691" t="s">
        <v>44</v>
      </c>
      <c r="J297" s="10"/>
      <c r="K297" s="24" t="e">
        <f t="shared" si="50"/>
        <v>#REF!</v>
      </c>
      <c r="L297" s="24">
        <f t="shared" si="50"/>
        <v>6.8212102632969618E-13</v>
      </c>
      <c r="M297" s="24">
        <f t="shared" si="50"/>
        <v>31173.399999999998</v>
      </c>
    </row>
    <row r="298" spans="1:13" s="111" customFormat="1" ht="36" customHeight="1" x14ac:dyDescent="0.35">
      <c r="A298" s="11"/>
      <c r="B298" s="496" t="s">
        <v>337</v>
      </c>
      <c r="C298" s="23" t="s">
        <v>301</v>
      </c>
      <c r="D298" s="10" t="s">
        <v>37</v>
      </c>
      <c r="E298" s="10" t="s">
        <v>81</v>
      </c>
      <c r="F298" s="25" t="s">
        <v>224</v>
      </c>
      <c r="G298" s="26" t="s">
        <v>45</v>
      </c>
      <c r="H298" s="690" t="s">
        <v>43</v>
      </c>
      <c r="I298" s="691" t="s">
        <v>44</v>
      </c>
      <c r="J298" s="10"/>
      <c r="K298" s="24" t="e">
        <f>K299+K304</f>
        <v>#REF!</v>
      </c>
      <c r="L298" s="24">
        <f>L299+L304</f>
        <v>6.8212102632969618E-13</v>
      </c>
      <c r="M298" s="24">
        <f>M299+M304</f>
        <v>31173.399999999998</v>
      </c>
    </row>
    <row r="299" spans="1:13" s="111" customFormat="1" ht="54" customHeight="1" x14ac:dyDescent="0.35">
      <c r="A299" s="11"/>
      <c r="B299" s="496" t="s">
        <v>302</v>
      </c>
      <c r="C299" s="23" t="s">
        <v>301</v>
      </c>
      <c r="D299" s="10" t="s">
        <v>37</v>
      </c>
      <c r="E299" s="10" t="s">
        <v>81</v>
      </c>
      <c r="F299" s="25" t="s">
        <v>224</v>
      </c>
      <c r="G299" s="26" t="s">
        <v>45</v>
      </c>
      <c r="H299" s="690" t="s">
        <v>37</v>
      </c>
      <c r="I299" s="691" t="s">
        <v>44</v>
      </c>
      <c r="J299" s="10"/>
      <c r="K299" s="24" t="e">
        <f>K300+#REF!</f>
        <v>#REF!</v>
      </c>
      <c r="L299" s="24">
        <f>L300</f>
        <v>6.8212102632969618E-13</v>
      </c>
      <c r="M299" s="24">
        <f>M300</f>
        <v>30447.199999999997</v>
      </c>
    </row>
    <row r="300" spans="1:13" s="111" customFormat="1" ht="36" customHeight="1" x14ac:dyDescent="0.35">
      <c r="A300" s="11"/>
      <c r="B300" s="496" t="s">
        <v>47</v>
      </c>
      <c r="C300" s="23" t="s">
        <v>301</v>
      </c>
      <c r="D300" s="10" t="s">
        <v>37</v>
      </c>
      <c r="E300" s="10" t="s">
        <v>81</v>
      </c>
      <c r="F300" s="25" t="s">
        <v>224</v>
      </c>
      <c r="G300" s="26" t="s">
        <v>45</v>
      </c>
      <c r="H300" s="690" t="s">
        <v>37</v>
      </c>
      <c r="I300" s="691" t="s">
        <v>48</v>
      </c>
      <c r="J300" s="10"/>
      <c r="K300" s="24">
        <f>SUM(K301:K303)</f>
        <v>30447.199999999997</v>
      </c>
      <c r="L300" s="24">
        <f>SUM(L301:L303)</f>
        <v>6.8212102632969618E-13</v>
      </c>
      <c r="M300" s="24">
        <f>SUM(M301:M303)</f>
        <v>30447.199999999997</v>
      </c>
    </row>
    <row r="301" spans="1:13" s="111" customFormat="1" ht="108" customHeight="1" x14ac:dyDescent="0.35">
      <c r="A301" s="11"/>
      <c r="B301" s="496" t="s">
        <v>49</v>
      </c>
      <c r="C301" s="23" t="s">
        <v>301</v>
      </c>
      <c r="D301" s="10" t="s">
        <v>37</v>
      </c>
      <c r="E301" s="10" t="s">
        <v>81</v>
      </c>
      <c r="F301" s="25" t="s">
        <v>224</v>
      </c>
      <c r="G301" s="26" t="s">
        <v>45</v>
      </c>
      <c r="H301" s="690" t="s">
        <v>37</v>
      </c>
      <c r="I301" s="691" t="s">
        <v>48</v>
      </c>
      <c r="J301" s="10" t="s">
        <v>50</v>
      </c>
      <c r="K301" s="24">
        <f>29637.3-280.5+280.5-40.4</f>
        <v>29596.899999999998</v>
      </c>
      <c r="L301" s="24">
        <f>M301-K301</f>
        <v>-61.049999999999272</v>
      </c>
      <c r="M301" s="24">
        <f>29637.3-280.5+280.5-40.4-61.05</f>
        <v>29535.85</v>
      </c>
    </row>
    <row r="302" spans="1:13" s="111" customFormat="1" ht="54" customHeight="1" x14ac:dyDescent="0.35">
      <c r="A302" s="11"/>
      <c r="B302" s="496" t="s">
        <v>55</v>
      </c>
      <c r="C302" s="23" t="s">
        <v>301</v>
      </c>
      <c r="D302" s="10" t="s">
        <v>37</v>
      </c>
      <c r="E302" s="10" t="s">
        <v>81</v>
      </c>
      <c r="F302" s="25" t="s">
        <v>224</v>
      </c>
      <c r="G302" s="26" t="s">
        <v>45</v>
      </c>
      <c r="H302" s="690" t="s">
        <v>37</v>
      </c>
      <c r="I302" s="691" t="s">
        <v>48</v>
      </c>
      <c r="J302" s="10" t="s">
        <v>56</v>
      </c>
      <c r="K302" s="24">
        <f>714.5+40.4+88+2.8</f>
        <v>845.69999999999993</v>
      </c>
      <c r="L302" s="24">
        <f>M302-K302</f>
        <v>61.049999999999955</v>
      </c>
      <c r="M302" s="24">
        <f>714.5+40.4+88+2.8+61.05</f>
        <v>906.74999999999989</v>
      </c>
    </row>
    <row r="303" spans="1:13" s="116" customFormat="1" ht="18" customHeight="1" x14ac:dyDescent="0.35">
      <c r="A303" s="11"/>
      <c r="B303" s="496" t="s">
        <v>57</v>
      </c>
      <c r="C303" s="23" t="s">
        <v>301</v>
      </c>
      <c r="D303" s="10" t="s">
        <v>37</v>
      </c>
      <c r="E303" s="10" t="s">
        <v>81</v>
      </c>
      <c r="F303" s="25" t="s">
        <v>224</v>
      </c>
      <c r="G303" s="26" t="s">
        <v>45</v>
      </c>
      <c r="H303" s="690" t="s">
        <v>37</v>
      </c>
      <c r="I303" s="691" t="s">
        <v>48</v>
      </c>
      <c r="J303" s="10" t="s">
        <v>58</v>
      </c>
      <c r="K303" s="24">
        <v>4.5999999999999996</v>
      </c>
      <c r="L303" s="24">
        <f>M303-K303</f>
        <v>0</v>
      </c>
      <c r="M303" s="24">
        <v>4.5999999999999996</v>
      </c>
    </row>
    <row r="304" spans="1:13" s="116" customFormat="1" ht="54" customHeight="1" x14ac:dyDescent="0.35">
      <c r="A304" s="11"/>
      <c r="B304" s="579" t="s">
        <v>646</v>
      </c>
      <c r="C304" s="23" t="s">
        <v>301</v>
      </c>
      <c r="D304" s="10" t="s">
        <v>37</v>
      </c>
      <c r="E304" s="10" t="s">
        <v>81</v>
      </c>
      <c r="F304" s="25" t="s">
        <v>224</v>
      </c>
      <c r="G304" s="26" t="s">
        <v>45</v>
      </c>
      <c r="H304" s="690" t="s">
        <v>52</v>
      </c>
      <c r="I304" s="691" t="s">
        <v>44</v>
      </c>
      <c r="J304" s="10"/>
      <c r="K304" s="24">
        <f t="shared" ref="K304:M305" si="51">K305</f>
        <v>726.2</v>
      </c>
      <c r="L304" s="24">
        <f t="shared" si="51"/>
        <v>0</v>
      </c>
      <c r="M304" s="24">
        <f t="shared" si="51"/>
        <v>726.2</v>
      </c>
    </row>
    <row r="305" spans="1:13" s="116" customFormat="1" ht="36" customHeight="1" x14ac:dyDescent="0.35">
      <c r="A305" s="11"/>
      <c r="B305" s="579" t="s">
        <v>645</v>
      </c>
      <c r="C305" s="23" t="s">
        <v>301</v>
      </c>
      <c r="D305" s="10" t="s">
        <v>37</v>
      </c>
      <c r="E305" s="10" t="s">
        <v>81</v>
      </c>
      <c r="F305" s="25" t="s">
        <v>224</v>
      </c>
      <c r="G305" s="26" t="s">
        <v>45</v>
      </c>
      <c r="H305" s="690" t="s">
        <v>52</v>
      </c>
      <c r="I305" s="691" t="s">
        <v>647</v>
      </c>
      <c r="J305" s="10"/>
      <c r="K305" s="24">
        <f t="shared" si="51"/>
        <v>726.2</v>
      </c>
      <c r="L305" s="24">
        <f t="shared" si="51"/>
        <v>0</v>
      </c>
      <c r="M305" s="24">
        <f t="shared" si="51"/>
        <v>726.2</v>
      </c>
    </row>
    <row r="306" spans="1:13" s="116" customFormat="1" ht="108" customHeight="1" x14ac:dyDescent="0.35">
      <c r="A306" s="11"/>
      <c r="B306" s="579" t="s">
        <v>49</v>
      </c>
      <c r="C306" s="23" t="s">
        <v>301</v>
      </c>
      <c r="D306" s="10" t="s">
        <v>37</v>
      </c>
      <c r="E306" s="10" t="s">
        <v>81</v>
      </c>
      <c r="F306" s="25" t="s">
        <v>224</v>
      </c>
      <c r="G306" s="26" t="s">
        <v>45</v>
      </c>
      <c r="H306" s="690" t="s">
        <v>52</v>
      </c>
      <c r="I306" s="691" t="s">
        <v>647</v>
      </c>
      <c r="J306" s="10" t="s">
        <v>50</v>
      </c>
      <c r="K306" s="24">
        <f>280.5+445.7</f>
        <v>726.2</v>
      </c>
      <c r="L306" s="24">
        <f>M306-K306</f>
        <v>0</v>
      </c>
      <c r="M306" s="24">
        <f>280.5+445.7</f>
        <v>726.2</v>
      </c>
    </row>
    <row r="307" spans="1:13" s="111" customFormat="1" ht="18" customHeight="1" x14ac:dyDescent="0.35">
      <c r="A307" s="11"/>
      <c r="B307" s="496" t="s">
        <v>70</v>
      </c>
      <c r="C307" s="23" t="s">
        <v>301</v>
      </c>
      <c r="D307" s="10" t="s">
        <v>37</v>
      </c>
      <c r="E307" s="10" t="s">
        <v>71</v>
      </c>
      <c r="F307" s="25"/>
      <c r="G307" s="26"/>
      <c r="H307" s="690"/>
      <c r="I307" s="691"/>
      <c r="J307" s="10"/>
      <c r="K307" s="24">
        <f t="shared" ref="K307:M314" si="52">K308</f>
        <v>3404.3</v>
      </c>
      <c r="L307" s="24">
        <f t="shared" si="52"/>
        <v>0</v>
      </c>
      <c r="M307" s="24">
        <f t="shared" si="52"/>
        <v>3404.3</v>
      </c>
    </row>
    <row r="308" spans="1:13" s="111" customFormat="1" ht="54" customHeight="1" x14ac:dyDescent="0.35">
      <c r="A308" s="11"/>
      <c r="B308" s="496" t="s">
        <v>223</v>
      </c>
      <c r="C308" s="23" t="s">
        <v>301</v>
      </c>
      <c r="D308" s="10" t="s">
        <v>37</v>
      </c>
      <c r="E308" s="10" t="s">
        <v>71</v>
      </c>
      <c r="F308" s="25" t="s">
        <v>224</v>
      </c>
      <c r="G308" s="26" t="s">
        <v>42</v>
      </c>
      <c r="H308" s="690" t="s">
        <v>43</v>
      </c>
      <c r="I308" s="691" t="s">
        <v>44</v>
      </c>
      <c r="J308" s="10"/>
      <c r="K308" s="24">
        <f t="shared" si="52"/>
        <v>3404.3</v>
      </c>
      <c r="L308" s="24">
        <f t="shared" si="52"/>
        <v>0</v>
      </c>
      <c r="M308" s="24">
        <f t="shared" si="52"/>
        <v>3404.3</v>
      </c>
    </row>
    <row r="309" spans="1:13" s="7" customFormat="1" ht="36" customHeight="1" x14ac:dyDescent="0.35">
      <c r="A309" s="11"/>
      <c r="B309" s="496" t="s">
        <v>337</v>
      </c>
      <c r="C309" s="23" t="s">
        <v>301</v>
      </c>
      <c r="D309" s="10" t="s">
        <v>37</v>
      </c>
      <c r="E309" s="10" t="s">
        <v>71</v>
      </c>
      <c r="F309" s="25" t="s">
        <v>224</v>
      </c>
      <c r="G309" s="26" t="s">
        <v>45</v>
      </c>
      <c r="H309" s="690" t="s">
        <v>43</v>
      </c>
      <c r="I309" s="691" t="s">
        <v>44</v>
      </c>
      <c r="J309" s="10"/>
      <c r="K309" s="24">
        <f>K310+K313+K316</f>
        <v>3404.3</v>
      </c>
      <c r="L309" s="24">
        <f>L310+L313+L316</f>
        <v>0</v>
      </c>
      <c r="M309" s="24">
        <f>M310+M313+M316</f>
        <v>3404.3</v>
      </c>
    </row>
    <row r="310" spans="1:13" s="7" customFormat="1" ht="54" x14ac:dyDescent="0.35">
      <c r="A310" s="11"/>
      <c r="B310" s="496" t="s">
        <v>302</v>
      </c>
      <c r="C310" s="23" t="s">
        <v>301</v>
      </c>
      <c r="D310" s="10" t="s">
        <v>37</v>
      </c>
      <c r="E310" s="10" t="s">
        <v>71</v>
      </c>
      <c r="F310" s="25" t="s">
        <v>224</v>
      </c>
      <c r="G310" s="26" t="s">
        <v>45</v>
      </c>
      <c r="H310" s="690" t="s">
        <v>37</v>
      </c>
      <c r="I310" s="691" t="s">
        <v>44</v>
      </c>
      <c r="J310" s="10"/>
      <c r="K310" s="24">
        <f t="shared" ref="K310:M311" si="53">K311</f>
        <v>256</v>
      </c>
      <c r="L310" s="24">
        <f t="shared" si="53"/>
        <v>0</v>
      </c>
      <c r="M310" s="24">
        <f t="shared" si="53"/>
        <v>256</v>
      </c>
    </row>
    <row r="311" spans="1:13" s="7" customFormat="1" ht="54" x14ac:dyDescent="0.35">
      <c r="A311" s="11"/>
      <c r="B311" s="496" t="s">
        <v>378</v>
      </c>
      <c r="C311" s="23" t="s">
        <v>301</v>
      </c>
      <c r="D311" s="10" t="s">
        <v>37</v>
      </c>
      <c r="E311" s="10" t="s">
        <v>71</v>
      </c>
      <c r="F311" s="25" t="s">
        <v>224</v>
      </c>
      <c r="G311" s="26" t="s">
        <v>45</v>
      </c>
      <c r="H311" s="690" t="s">
        <v>37</v>
      </c>
      <c r="I311" s="691" t="s">
        <v>377</v>
      </c>
      <c r="J311" s="10"/>
      <c r="K311" s="24">
        <f t="shared" si="53"/>
        <v>256</v>
      </c>
      <c r="L311" s="24">
        <f t="shared" si="53"/>
        <v>0</v>
      </c>
      <c r="M311" s="24">
        <f t="shared" si="53"/>
        <v>256</v>
      </c>
    </row>
    <row r="312" spans="1:13" s="7" customFormat="1" ht="36" customHeight="1" x14ac:dyDescent="0.35">
      <c r="A312" s="11"/>
      <c r="B312" s="496" t="s">
        <v>55</v>
      </c>
      <c r="C312" s="23" t="s">
        <v>301</v>
      </c>
      <c r="D312" s="10" t="s">
        <v>37</v>
      </c>
      <c r="E312" s="10" t="s">
        <v>71</v>
      </c>
      <c r="F312" s="25" t="s">
        <v>224</v>
      </c>
      <c r="G312" s="26" t="s">
        <v>45</v>
      </c>
      <c r="H312" s="690" t="s">
        <v>37</v>
      </c>
      <c r="I312" s="691" t="s">
        <v>377</v>
      </c>
      <c r="J312" s="10" t="s">
        <v>56</v>
      </c>
      <c r="K312" s="24">
        <v>256</v>
      </c>
      <c r="L312" s="24">
        <f>M312-K312</f>
        <v>0</v>
      </c>
      <c r="M312" s="24">
        <v>256</v>
      </c>
    </row>
    <row r="313" spans="1:13" s="111" customFormat="1" ht="36" customHeight="1" x14ac:dyDescent="0.35">
      <c r="A313" s="11"/>
      <c r="B313" s="496" t="s">
        <v>349</v>
      </c>
      <c r="C313" s="23" t="s">
        <v>301</v>
      </c>
      <c r="D313" s="10" t="s">
        <v>37</v>
      </c>
      <c r="E313" s="10" t="s">
        <v>71</v>
      </c>
      <c r="F313" s="25" t="s">
        <v>224</v>
      </c>
      <c r="G313" s="26" t="s">
        <v>45</v>
      </c>
      <c r="H313" s="690" t="s">
        <v>63</v>
      </c>
      <c r="I313" s="691" t="s">
        <v>44</v>
      </c>
      <c r="J313" s="10"/>
      <c r="K313" s="24">
        <f>K314</f>
        <v>3133.9</v>
      </c>
      <c r="L313" s="24">
        <f>L314</f>
        <v>0</v>
      </c>
      <c r="M313" s="24">
        <f>M314</f>
        <v>3133.9</v>
      </c>
    </row>
    <row r="314" spans="1:13" s="116" customFormat="1" ht="54" customHeight="1" x14ac:dyDescent="0.35">
      <c r="A314" s="11"/>
      <c r="B314" s="496" t="s">
        <v>350</v>
      </c>
      <c r="C314" s="23" t="s">
        <v>301</v>
      </c>
      <c r="D314" s="10" t="s">
        <v>37</v>
      </c>
      <c r="E314" s="10" t="s">
        <v>71</v>
      </c>
      <c r="F314" s="25" t="s">
        <v>224</v>
      </c>
      <c r="G314" s="26" t="s">
        <v>45</v>
      </c>
      <c r="H314" s="690" t="s">
        <v>63</v>
      </c>
      <c r="I314" s="691" t="s">
        <v>105</v>
      </c>
      <c r="J314" s="10"/>
      <c r="K314" s="24">
        <f t="shared" si="52"/>
        <v>3133.9</v>
      </c>
      <c r="L314" s="24">
        <f t="shared" si="52"/>
        <v>0</v>
      </c>
      <c r="M314" s="24">
        <f t="shared" si="52"/>
        <v>3133.9</v>
      </c>
    </row>
    <row r="315" spans="1:13" s="116" customFormat="1" ht="54" customHeight="1" x14ac:dyDescent="0.35">
      <c r="A315" s="11"/>
      <c r="B315" s="496" t="s">
        <v>55</v>
      </c>
      <c r="C315" s="23" t="s">
        <v>301</v>
      </c>
      <c r="D315" s="10" t="s">
        <v>37</v>
      </c>
      <c r="E315" s="10" t="s">
        <v>71</v>
      </c>
      <c r="F315" s="25" t="s">
        <v>224</v>
      </c>
      <c r="G315" s="26" t="s">
        <v>45</v>
      </c>
      <c r="H315" s="690" t="s">
        <v>63</v>
      </c>
      <c r="I315" s="691" t="s">
        <v>105</v>
      </c>
      <c r="J315" s="10" t="s">
        <v>56</v>
      </c>
      <c r="K315" s="24">
        <f>3427.9-256-38</f>
        <v>3133.9</v>
      </c>
      <c r="L315" s="24">
        <f>M315-K315</f>
        <v>0</v>
      </c>
      <c r="M315" s="24">
        <f>3427.9-256-38</f>
        <v>3133.9</v>
      </c>
    </row>
    <row r="316" spans="1:13" s="116" customFormat="1" ht="36" customHeight="1" x14ac:dyDescent="0.35">
      <c r="A316" s="11"/>
      <c r="B316" s="496" t="s">
        <v>465</v>
      </c>
      <c r="C316" s="23" t="s">
        <v>301</v>
      </c>
      <c r="D316" s="10" t="s">
        <v>37</v>
      </c>
      <c r="E316" s="10" t="s">
        <v>71</v>
      </c>
      <c r="F316" s="25" t="s">
        <v>224</v>
      </c>
      <c r="G316" s="26" t="s">
        <v>45</v>
      </c>
      <c r="H316" s="690" t="s">
        <v>65</v>
      </c>
      <c r="I316" s="691" t="s">
        <v>44</v>
      </c>
      <c r="J316" s="10"/>
      <c r="K316" s="24">
        <f t="shared" ref="K316:M317" si="54">K317</f>
        <v>14.399999999999999</v>
      </c>
      <c r="L316" s="24">
        <f t="shared" si="54"/>
        <v>0</v>
      </c>
      <c r="M316" s="24">
        <f t="shared" si="54"/>
        <v>14.399999999999999</v>
      </c>
    </row>
    <row r="317" spans="1:13" s="116" customFormat="1" ht="18" customHeight="1" x14ac:dyDescent="0.35">
      <c r="A317" s="11"/>
      <c r="B317" s="496" t="s">
        <v>463</v>
      </c>
      <c r="C317" s="23" t="s">
        <v>301</v>
      </c>
      <c r="D317" s="10" t="s">
        <v>37</v>
      </c>
      <c r="E317" s="10" t="s">
        <v>71</v>
      </c>
      <c r="F317" s="25" t="s">
        <v>224</v>
      </c>
      <c r="G317" s="26" t="s">
        <v>45</v>
      </c>
      <c r="H317" s="690" t="s">
        <v>65</v>
      </c>
      <c r="I317" s="691" t="s">
        <v>464</v>
      </c>
      <c r="J317" s="10"/>
      <c r="K317" s="24">
        <f t="shared" si="54"/>
        <v>14.399999999999999</v>
      </c>
      <c r="L317" s="24">
        <f t="shared" si="54"/>
        <v>0</v>
      </c>
      <c r="M317" s="24">
        <f t="shared" si="54"/>
        <v>14.399999999999999</v>
      </c>
    </row>
    <row r="318" spans="1:13" s="116" customFormat="1" ht="54" customHeight="1" x14ac:dyDescent="0.35">
      <c r="A318" s="11"/>
      <c r="B318" s="496" t="s">
        <v>55</v>
      </c>
      <c r="C318" s="23" t="s">
        <v>301</v>
      </c>
      <c r="D318" s="10" t="s">
        <v>37</v>
      </c>
      <c r="E318" s="10" t="s">
        <v>71</v>
      </c>
      <c r="F318" s="25" t="s">
        <v>224</v>
      </c>
      <c r="G318" s="26" t="s">
        <v>45</v>
      </c>
      <c r="H318" s="690" t="s">
        <v>65</v>
      </c>
      <c r="I318" s="691" t="s">
        <v>464</v>
      </c>
      <c r="J318" s="10" t="s">
        <v>56</v>
      </c>
      <c r="K318" s="24">
        <f>17.2-2.8</f>
        <v>14.399999999999999</v>
      </c>
      <c r="L318" s="24">
        <f>M318-K318</f>
        <v>0</v>
      </c>
      <c r="M318" s="24">
        <f>17.2-2.8</f>
        <v>14.399999999999999</v>
      </c>
    </row>
    <row r="319" spans="1:13" s="116" customFormat="1" ht="18" customHeight="1" x14ac:dyDescent="0.35">
      <c r="A319" s="11"/>
      <c r="B319" s="496" t="s">
        <v>179</v>
      </c>
      <c r="C319" s="23" t="s">
        <v>301</v>
      </c>
      <c r="D319" s="10" t="s">
        <v>224</v>
      </c>
      <c r="E319" s="10"/>
      <c r="F319" s="25"/>
      <c r="G319" s="26"/>
      <c r="H319" s="690"/>
      <c r="I319" s="691"/>
      <c r="J319" s="10"/>
      <c r="K319" s="24">
        <f t="shared" ref="K319:M324" si="55">K320</f>
        <v>65.599999999999994</v>
      </c>
      <c r="L319" s="24">
        <f t="shared" si="55"/>
        <v>0</v>
      </c>
      <c r="M319" s="24">
        <f t="shared" si="55"/>
        <v>65.599999999999994</v>
      </c>
    </row>
    <row r="320" spans="1:13" s="116" customFormat="1" ht="36" customHeight="1" x14ac:dyDescent="0.35">
      <c r="A320" s="11"/>
      <c r="B320" s="496" t="s">
        <v>527</v>
      </c>
      <c r="C320" s="23" t="s">
        <v>301</v>
      </c>
      <c r="D320" s="10" t="s">
        <v>224</v>
      </c>
      <c r="E320" s="10" t="s">
        <v>65</v>
      </c>
      <c r="F320" s="25"/>
      <c r="G320" s="26"/>
      <c r="H320" s="690"/>
      <c r="I320" s="691"/>
      <c r="J320" s="10"/>
      <c r="K320" s="24">
        <f t="shared" si="55"/>
        <v>65.599999999999994</v>
      </c>
      <c r="L320" s="24">
        <f t="shared" si="55"/>
        <v>0</v>
      </c>
      <c r="M320" s="24">
        <f t="shared" si="55"/>
        <v>65.599999999999994</v>
      </c>
    </row>
    <row r="321" spans="1:13" s="116" customFormat="1" ht="54" customHeight="1" x14ac:dyDescent="0.35">
      <c r="A321" s="11"/>
      <c r="B321" s="496" t="s">
        <v>223</v>
      </c>
      <c r="C321" s="23" t="s">
        <v>301</v>
      </c>
      <c r="D321" s="10" t="s">
        <v>224</v>
      </c>
      <c r="E321" s="10" t="s">
        <v>65</v>
      </c>
      <c r="F321" s="25" t="s">
        <v>224</v>
      </c>
      <c r="G321" s="26" t="s">
        <v>42</v>
      </c>
      <c r="H321" s="690" t="s">
        <v>43</v>
      </c>
      <c r="I321" s="691" t="s">
        <v>44</v>
      </c>
      <c r="J321" s="10"/>
      <c r="K321" s="24">
        <f t="shared" si="55"/>
        <v>65.599999999999994</v>
      </c>
      <c r="L321" s="24">
        <f t="shared" si="55"/>
        <v>0</v>
      </c>
      <c r="M321" s="24">
        <f t="shared" si="55"/>
        <v>65.599999999999994</v>
      </c>
    </row>
    <row r="322" spans="1:13" s="116" customFormat="1" ht="36" customHeight="1" x14ac:dyDescent="0.35">
      <c r="A322" s="11"/>
      <c r="B322" s="496" t="s">
        <v>337</v>
      </c>
      <c r="C322" s="23" t="s">
        <v>301</v>
      </c>
      <c r="D322" s="10" t="s">
        <v>224</v>
      </c>
      <c r="E322" s="10" t="s">
        <v>65</v>
      </c>
      <c r="F322" s="25" t="s">
        <v>224</v>
      </c>
      <c r="G322" s="26" t="s">
        <v>45</v>
      </c>
      <c r="H322" s="690" t="s">
        <v>43</v>
      </c>
      <c r="I322" s="691" t="s">
        <v>44</v>
      </c>
      <c r="J322" s="10"/>
      <c r="K322" s="24">
        <f t="shared" si="55"/>
        <v>65.599999999999994</v>
      </c>
      <c r="L322" s="24">
        <f t="shared" si="55"/>
        <v>0</v>
      </c>
      <c r="M322" s="24">
        <f t="shared" si="55"/>
        <v>65.599999999999994</v>
      </c>
    </row>
    <row r="323" spans="1:13" s="116" customFormat="1" ht="54" customHeight="1" x14ac:dyDescent="0.35">
      <c r="A323" s="11"/>
      <c r="B323" s="496" t="s">
        <v>302</v>
      </c>
      <c r="C323" s="23" t="s">
        <v>301</v>
      </c>
      <c r="D323" s="10" t="s">
        <v>224</v>
      </c>
      <c r="E323" s="10" t="s">
        <v>65</v>
      </c>
      <c r="F323" s="25" t="s">
        <v>224</v>
      </c>
      <c r="G323" s="26" t="s">
        <v>45</v>
      </c>
      <c r="H323" s="690" t="s">
        <v>37</v>
      </c>
      <c r="I323" s="691" t="s">
        <v>44</v>
      </c>
      <c r="J323" s="10"/>
      <c r="K323" s="24">
        <f t="shared" si="55"/>
        <v>65.599999999999994</v>
      </c>
      <c r="L323" s="24">
        <f t="shared" si="55"/>
        <v>0</v>
      </c>
      <c r="M323" s="24">
        <f t="shared" si="55"/>
        <v>65.599999999999994</v>
      </c>
    </row>
    <row r="324" spans="1:13" s="116" customFormat="1" ht="36" customHeight="1" x14ac:dyDescent="0.35">
      <c r="A324" s="11"/>
      <c r="B324" s="496" t="s">
        <v>529</v>
      </c>
      <c r="C324" s="23" t="s">
        <v>301</v>
      </c>
      <c r="D324" s="10" t="s">
        <v>224</v>
      </c>
      <c r="E324" s="10" t="s">
        <v>65</v>
      </c>
      <c r="F324" s="25" t="s">
        <v>224</v>
      </c>
      <c r="G324" s="26" t="s">
        <v>45</v>
      </c>
      <c r="H324" s="690" t="s">
        <v>37</v>
      </c>
      <c r="I324" s="691" t="s">
        <v>528</v>
      </c>
      <c r="J324" s="10"/>
      <c r="K324" s="24">
        <f t="shared" si="55"/>
        <v>65.599999999999994</v>
      </c>
      <c r="L324" s="24">
        <f t="shared" si="55"/>
        <v>0</v>
      </c>
      <c r="M324" s="24">
        <f t="shared" si="55"/>
        <v>65.599999999999994</v>
      </c>
    </row>
    <row r="325" spans="1:13" s="116" customFormat="1" ht="54" customHeight="1" x14ac:dyDescent="0.35">
      <c r="A325" s="11"/>
      <c r="B325" s="496" t="s">
        <v>55</v>
      </c>
      <c r="C325" s="23" t="s">
        <v>301</v>
      </c>
      <c r="D325" s="10" t="s">
        <v>224</v>
      </c>
      <c r="E325" s="10" t="s">
        <v>65</v>
      </c>
      <c r="F325" s="25" t="s">
        <v>224</v>
      </c>
      <c r="G325" s="26" t="s">
        <v>45</v>
      </c>
      <c r="H325" s="690" t="s">
        <v>37</v>
      </c>
      <c r="I325" s="691" t="s">
        <v>528</v>
      </c>
      <c r="J325" s="10" t="s">
        <v>56</v>
      </c>
      <c r="K325" s="24">
        <f>115.6-50</f>
        <v>65.599999999999994</v>
      </c>
      <c r="L325" s="24">
        <f>M325-K325</f>
        <v>0</v>
      </c>
      <c r="M325" s="24">
        <f>115.6-50</f>
        <v>65.599999999999994</v>
      </c>
    </row>
    <row r="326" spans="1:13" s="116" customFormat="1" ht="54" customHeight="1" x14ac:dyDescent="0.35">
      <c r="A326" s="11"/>
      <c r="B326" s="496" t="s">
        <v>200</v>
      </c>
      <c r="C326" s="23" t="s">
        <v>301</v>
      </c>
      <c r="D326" s="10" t="s">
        <v>88</v>
      </c>
      <c r="E326" s="10"/>
      <c r="F326" s="25"/>
      <c r="G326" s="26"/>
      <c r="H326" s="690"/>
      <c r="I326" s="691"/>
      <c r="J326" s="10"/>
      <c r="K326" s="24">
        <f>K327+K333</f>
        <v>18429.400000000001</v>
      </c>
      <c r="L326" s="24">
        <f>L327+L333</f>
        <v>0</v>
      </c>
      <c r="M326" s="24">
        <f>M327+M333</f>
        <v>18429.400000000001</v>
      </c>
    </row>
    <row r="327" spans="1:13" s="116" customFormat="1" ht="54" customHeight="1" x14ac:dyDescent="0.35">
      <c r="A327" s="11"/>
      <c r="B327" s="546" t="s">
        <v>201</v>
      </c>
      <c r="C327" s="23" t="s">
        <v>301</v>
      </c>
      <c r="D327" s="10" t="s">
        <v>88</v>
      </c>
      <c r="E327" s="10" t="s">
        <v>37</v>
      </c>
      <c r="F327" s="25"/>
      <c r="G327" s="26"/>
      <c r="H327" s="690"/>
      <c r="I327" s="691"/>
      <c r="J327" s="10"/>
      <c r="K327" s="24">
        <f t="shared" ref="K327:M329" si="56">K328</f>
        <v>7500</v>
      </c>
      <c r="L327" s="24">
        <f t="shared" si="56"/>
        <v>0</v>
      </c>
      <c r="M327" s="24">
        <f t="shared" si="56"/>
        <v>7500</v>
      </c>
    </row>
    <row r="328" spans="1:13" s="116" customFormat="1" ht="54" customHeight="1" x14ac:dyDescent="0.35">
      <c r="A328" s="11"/>
      <c r="B328" s="496" t="s">
        <v>223</v>
      </c>
      <c r="C328" s="23" t="s">
        <v>301</v>
      </c>
      <c r="D328" s="10" t="s">
        <v>88</v>
      </c>
      <c r="E328" s="10" t="s">
        <v>37</v>
      </c>
      <c r="F328" s="25" t="s">
        <v>224</v>
      </c>
      <c r="G328" s="26" t="s">
        <v>42</v>
      </c>
      <c r="H328" s="690" t="s">
        <v>43</v>
      </c>
      <c r="I328" s="691" t="s">
        <v>44</v>
      </c>
      <c r="J328" s="10"/>
      <c r="K328" s="24">
        <f t="shared" si="56"/>
        <v>7500</v>
      </c>
      <c r="L328" s="24">
        <f t="shared" si="56"/>
        <v>0</v>
      </c>
      <c r="M328" s="24">
        <f t="shared" si="56"/>
        <v>7500</v>
      </c>
    </row>
    <row r="329" spans="1:13" s="116" customFormat="1" ht="36" customHeight="1" x14ac:dyDescent="0.35">
      <c r="A329" s="11"/>
      <c r="B329" s="496" t="s">
        <v>337</v>
      </c>
      <c r="C329" s="23" t="s">
        <v>301</v>
      </c>
      <c r="D329" s="10" t="s">
        <v>88</v>
      </c>
      <c r="E329" s="10" t="s">
        <v>37</v>
      </c>
      <c r="F329" s="25" t="s">
        <v>224</v>
      </c>
      <c r="G329" s="26" t="s">
        <v>45</v>
      </c>
      <c r="H329" s="690" t="s">
        <v>43</v>
      </c>
      <c r="I329" s="691" t="s">
        <v>44</v>
      </c>
      <c r="J329" s="10"/>
      <c r="K329" s="24">
        <f t="shared" si="56"/>
        <v>7500</v>
      </c>
      <c r="L329" s="24">
        <f t="shared" si="56"/>
        <v>0</v>
      </c>
      <c r="M329" s="24">
        <f t="shared" si="56"/>
        <v>7500</v>
      </c>
    </row>
    <row r="330" spans="1:13" s="116" customFormat="1" ht="36" customHeight="1" x14ac:dyDescent="0.35">
      <c r="A330" s="11"/>
      <c r="B330" s="496" t="s">
        <v>303</v>
      </c>
      <c r="C330" s="23" t="s">
        <v>301</v>
      </c>
      <c r="D330" s="10" t="s">
        <v>88</v>
      </c>
      <c r="E330" s="10" t="s">
        <v>37</v>
      </c>
      <c r="F330" s="25" t="s">
        <v>224</v>
      </c>
      <c r="G330" s="26" t="s">
        <v>45</v>
      </c>
      <c r="H330" s="690" t="s">
        <v>39</v>
      </c>
      <c r="I330" s="691" t="s">
        <v>44</v>
      </c>
      <c r="J330" s="10"/>
      <c r="K330" s="24">
        <f>K331</f>
        <v>7500</v>
      </c>
      <c r="L330" s="24">
        <f>L331</f>
        <v>0</v>
      </c>
      <c r="M330" s="24">
        <f>M331</f>
        <v>7500</v>
      </c>
    </row>
    <row r="331" spans="1:13" s="116" customFormat="1" ht="36" customHeight="1" x14ac:dyDescent="0.35">
      <c r="A331" s="11"/>
      <c r="B331" s="496" t="s">
        <v>257</v>
      </c>
      <c r="C331" s="23" t="s">
        <v>301</v>
      </c>
      <c r="D331" s="10" t="s">
        <v>88</v>
      </c>
      <c r="E331" s="10" t="s">
        <v>37</v>
      </c>
      <c r="F331" s="25" t="s">
        <v>224</v>
      </c>
      <c r="G331" s="26" t="s">
        <v>45</v>
      </c>
      <c r="H331" s="690" t="s">
        <v>39</v>
      </c>
      <c r="I331" s="691" t="s">
        <v>404</v>
      </c>
      <c r="J331" s="10"/>
      <c r="K331" s="24">
        <f t="shared" ref="K331:M331" si="57">K332</f>
        <v>7500</v>
      </c>
      <c r="L331" s="24">
        <f t="shared" si="57"/>
        <v>0</v>
      </c>
      <c r="M331" s="24">
        <f t="shared" si="57"/>
        <v>7500</v>
      </c>
    </row>
    <row r="332" spans="1:13" s="116" customFormat="1" ht="18" customHeight="1" x14ac:dyDescent="0.35">
      <c r="A332" s="11"/>
      <c r="B332" s="496" t="s">
        <v>123</v>
      </c>
      <c r="C332" s="23" t="s">
        <v>301</v>
      </c>
      <c r="D332" s="10" t="s">
        <v>88</v>
      </c>
      <c r="E332" s="10" t="s">
        <v>37</v>
      </c>
      <c r="F332" s="25" t="s">
        <v>224</v>
      </c>
      <c r="G332" s="26" t="s">
        <v>45</v>
      </c>
      <c r="H332" s="690" t="s">
        <v>39</v>
      </c>
      <c r="I332" s="691" t="s">
        <v>404</v>
      </c>
      <c r="J332" s="10" t="s">
        <v>124</v>
      </c>
      <c r="K332" s="24">
        <v>7500</v>
      </c>
      <c r="L332" s="24">
        <f>M332-K332</f>
        <v>0</v>
      </c>
      <c r="M332" s="24">
        <v>7500</v>
      </c>
    </row>
    <row r="333" spans="1:13" s="116" customFormat="1" ht="36" x14ac:dyDescent="0.35">
      <c r="A333" s="11"/>
      <c r="B333" s="579" t="s">
        <v>665</v>
      </c>
      <c r="C333" s="23" t="s">
        <v>301</v>
      </c>
      <c r="D333" s="10" t="s">
        <v>88</v>
      </c>
      <c r="E333" s="10" t="s">
        <v>63</v>
      </c>
      <c r="F333" s="25"/>
      <c r="G333" s="26"/>
      <c r="H333" s="690"/>
      <c r="I333" s="691"/>
      <c r="J333" s="10"/>
      <c r="K333" s="24">
        <f t="shared" ref="K333:M337" si="58">K334</f>
        <v>10929.4</v>
      </c>
      <c r="L333" s="24">
        <f t="shared" si="58"/>
        <v>0</v>
      </c>
      <c r="M333" s="24">
        <f t="shared" si="58"/>
        <v>10929.4</v>
      </c>
    </row>
    <row r="334" spans="1:13" s="116" customFormat="1" ht="54" x14ac:dyDescent="0.35">
      <c r="A334" s="11"/>
      <c r="B334" s="579" t="s">
        <v>223</v>
      </c>
      <c r="C334" s="23" t="s">
        <v>301</v>
      </c>
      <c r="D334" s="10" t="s">
        <v>88</v>
      </c>
      <c r="E334" s="10" t="s">
        <v>63</v>
      </c>
      <c r="F334" s="25" t="s">
        <v>224</v>
      </c>
      <c r="G334" s="26" t="s">
        <v>42</v>
      </c>
      <c r="H334" s="690" t="s">
        <v>43</v>
      </c>
      <c r="I334" s="691" t="s">
        <v>44</v>
      </c>
      <c r="J334" s="10"/>
      <c r="K334" s="24">
        <f t="shared" si="58"/>
        <v>10929.4</v>
      </c>
      <c r="L334" s="24">
        <f t="shared" si="58"/>
        <v>0</v>
      </c>
      <c r="M334" s="24">
        <f t="shared" si="58"/>
        <v>10929.4</v>
      </c>
    </row>
    <row r="335" spans="1:13" s="116" customFormat="1" ht="36" x14ac:dyDescent="0.35">
      <c r="A335" s="11"/>
      <c r="B335" s="579" t="s">
        <v>337</v>
      </c>
      <c r="C335" s="23" t="s">
        <v>301</v>
      </c>
      <c r="D335" s="10" t="s">
        <v>88</v>
      </c>
      <c r="E335" s="10" t="s">
        <v>63</v>
      </c>
      <c r="F335" s="25" t="s">
        <v>224</v>
      </c>
      <c r="G335" s="26" t="s">
        <v>45</v>
      </c>
      <c r="H335" s="690" t="s">
        <v>43</v>
      </c>
      <c r="I335" s="691" t="s">
        <v>44</v>
      </c>
      <c r="J335" s="10"/>
      <c r="K335" s="24">
        <f t="shared" si="58"/>
        <v>10929.4</v>
      </c>
      <c r="L335" s="24">
        <f t="shared" si="58"/>
        <v>0</v>
      </c>
      <c r="M335" s="24">
        <f t="shared" si="58"/>
        <v>10929.4</v>
      </c>
    </row>
    <row r="336" spans="1:13" s="116" customFormat="1" ht="36" x14ac:dyDescent="0.35">
      <c r="A336" s="11"/>
      <c r="B336" s="579" t="s">
        <v>303</v>
      </c>
      <c r="C336" s="23" t="s">
        <v>301</v>
      </c>
      <c r="D336" s="10" t="s">
        <v>88</v>
      </c>
      <c r="E336" s="10" t="s">
        <v>63</v>
      </c>
      <c r="F336" s="25" t="s">
        <v>224</v>
      </c>
      <c r="G336" s="26" t="s">
        <v>45</v>
      </c>
      <c r="H336" s="690" t="s">
        <v>39</v>
      </c>
      <c r="I336" s="691" t="s">
        <v>44</v>
      </c>
      <c r="J336" s="10"/>
      <c r="K336" s="24">
        <f t="shared" si="58"/>
        <v>10929.4</v>
      </c>
      <c r="L336" s="24">
        <f t="shared" si="58"/>
        <v>0</v>
      </c>
      <c r="M336" s="24">
        <f t="shared" si="58"/>
        <v>10929.4</v>
      </c>
    </row>
    <row r="337" spans="1:13" s="116" customFormat="1" ht="54" x14ac:dyDescent="0.35">
      <c r="A337" s="11"/>
      <c r="B337" s="579" t="s">
        <v>733</v>
      </c>
      <c r="C337" s="23" t="s">
        <v>301</v>
      </c>
      <c r="D337" s="10" t="s">
        <v>88</v>
      </c>
      <c r="E337" s="10" t="s">
        <v>63</v>
      </c>
      <c r="F337" s="25" t="s">
        <v>224</v>
      </c>
      <c r="G337" s="26" t="s">
        <v>45</v>
      </c>
      <c r="H337" s="690" t="s">
        <v>39</v>
      </c>
      <c r="I337" s="691" t="s">
        <v>734</v>
      </c>
      <c r="J337" s="10"/>
      <c r="K337" s="24">
        <f t="shared" si="58"/>
        <v>10929.4</v>
      </c>
      <c r="L337" s="24">
        <f t="shared" si="58"/>
        <v>0</v>
      </c>
      <c r="M337" s="24">
        <f t="shared" si="58"/>
        <v>10929.4</v>
      </c>
    </row>
    <row r="338" spans="1:13" s="116" customFormat="1" ht="18" x14ac:dyDescent="0.35">
      <c r="A338" s="11"/>
      <c r="B338" s="579" t="s">
        <v>123</v>
      </c>
      <c r="C338" s="23" t="s">
        <v>301</v>
      </c>
      <c r="D338" s="10" t="s">
        <v>88</v>
      </c>
      <c r="E338" s="10" t="s">
        <v>63</v>
      </c>
      <c r="F338" s="25" t="s">
        <v>224</v>
      </c>
      <c r="G338" s="26" t="s">
        <v>45</v>
      </c>
      <c r="H338" s="690" t="s">
        <v>39</v>
      </c>
      <c r="I338" s="691" t="s">
        <v>734</v>
      </c>
      <c r="J338" s="10" t="s">
        <v>124</v>
      </c>
      <c r="K338" s="24">
        <f>7500+3429.4</f>
        <v>10929.4</v>
      </c>
      <c r="L338" s="24">
        <f>M338-K338</f>
        <v>0</v>
      </c>
      <c r="M338" s="24">
        <f>7500+3429.4</f>
        <v>10929.4</v>
      </c>
    </row>
    <row r="339" spans="1:13" s="116" customFormat="1" ht="18" customHeight="1" x14ac:dyDescent="0.35">
      <c r="A339" s="11"/>
      <c r="B339" s="496"/>
      <c r="C339" s="23"/>
      <c r="D339" s="10"/>
      <c r="E339" s="10"/>
      <c r="F339" s="25"/>
      <c r="G339" s="26"/>
      <c r="H339" s="690"/>
      <c r="I339" s="691"/>
      <c r="J339" s="10"/>
      <c r="K339" s="24"/>
      <c r="L339" s="24"/>
      <c r="M339" s="24"/>
    </row>
    <row r="340" spans="1:13" s="117" customFormat="1" ht="52.2" customHeight="1" x14ac:dyDescent="0.3">
      <c r="A340" s="110">
        <v>3</v>
      </c>
      <c r="B340" s="543" t="s">
        <v>35</v>
      </c>
      <c r="C340" s="18" t="s">
        <v>128</v>
      </c>
      <c r="D340" s="19"/>
      <c r="E340" s="19"/>
      <c r="F340" s="20"/>
      <c r="G340" s="21"/>
      <c r="H340" s="21"/>
      <c r="I340" s="22"/>
      <c r="J340" s="19"/>
      <c r="K340" s="32">
        <f>K341+K351</f>
        <v>6829.7999999999984</v>
      </c>
      <c r="L340" s="32">
        <f>L341+L351</f>
        <v>0</v>
      </c>
      <c r="M340" s="32">
        <f>M341+M351</f>
        <v>6829.7999999999984</v>
      </c>
    </row>
    <row r="341" spans="1:13" s="117" customFormat="1" ht="18" customHeight="1" x14ac:dyDescent="0.35">
      <c r="A341" s="11"/>
      <c r="B341" s="496" t="s">
        <v>36</v>
      </c>
      <c r="C341" s="23" t="s">
        <v>128</v>
      </c>
      <c r="D341" s="10" t="s">
        <v>37</v>
      </c>
      <c r="E341" s="10"/>
      <c r="F341" s="689"/>
      <c r="G341" s="690"/>
      <c r="H341" s="690"/>
      <c r="I341" s="691"/>
      <c r="J341" s="10"/>
      <c r="K341" s="24">
        <f t="shared" ref="K341:M343" si="59">K342</f>
        <v>6789.9069999999983</v>
      </c>
      <c r="L341" s="24">
        <f t="shared" si="59"/>
        <v>0</v>
      </c>
      <c r="M341" s="24">
        <f t="shared" si="59"/>
        <v>6789.9069999999983</v>
      </c>
    </row>
    <row r="342" spans="1:13" s="117" customFormat="1" ht="72" customHeight="1" x14ac:dyDescent="0.35">
      <c r="A342" s="11"/>
      <c r="B342" s="496" t="s">
        <v>129</v>
      </c>
      <c r="C342" s="23" t="s">
        <v>128</v>
      </c>
      <c r="D342" s="10" t="s">
        <v>37</v>
      </c>
      <c r="E342" s="10" t="s">
        <v>81</v>
      </c>
      <c r="F342" s="689"/>
      <c r="G342" s="690"/>
      <c r="H342" s="690"/>
      <c r="I342" s="691"/>
      <c r="J342" s="10"/>
      <c r="K342" s="24">
        <f t="shared" si="59"/>
        <v>6789.9069999999983</v>
      </c>
      <c r="L342" s="24">
        <f t="shared" si="59"/>
        <v>0</v>
      </c>
      <c r="M342" s="24">
        <f t="shared" si="59"/>
        <v>6789.9069999999983</v>
      </c>
    </row>
    <row r="343" spans="1:13" s="117" customFormat="1" ht="36" customHeight="1" x14ac:dyDescent="0.35">
      <c r="A343" s="11"/>
      <c r="B343" s="529" t="s">
        <v>130</v>
      </c>
      <c r="C343" s="23" t="s">
        <v>128</v>
      </c>
      <c r="D343" s="10" t="s">
        <v>37</v>
      </c>
      <c r="E343" s="10" t="s">
        <v>81</v>
      </c>
      <c r="F343" s="689" t="s">
        <v>131</v>
      </c>
      <c r="G343" s="690" t="s">
        <v>42</v>
      </c>
      <c r="H343" s="690" t="s">
        <v>43</v>
      </c>
      <c r="I343" s="691" t="s">
        <v>44</v>
      </c>
      <c r="J343" s="10"/>
      <c r="K343" s="24">
        <f t="shared" si="59"/>
        <v>6789.9069999999983</v>
      </c>
      <c r="L343" s="24">
        <f t="shared" si="59"/>
        <v>0</v>
      </c>
      <c r="M343" s="24">
        <f t="shared" si="59"/>
        <v>6789.9069999999983</v>
      </c>
    </row>
    <row r="344" spans="1:13" s="117" customFormat="1" ht="36" customHeight="1" x14ac:dyDescent="0.35">
      <c r="A344" s="11"/>
      <c r="B344" s="529" t="s">
        <v>132</v>
      </c>
      <c r="C344" s="23" t="s">
        <v>128</v>
      </c>
      <c r="D344" s="10" t="s">
        <v>37</v>
      </c>
      <c r="E344" s="10" t="s">
        <v>81</v>
      </c>
      <c r="F344" s="689" t="s">
        <v>131</v>
      </c>
      <c r="G344" s="690" t="s">
        <v>45</v>
      </c>
      <c r="H344" s="690" t="s">
        <v>43</v>
      </c>
      <c r="I344" s="691" t="s">
        <v>44</v>
      </c>
      <c r="J344" s="10"/>
      <c r="K344" s="24">
        <f>K345+K349</f>
        <v>6789.9069999999983</v>
      </c>
      <c r="L344" s="24">
        <f>L345+L349</f>
        <v>0</v>
      </c>
      <c r="M344" s="24">
        <f>M345+M349</f>
        <v>6789.9069999999983</v>
      </c>
    </row>
    <row r="345" spans="1:13" s="117" customFormat="1" ht="36" customHeight="1" x14ac:dyDescent="0.35">
      <c r="A345" s="11"/>
      <c r="B345" s="496" t="s">
        <v>47</v>
      </c>
      <c r="C345" s="23" t="s">
        <v>128</v>
      </c>
      <c r="D345" s="10" t="s">
        <v>37</v>
      </c>
      <c r="E345" s="10" t="s">
        <v>81</v>
      </c>
      <c r="F345" s="689" t="s">
        <v>131</v>
      </c>
      <c r="G345" s="690" t="s">
        <v>45</v>
      </c>
      <c r="H345" s="690" t="s">
        <v>43</v>
      </c>
      <c r="I345" s="691" t="s">
        <v>48</v>
      </c>
      <c r="J345" s="10"/>
      <c r="K345" s="24">
        <f>K346+K347+K348</f>
        <v>5667.7069999999985</v>
      </c>
      <c r="L345" s="24">
        <f>L346+L347+L348</f>
        <v>0</v>
      </c>
      <c r="M345" s="24">
        <f>M346+M347+M348</f>
        <v>5667.7069999999985</v>
      </c>
    </row>
    <row r="346" spans="1:13" s="117" customFormat="1" ht="108" customHeight="1" x14ac:dyDescent="0.35">
      <c r="A346" s="11"/>
      <c r="B346" s="529" t="s">
        <v>49</v>
      </c>
      <c r="C346" s="23" t="s">
        <v>128</v>
      </c>
      <c r="D346" s="10" t="s">
        <v>37</v>
      </c>
      <c r="E346" s="10" t="s">
        <v>81</v>
      </c>
      <c r="F346" s="689" t="s">
        <v>131</v>
      </c>
      <c r="G346" s="690" t="s">
        <v>45</v>
      </c>
      <c r="H346" s="690" t="s">
        <v>43</v>
      </c>
      <c r="I346" s="691" t="s">
        <v>48</v>
      </c>
      <c r="J346" s="10" t="s">
        <v>50</v>
      </c>
      <c r="K346" s="24">
        <f>5210.1+20.5+36.4+27.7+8.007+15.4477-15.372</f>
        <v>5302.7826999999988</v>
      </c>
      <c r="L346" s="24">
        <f>M346-K346</f>
        <v>0</v>
      </c>
      <c r="M346" s="24">
        <f>5210.1+20.5+36.4+27.7+8.007+15.4477-15.372</f>
        <v>5302.7826999999988</v>
      </c>
    </row>
    <row r="347" spans="1:13" s="117" customFormat="1" ht="54" customHeight="1" x14ac:dyDescent="0.35">
      <c r="A347" s="11"/>
      <c r="B347" s="496" t="s">
        <v>55</v>
      </c>
      <c r="C347" s="23" t="s">
        <v>128</v>
      </c>
      <c r="D347" s="10" t="s">
        <v>37</v>
      </c>
      <c r="E347" s="10" t="s">
        <v>81</v>
      </c>
      <c r="F347" s="689" t="s">
        <v>131</v>
      </c>
      <c r="G347" s="690" t="s">
        <v>45</v>
      </c>
      <c r="H347" s="690" t="s">
        <v>43</v>
      </c>
      <c r="I347" s="691" t="s">
        <v>48</v>
      </c>
      <c r="J347" s="10" t="s">
        <v>56</v>
      </c>
      <c r="K347" s="24">
        <f>379.9+6.6-29.5-36.4+25.4-15.4477+15.372</f>
        <v>345.92430000000002</v>
      </c>
      <c r="L347" s="24">
        <f>M347-K347</f>
        <v>0</v>
      </c>
      <c r="M347" s="24">
        <f>379.9+6.6-29.5-36.4+25.4-15.4477+15.372</f>
        <v>345.92430000000002</v>
      </c>
    </row>
    <row r="348" spans="1:13" s="117" customFormat="1" ht="18" customHeight="1" x14ac:dyDescent="0.35">
      <c r="A348" s="11"/>
      <c r="B348" s="496" t="s">
        <v>57</v>
      </c>
      <c r="C348" s="23" t="s">
        <v>128</v>
      </c>
      <c r="D348" s="10" t="s">
        <v>37</v>
      </c>
      <c r="E348" s="10" t="s">
        <v>81</v>
      </c>
      <c r="F348" s="689" t="s">
        <v>131</v>
      </c>
      <c r="G348" s="690" t="s">
        <v>45</v>
      </c>
      <c r="H348" s="690" t="s">
        <v>43</v>
      </c>
      <c r="I348" s="691" t="s">
        <v>48</v>
      </c>
      <c r="J348" s="10" t="s">
        <v>58</v>
      </c>
      <c r="K348" s="24">
        <f>10+9</f>
        <v>19</v>
      </c>
      <c r="L348" s="24">
        <f>M348-K348</f>
        <v>0</v>
      </c>
      <c r="M348" s="24">
        <f>10+9</f>
        <v>19</v>
      </c>
    </row>
    <row r="349" spans="1:13" s="117" customFormat="1" ht="36" customHeight="1" x14ac:dyDescent="0.35">
      <c r="A349" s="11"/>
      <c r="B349" s="496" t="s">
        <v>236</v>
      </c>
      <c r="C349" s="23" t="s">
        <v>128</v>
      </c>
      <c r="D349" s="10" t="s">
        <v>37</v>
      </c>
      <c r="E349" s="10" t="s">
        <v>81</v>
      </c>
      <c r="F349" s="689" t="s">
        <v>131</v>
      </c>
      <c r="G349" s="690" t="s">
        <v>45</v>
      </c>
      <c r="H349" s="690" t="s">
        <v>43</v>
      </c>
      <c r="I349" s="691" t="s">
        <v>133</v>
      </c>
      <c r="J349" s="10"/>
      <c r="K349" s="24">
        <f>K350</f>
        <v>1122.2</v>
      </c>
      <c r="L349" s="24">
        <f>L350</f>
        <v>0</v>
      </c>
      <c r="M349" s="24">
        <f>M350</f>
        <v>1122.2</v>
      </c>
    </row>
    <row r="350" spans="1:13" s="117" customFormat="1" ht="108" customHeight="1" x14ac:dyDescent="0.35">
      <c r="A350" s="11"/>
      <c r="B350" s="496" t="s">
        <v>49</v>
      </c>
      <c r="C350" s="23" t="s">
        <v>128</v>
      </c>
      <c r="D350" s="10" t="s">
        <v>37</v>
      </c>
      <c r="E350" s="10" t="s">
        <v>81</v>
      </c>
      <c r="F350" s="689" t="s">
        <v>131</v>
      </c>
      <c r="G350" s="690" t="s">
        <v>45</v>
      </c>
      <c r="H350" s="690" t="s">
        <v>43</v>
      </c>
      <c r="I350" s="691" t="s">
        <v>133</v>
      </c>
      <c r="J350" s="10" t="s">
        <v>50</v>
      </c>
      <c r="K350" s="24">
        <v>1122.2</v>
      </c>
      <c r="L350" s="24">
        <f>M350-K350</f>
        <v>0</v>
      </c>
      <c r="M350" s="24">
        <v>1122.2</v>
      </c>
    </row>
    <row r="351" spans="1:13" s="117" customFormat="1" ht="18" customHeight="1" x14ac:dyDescent="0.35">
      <c r="A351" s="11"/>
      <c r="B351" s="496" t="s">
        <v>179</v>
      </c>
      <c r="C351" s="23" t="s">
        <v>128</v>
      </c>
      <c r="D351" s="10" t="s">
        <v>224</v>
      </c>
      <c r="E351" s="10"/>
      <c r="F351" s="689"/>
      <c r="G351" s="690"/>
      <c r="H351" s="690"/>
      <c r="I351" s="691"/>
      <c r="J351" s="10"/>
      <c r="K351" s="24">
        <f t="shared" ref="K351:M355" si="60">K352</f>
        <v>39.893000000000001</v>
      </c>
      <c r="L351" s="24">
        <f t="shared" si="60"/>
        <v>0</v>
      </c>
      <c r="M351" s="24">
        <f t="shared" si="60"/>
        <v>39.893000000000001</v>
      </c>
    </row>
    <row r="352" spans="1:13" s="117" customFormat="1" ht="36" customHeight="1" x14ac:dyDescent="0.35">
      <c r="A352" s="11"/>
      <c r="B352" s="493" t="s">
        <v>527</v>
      </c>
      <c r="C352" s="23" t="s">
        <v>128</v>
      </c>
      <c r="D352" s="10" t="s">
        <v>224</v>
      </c>
      <c r="E352" s="10" t="s">
        <v>65</v>
      </c>
      <c r="F352" s="689"/>
      <c r="G352" s="690"/>
      <c r="H352" s="690"/>
      <c r="I352" s="691"/>
      <c r="J352" s="10"/>
      <c r="K352" s="24">
        <f t="shared" si="60"/>
        <v>39.893000000000001</v>
      </c>
      <c r="L352" s="24">
        <f t="shared" si="60"/>
        <v>0</v>
      </c>
      <c r="M352" s="24">
        <f t="shared" si="60"/>
        <v>39.893000000000001</v>
      </c>
    </row>
    <row r="353" spans="1:13" s="117" customFormat="1" ht="36" customHeight="1" x14ac:dyDescent="0.35">
      <c r="A353" s="11"/>
      <c r="B353" s="529" t="s">
        <v>130</v>
      </c>
      <c r="C353" s="23" t="s">
        <v>128</v>
      </c>
      <c r="D353" s="10" t="s">
        <v>224</v>
      </c>
      <c r="E353" s="10" t="s">
        <v>65</v>
      </c>
      <c r="F353" s="689" t="s">
        <v>131</v>
      </c>
      <c r="G353" s="690" t="s">
        <v>42</v>
      </c>
      <c r="H353" s="690" t="s">
        <v>43</v>
      </c>
      <c r="I353" s="84" t="s">
        <v>44</v>
      </c>
      <c r="J353" s="10"/>
      <c r="K353" s="24">
        <f t="shared" si="60"/>
        <v>39.893000000000001</v>
      </c>
      <c r="L353" s="24">
        <f t="shared" si="60"/>
        <v>0</v>
      </c>
      <c r="M353" s="24">
        <f t="shared" si="60"/>
        <v>39.893000000000001</v>
      </c>
    </row>
    <row r="354" spans="1:13" s="117" customFormat="1" ht="36" customHeight="1" x14ac:dyDescent="0.35">
      <c r="A354" s="11"/>
      <c r="B354" s="529" t="s">
        <v>132</v>
      </c>
      <c r="C354" s="23" t="s">
        <v>128</v>
      </c>
      <c r="D354" s="10" t="s">
        <v>224</v>
      </c>
      <c r="E354" s="10" t="s">
        <v>65</v>
      </c>
      <c r="F354" s="689" t="s">
        <v>131</v>
      </c>
      <c r="G354" s="690" t="s">
        <v>45</v>
      </c>
      <c r="H354" s="690" t="s">
        <v>43</v>
      </c>
      <c r="I354" s="84" t="s">
        <v>44</v>
      </c>
      <c r="J354" s="10"/>
      <c r="K354" s="24">
        <f t="shared" si="60"/>
        <v>39.893000000000001</v>
      </c>
      <c r="L354" s="24">
        <f t="shared" si="60"/>
        <v>0</v>
      </c>
      <c r="M354" s="24">
        <f t="shared" si="60"/>
        <v>39.893000000000001</v>
      </c>
    </row>
    <row r="355" spans="1:13" s="117" customFormat="1" ht="36" customHeight="1" x14ac:dyDescent="0.35">
      <c r="A355" s="11"/>
      <c r="B355" s="493" t="s">
        <v>529</v>
      </c>
      <c r="C355" s="23" t="s">
        <v>128</v>
      </c>
      <c r="D355" s="10" t="s">
        <v>224</v>
      </c>
      <c r="E355" s="10" t="s">
        <v>65</v>
      </c>
      <c r="F355" s="689" t="s">
        <v>131</v>
      </c>
      <c r="G355" s="690" t="s">
        <v>45</v>
      </c>
      <c r="H355" s="690" t="s">
        <v>43</v>
      </c>
      <c r="I355" s="690" t="s">
        <v>528</v>
      </c>
      <c r="J355" s="10"/>
      <c r="K355" s="24">
        <f t="shared" si="60"/>
        <v>39.893000000000001</v>
      </c>
      <c r="L355" s="24">
        <f t="shared" si="60"/>
        <v>0</v>
      </c>
      <c r="M355" s="24">
        <f t="shared" si="60"/>
        <v>39.893000000000001</v>
      </c>
    </row>
    <row r="356" spans="1:13" s="117" customFormat="1" ht="54" customHeight="1" x14ac:dyDescent="0.35">
      <c r="A356" s="11"/>
      <c r="B356" s="493" t="s">
        <v>55</v>
      </c>
      <c r="C356" s="23" t="s">
        <v>128</v>
      </c>
      <c r="D356" s="10" t="s">
        <v>224</v>
      </c>
      <c r="E356" s="10" t="s">
        <v>65</v>
      </c>
      <c r="F356" s="689" t="s">
        <v>131</v>
      </c>
      <c r="G356" s="690" t="s">
        <v>45</v>
      </c>
      <c r="H356" s="690" t="s">
        <v>43</v>
      </c>
      <c r="I356" s="690" t="s">
        <v>528</v>
      </c>
      <c r="J356" s="482" t="s">
        <v>56</v>
      </c>
      <c r="K356" s="24">
        <f>47.9-8.007</f>
        <v>39.893000000000001</v>
      </c>
      <c r="L356" s="24">
        <f>M356-K356</f>
        <v>0</v>
      </c>
      <c r="M356" s="24">
        <f>47.9-8.007</f>
        <v>39.893000000000001</v>
      </c>
    </row>
    <row r="357" spans="1:13" s="131" customFormat="1" ht="18" customHeight="1" x14ac:dyDescent="0.35">
      <c r="A357" s="212"/>
      <c r="B357" s="549"/>
      <c r="C357" s="478"/>
      <c r="D357" s="211"/>
      <c r="E357" s="211"/>
      <c r="F357" s="269"/>
      <c r="G357" s="269"/>
      <c r="H357" s="269"/>
      <c r="I357" s="269"/>
      <c r="J357" s="481"/>
      <c r="K357" s="257"/>
      <c r="L357" s="257"/>
      <c r="M357" s="257"/>
    </row>
    <row r="358" spans="1:13" s="125" customFormat="1" ht="52.2" customHeight="1" x14ac:dyDescent="0.3">
      <c r="A358" s="476">
        <v>4</v>
      </c>
      <c r="B358" s="550" t="s">
        <v>6</v>
      </c>
      <c r="C358" s="477" t="s">
        <v>412</v>
      </c>
      <c r="D358" s="479"/>
      <c r="E358" s="479"/>
      <c r="F358" s="121"/>
      <c r="G358" s="122"/>
      <c r="H358" s="122"/>
      <c r="I358" s="123"/>
      <c r="J358" s="479"/>
      <c r="K358" s="480">
        <f>K359+K422+K431+K411+K454+K461</f>
        <v>397995.13306000002</v>
      </c>
      <c r="L358" s="480">
        <f>L359+L422+L431+L411+L454+L461</f>
        <v>-3833.0000000000055</v>
      </c>
      <c r="M358" s="480">
        <f>M359+M422+M431+M411+M454+M461</f>
        <v>394162.13306000002</v>
      </c>
    </row>
    <row r="359" spans="1:13" s="131" customFormat="1" ht="18" customHeight="1" x14ac:dyDescent="0.35">
      <c r="A359" s="126"/>
      <c r="B359" s="540" t="s">
        <v>36</v>
      </c>
      <c r="C359" s="127" t="s">
        <v>412</v>
      </c>
      <c r="D359" s="128" t="s">
        <v>37</v>
      </c>
      <c r="E359" s="85"/>
      <c r="F359" s="129"/>
      <c r="G359" s="83"/>
      <c r="H359" s="83"/>
      <c r="I359" s="84"/>
      <c r="J359" s="85"/>
      <c r="K359" s="130">
        <f>K360</f>
        <v>54896.077089999999</v>
      </c>
      <c r="L359" s="130">
        <f>L360</f>
        <v>83.500000000000156</v>
      </c>
      <c r="M359" s="130">
        <f>M360</f>
        <v>54979.577089999999</v>
      </c>
    </row>
    <row r="360" spans="1:13" s="125" customFormat="1" ht="18" customHeight="1" x14ac:dyDescent="0.35">
      <c r="A360" s="126"/>
      <c r="B360" s="540" t="s">
        <v>70</v>
      </c>
      <c r="C360" s="127" t="s">
        <v>412</v>
      </c>
      <c r="D360" s="128" t="s">
        <v>37</v>
      </c>
      <c r="E360" s="128" t="s">
        <v>71</v>
      </c>
      <c r="F360" s="129"/>
      <c r="G360" s="83"/>
      <c r="H360" s="83"/>
      <c r="I360" s="84"/>
      <c r="J360" s="85"/>
      <c r="K360" s="130">
        <f>K361+K400+K395+K406</f>
        <v>54896.077089999999</v>
      </c>
      <c r="L360" s="130">
        <f>L361+L400+L395+L406</f>
        <v>83.500000000000156</v>
      </c>
      <c r="M360" s="130">
        <f>M361+M400+M395+M406</f>
        <v>54979.577089999999</v>
      </c>
    </row>
    <row r="361" spans="1:13" s="131" customFormat="1" ht="54" customHeight="1" x14ac:dyDescent="0.35">
      <c r="A361" s="126"/>
      <c r="B361" s="540" t="s">
        <v>225</v>
      </c>
      <c r="C361" s="127" t="s">
        <v>412</v>
      </c>
      <c r="D361" s="128" t="s">
        <v>37</v>
      </c>
      <c r="E361" s="128" t="s">
        <v>71</v>
      </c>
      <c r="F361" s="93" t="s">
        <v>226</v>
      </c>
      <c r="G361" s="83" t="s">
        <v>42</v>
      </c>
      <c r="H361" s="83" t="s">
        <v>43</v>
      </c>
      <c r="I361" s="84" t="s">
        <v>44</v>
      </c>
      <c r="J361" s="85"/>
      <c r="K361" s="130">
        <f>K362+K369+K389</f>
        <v>47623.081059999997</v>
      </c>
      <c r="L361" s="130">
        <f>L362+L369+L389</f>
        <v>83.500000000000156</v>
      </c>
      <c r="M361" s="130">
        <f>M362+M369+M389</f>
        <v>47706.581059999997</v>
      </c>
    </row>
    <row r="362" spans="1:13" s="131" customFormat="1" ht="36" customHeight="1" x14ac:dyDescent="0.35">
      <c r="A362" s="126"/>
      <c r="B362" s="540" t="s">
        <v>227</v>
      </c>
      <c r="C362" s="127" t="s">
        <v>412</v>
      </c>
      <c r="D362" s="128" t="s">
        <v>37</v>
      </c>
      <c r="E362" s="128" t="s">
        <v>71</v>
      </c>
      <c r="F362" s="132" t="s">
        <v>226</v>
      </c>
      <c r="G362" s="133" t="s">
        <v>45</v>
      </c>
      <c r="H362" s="133" t="s">
        <v>43</v>
      </c>
      <c r="I362" s="134" t="s">
        <v>44</v>
      </c>
      <c r="J362" s="85"/>
      <c r="K362" s="130">
        <f>K363+K366</f>
        <v>2839.2649999999999</v>
      </c>
      <c r="L362" s="130">
        <f>L363+L366</f>
        <v>1.5779999999999745</v>
      </c>
      <c r="M362" s="130">
        <f>M363+M366</f>
        <v>2840.8429999999998</v>
      </c>
    </row>
    <row r="363" spans="1:13" s="131" customFormat="1" ht="90" customHeight="1" x14ac:dyDescent="0.35">
      <c r="A363" s="126"/>
      <c r="B363" s="540" t="s">
        <v>296</v>
      </c>
      <c r="C363" s="127" t="s">
        <v>412</v>
      </c>
      <c r="D363" s="128" t="s">
        <v>37</v>
      </c>
      <c r="E363" s="128" t="s">
        <v>71</v>
      </c>
      <c r="F363" s="82" t="s">
        <v>226</v>
      </c>
      <c r="G363" s="83" t="s">
        <v>45</v>
      </c>
      <c r="H363" s="83" t="s">
        <v>37</v>
      </c>
      <c r="I363" s="84" t="s">
        <v>44</v>
      </c>
      <c r="J363" s="85"/>
      <c r="K363" s="130">
        <f t="shared" ref="K363:M364" si="61">K364</f>
        <v>1021.1320000000001</v>
      </c>
      <c r="L363" s="130">
        <f t="shared" si="61"/>
        <v>0</v>
      </c>
      <c r="M363" s="130">
        <f t="shared" si="61"/>
        <v>1021.1320000000001</v>
      </c>
    </row>
    <row r="364" spans="1:13" s="131" customFormat="1" ht="54" customHeight="1" x14ac:dyDescent="0.35">
      <c r="A364" s="126"/>
      <c r="B364" s="540" t="s">
        <v>228</v>
      </c>
      <c r="C364" s="127" t="s">
        <v>412</v>
      </c>
      <c r="D364" s="128" t="s">
        <v>37</v>
      </c>
      <c r="E364" s="128" t="s">
        <v>71</v>
      </c>
      <c r="F364" s="82" t="s">
        <v>226</v>
      </c>
      <c r="G364" s="83" t="s">
        <v>45</v>
      </c>
      <c r="H364" s="83" t="s">
        <v>37</v>
      </c>
      <c r="I364" s="84" t="s">
        <v>297</v>
      </c>
      <c r="J364" s="85"/>
      <c r="K364" s="130">
        <f t="shared" si="61"/>
        <v>1021.1320000000001</v>
      </c>
      <c r="L364" s="130">
        <f t="shared" si="61"/>
        <v>0</v>
      </c>
      <c r="M364" s="130">
        <f t="shared" si="61"/>
        <v>1021.1320000000001</v>
      </c>
    </row>
    <row r="365" spans="1:13" s="125" customFormat="1" ht="54" customHeight="1" x14ac:dyDescent="0.35">
      <c r="A365" s="126"/>
      <c r="B365" s="551" t="s">
        <v>55</v>
      </c>
      <c r="C365" s="127" t="s">
        <v>412</v>
      </c>
      <c r="D365" s="128" t="s">
        <v>37</v>
      </c>
      <c r="E365" s="128" t="s">
        <v>71</v>
      </c>
      <c r="F365" s="82" t="s">
        <v>226</v>
      </c>
      <c r="G365" s="83" t="s">
        <v>45</v>
      </c>
      <c r="H365" s="83" t="s">
        <v>37</v>
      </c>
      <c r="I365" s="84" t="s">
        <v>297</v>
      </c>
      <c r="J365" s="85" t="s">
        <v>56</v>
      </c>
      <c r="K365" s="130">
        <f>798-33+33+223.132</f>
        <v>1021.1320000000001</v>
      </c>
      <c r="L365" s="24">
        <f>M365-K365</f>
        <v>0</v>
      </c>
      <c r="M365" s="130">
        <f>798-33+33+223.132</f>
        <v>1021.1320000000001</v>
      </c>
    </row>
    <row r="366" spans="1:13" s="125" customFormat="1" ht="36" customHeight="1" x14ac:dyDescent="0.35">
      <c r="A366" s="126"/>
      <c r="B366" s="551" t="s">
        <v>336</v>
      </c>
      <c r="C366" s="127" t="s">
        <v>412</v>
      </c>
      <c r="D366" s="128" t="s">
        <v>37</v>
      </c>
      <c r="E366" s="128" t="s">
        <v>71</v>
      </c>
      <c r="F366" s="82" t="s">
        <v>226</v>
      </c>
      <c r="G366" s="83" t="s">
        <v>45</v>
      </c>
      <c r="H366" s="83" t="s">
        <v>39</v>
      </c>
      <c r="I366" s="84" t="s">
        <v>44</v>
      </c>
      <c r="J366" s="85"/>
      <c r="K366" s="130">
        <f>K367</f>
        <v>1818.1329999999998</v>
      </c>
      <c r="L366" s="130">
        <f>L367</f>
        <v>1.5779999999999745</v>
      </c>
      <c r="M366" s="130">
        <f>M367</f>
        <v>1819.7109999999998</v>
      </c>
    </row>
    <row r="367" spans="1:13" s="125" customFormat="1" ht="36" customHeight="1" x14ac:dyDescent="0.35">
      <c r="A367" s="126"/>
      <c r="B367" s="551" t="s">
        <v>335</v>
      </c>
      <c r="C367" s="127" t="s">
        <v>412</v>
      </c>
      <c r="D367" s="128" t="s">
        <v>37</v>
      </c>
      <c r="E367" s="128" t="s">
        <v>71</v>
      </c>
      <c r="F367" s="82" t="s">
        <v>226</v>
      </c>
      <c r="G367" s="83" t="s">
        <v>45</v>
      </c>
      <c r="H367" s="83" t="s">
        <v>39</v>
      </c>
      <c r="I367" s="84" t="s">
        <v>334</v>
      </c>
      <c r="J367" s="85"/>
      <c r="K367" s="130">
        <f>SUM(K368:K368)</f>
        <v>1818.1329999999998</v>
      </c>
      <c r="L367" s="130">
        <f>SUM(L368:L368)</f>
        <v>1.5779999999999745</v>
      </c>
      <c r="M367" s="130">
        <f>SUM(M368:M368)</f>
        <v>1819.7109999999998</v>
      </c>
    </row>
    <row r="368" spans="1:13" s="125" customFormat="1" ht="54" customHeight="1" x14ac:dyDescent="0.35">
      <c r="A368" s="126"/>
      <c r="B368" s="551" t="s">
        <v>55</v>
      </c>
      <c r="C368" s="127" t="s">
        <v>412</v>
      </c>
      <c r="D368" s="128" t="s">
        <v>37</v>
      </c>
      <c r="E368" s="128" t="s">
        <v>71</v>
      </c>
      <c r="F368" s="82" t="s">
        <v>226</v>
      </c>
      <c r="G368" s="83" t="s">
        <v>45</v>
      </c>
      <c r="H368" s="83" t="s">
        <v>39</v>
      </c>
      <c r="I368" s="84" t="s">
        <v>334</v>
      </c>
      <c r="J368" s="85" t="s">
        <v>56</v>
      </c>
      <c r="K368" s="130">
        <f>815.1+58.6+1070.2+7.815+49.7+53.1+0.91+4.47+13.21+410.593+327.9-267.944+13.611-516-223.132</f>
        <v>1818.1329999999998</v>
      </c>
      <c r="L368" s="24">
        <f>M368-K368</f>
        <v>1.5779999999999745</v>
      </c>
      <c r="M368" s="130">
        <f>815.1+58.6+1070.2+7.815+49.7+53.1+0.91+4.47+13.21+410.593+327.9-267.944+13.611-516-223.132+1.578</f>
        <v>1819.7109999999998</v>
      </c>
    </row>
    <row r="369" spans="1:14" s="125" customFormat="1" ht="36" customHeight="1" x14ac:dyDescent="0.35">
      <c r="A369" s="126"/>
      <c r="B369" s="540" t="s">
        <v>229</v>
      </c>
      <c r="C369" s="127" t="s">
        <v>412</v>
      </c>
      <c r="D369" s="128" t="s">
        <v>37</v>
      </c>
      <c r="E369" s="128" t="s">
        <v>71</v>
      </c>
      <c r="F369" s="93" t="s">
        <v>226</v>
      </c>
      <c r="G369" s="83" t="s">
        <v>89</v>
      </c>
      <c r="H369" s="83" t="s">
        <v>43</v>
      </c>
      <c r="I369" s="84" t="s">
        <v>44</v>
      </c>
      <c r="J369" s="85"/>
      <c r="K369" s="130">
        <f>K370+K383+K386</f>
        <v>27513.803</v>
      </c>
      <c r="L369" s="130">
        <f>L370+L383+L386</f>
        <v>95.525999999999996</v>
      </c>
      <c r="M369" s="130">
        <f>M370+M383+M386</f>
        <v>27609.328999999998</v>
      </c>
    </row>
    <row r="370" spans="1:14" s="131" customFormat="1" ht="78.75" customHeight="1" x14ac:dyDescent="0.35">
      <c r="A370" s="126"/>
      <c r="B370" s="540" t="s">
        <v>300</v>
      </c>
      <c r="C370" s="127" t="s">
        <v>412</v>
      </c>
      <c r="D370" s="128" t="s">
        <v>37</v>
      </c>
      <c r="E370" s="128" t="s">
        <v>71</v>
      </c>
      <c r="F370" s="93" t="s">
        <v>226</v>
      </c>
      <c r="G370" s="83" t="s">
        <v>89</v>
      </c>
      <c r="H370" s="83" t="s">
        <v>37</v>
      </c>
      <c r="I370" s="84" t="s">
        <v>44</v>
      </c>
      <c r="J370" s="85"/>
      <c r="K370" s="130">
        <f>K371+K375+K379+K381</f>
        <v>26446.2</v>
      </c>
      <c r="L370" s="130">
        <f>L371+L375+L379+L381</f>
        <v>83.5</v>
      </c>
      <c r="M370" s="130">
        <f>M371+M375+M379+M381</f>
        <v>26529.7</v>
      </c>
    </row>
    <row r="371" spans="1:14" s="125" customFormat="1" ht="36" customHeight="1" x14ac:dyDescent="0.35">
      <c r="A371" s="126"/>
      <c r="B371" s="540" t="s">
        <v>47</v>
      </c>
      <c r="C371" s="127" t="s">
        <v>412</v>
      </c>
      <c r="D371" s="128" t="s">
        <v>37</v>
      </c>
      <c r="E371" s="128" t="s">
        <v>71</v>
      </c>
      <c r="F371" s="135" t="s">
        <v>226</v>
      </c>
      <c r="G371" s="133" t="s">
        <v>89</v>
      </c>
      <c r="H371" s="133" t="s">
        <v>37</v>
      </c>
      <c r="I371" s="134" t="s">
        <v>48</v>
      </c>
      <c r="J371" s="85"/>
      <c r="K371" s="130">
        <f>K372+K373+K374</f>
        <v>15691.6</v>
      </c>
      <c r="L371" s="130">
        <f>L372+L373+L374</f>
        <v>0</v>
      </c>
      <c r="M371" s="130">
        <f>M372+M373+M374</f>
        <v>15691.6</v>
      </c>
    </row>
    <row r="372" spans="1:14" s="131" customFormat="1" ht="108" customHeight="1" x14ac:dyDescent="0.35">
      <c r="A372" s="126"/>
      <c r="B372" s="540" t="s">
        <v>49</v>
      </c>
      <c r="C372" s="127" t="s">
        <v>412</v>
      </c>
      <c r="D372" s="128" t="s">
        <v>37</v>
      </c>
      <c r="E372" s="128" t="s">
        <v>71</v>
      </c>
      <c r="F372" s="93" t="s">
        <v>226</v>
      </c>
      <c r="G372" s="83" t="s">
        <v>89</v>
      </c>
      <c r="H372" s="83" t="s">
        <v>37</v>
      </c>
      <c r="I372" s="84" t="s">
        <v>48</v>
      </c>
      <c r="J372" s="85" t="s">
        <v>50</v>
      </c>
      <c r="K372" s="130">
        <f>15310.1+28.3</f>
        <v>15338.4</v>
      </c>
      <c r="L372" s="24">
        <f>M372-K372</f>
        <v>0</v>
      </c>
      <c r="M372" s="130">
        <f>15310.1+28.3</f>
        <v>15338.4</v>
      </c>
    </row>
    <row r="373" spans="1:14" s="131" customFormat="1" ht="54" customHeight="1" x14ac:dyDescent="0.35">
      <c r="A373" s="126"/>
      <c r="B373" s="551" t="s">
        <v>55</v>
      </c>
      <c r="C373" s="127" t="s">
        <v>412</v>
      </c>
      <c r="D373" s="128" t="s">
        <v>37</v>
      </c>
      <c r="E373" s="128" t="s">
        <v>71</v>
      </c>
      <c r="F373" s="93" t="s">
        <v>226</v>
      </c>
      <c r="G373" s="83" t="s">
        <v>89</v>
      </c>
      <c r="H373" s="83" t="s">
        <v>37</v>
      </c>
      <c r="I373" s="84" t="s">
        <v>48</v>
      </c>
      <c r="J373" s="85" t="s">
        <v>56</v>
      </c>
      <c r="K373" s="130">
        <f>352-0.935</f>
        <v>351.065</v>
      </c>
      <c r="L373" s="24">
        <f>M373-K373</f>
        <v>0</v>
      </c>
      <c r="M373" s="130">
        <f>352-0.935</f>
        <v>351.065</v>
      </c>
      <c r="N373" s="159"/>
    </row>
    <row r="374" spans="1:14" s="131" customFormat="1" ht="18" customHeight="1" x14ac:dyDescent="0.35">
      <c r="A374" s="126"/>
      <c r="B374" s="540" t="s">
        <v>57</v>
      </c>
      <c r="C374" s="127" t="s">
        <v>412</v>
      </c>
      <c r="D374" s="128" t="s">
        <v>37</v>
      </c>
      <c r="E374" s="128" t="s">
        <v>71</v>
      </c>
      <c r="F374" s="93" t="s">
        <v>226</v>
      </c>
      <c r="G374" s="83" t="s">
        <v>89</v>
      </c>
      <c r="H374" s="83" t="s">
        <v>37</v>
      </c>
      <c r="I374" s="84" t="s">
        <v>48</v>
      </c>
      <c r="J374" s="85" t="s">
        <v>58</v>
      </c>
      <c r="K374" s="130">
        <f>1.2+0.935</f>
        <v>2.1349999999999998</v>
      </c>
      <c r="L374" s="24">
        <f>M374-K374</f>
        <v>0</v>
      </c>
      <c r="M374" s="130">
        <f>1.2+0.935</f>
        <v>2.1349999999999998</v>
      </c>
    </row>
    <row r="375" spans="1:14" s="131" customFormat="1" ht="36" customHeight="1" x14ac:dyDescent="0.35">
      <c r="A375" s="126"/>
      <c r="B375" s="529" t="s">
        <v>461</v>
      </c>
      <c r="C375" s="127" t="s">
        <v>412</v>
      </c>
      <c r="D375" s="128" t="s">
        <v>37</v>
      </c>
      <c r="E375" s="128" t="s">
        <v>71</v>
      </c>
      <c r="F375" s="93" t="s">
        <v>226</v>
      </c>
      <c r="G375" s="83" t="s">
        <v>89</v>
      </c>
      <c r="H375" s="83" t="s">
        <v>37</v>
      </c>
      <c r="I375" s="84" t="s">
        <v>91</v>
      </c>
      <c r="J375" s="85"/>
      <c r="K375" s="130">
        <f>K376+K377+K378</f>
        <v>10033.300000000001</v>
      </c>
      <c r="L375" s="130">
        <f>L376+L377+L378</f>
        <v>83.5</v>
      </c>
      <c r="M375" s="130">
        <f>M376+M377+M378</f>
        <v>10116.800000000001</v>
      </c>
      <c r="N375" s="159"/>
    </row>
    <row r="376" spans="1:14" s="131" customFormat="1" ht="108" customHeight="1" x14ac:dyDescent="0.35">
      <c r="A376" s="126"/>
      <c r="B376" s="540" t="s">
        <v>49</v>
      </c>
      <c r="C376" s="127" t="s">
        <v>412</v>
      </c>
      <c r="D376" s="128" t="s">
        <v>37</v>
      </c>
      <c r="E376" s="128" t="s">
        <v>71</v>
      </c>
      <c r="F376" s="93" t="s">
        <v>226</v>
      </c>
      <c r="G376" s="83" t="s">
        <v>89</v>
      </c>
      <c r="H376" s="83" t="s">
        <v>37</v>
      </c>
      <c r="I376" s="84" t="s">
        <v>91</v>
      </c>
      <c r="J376" s="85" t="s">
        <v>50</v>
      </c>
      <c r="K376" s="130">
        <v>9350.4</v>
      </c>
      <c r="L376" s="24">
        <f>M376-K376</f>
        <v>83.5</v>
      </c>
      <c r="M376" s="130">
        <f>9350.4+83.5</f>
        <v>9433.9</v>
      </c>
      <c r="N376" s="159"/>
    </row>
    <row r="377" spans="1:14" s="131" customFormat="1" ht="54" customHeight="1" x14ac:dyDescent="0.35">
      <c r="A377" s="126"/>
      <c r="B377" s="551" t="s">
        <v>55</v>
      </c>
      <c r="C377" s="127" t="s">
        <v>412</v>
      </c>
      <c r="D377" s="128" t="s">
        <v>37</v>
      </c>
      <c r="E377" s="128" t="s">
        <v>71</v>
      </c>
      <c r="F377" s="135" t="s">
        <v>226</v>
      </c>
      <c r="G377" s="133" t="s">
        <v>89</v>
      </c>
      <c r="H377" s="133" t="s">
        <v>37</v>
      </c>
      <c r="I377" s="134" t="s">
        <v>91</v>
      </c>
      <c r="J377" s="85" t="s">
        <v>56</v>
      </c>
      <c r="K377" s="130">
        <f>623.4+33+3.8</f>
        <v>660.19999999999993</v>
      </c>
      <c r="L377" s="24">
        <f>M377-K377</f>
        <v>0</v>
      </c>
      <c r="M377" s="130">
        <f>623.4+33+3.8</f>
        <v>660.19999999999993</v>
      </c>
    </row>
    <row r="378" spans="1:14" s="131" customFormat="1" ht="18" customHeight="1" x14ac:dyDescent="0.35">
      <c r="A378" s="126"/>
      <c r="B378" s="540" t="s">
        <v>57</v>
      </c>
      <c r="C378" s="127" t="s">
        <v>412</v>
      </c>
      <c r="D378" s="128" t="s">
        <v>37</v>
      </c>
      <c r="E378" s="128" t="s">
        <v>71</v>
      </c>
      <c r="F378" s="93" t="s">
        <v>226</v>
      </c>
      <c r="G378" s="83" t="s">
        <v>89</v>
      </c>
      <c r="H378" s="83" t="s">
        <v>37</v>
      </c>
      <c r="I378" s="84" t="s">
        <v>91</v>
      </c>
      <c r="J378" s="85" t="s">
        <v>58</v>
      </c>
      <c r="K378" s="130">
        <v>22.7</v>
      </c>
      <c r="L378" s="24">
        <f>M378-K378</f>
        <v>0</v>
      </c>
      <c r="M378" s="130">
        <v>22.7</v>
      </c>
      <c r="N378" s="159"/>
    </row>
    <row r="379" spans="1:14" s="131" customFormat="1" ht="54" customHeight="1" x14ac:dyDescent="0.35">
      <c r="A379" s="126"/>
      <c r="B379" s="551" t="s">
        <v>352</v>
      </c>
      <c r="C379" s="172" t="s">
        <v>412</v>
      </c>
      <c r="D379" s="268" t="s">
        <v>37</v>
      </c>
      <c r="E379" s="268" t="s">
        <v>71</v>
      </c>
      <c r="F379" s="93" t="s">
        <v>226</v>
      </c>
      <c r="G379" s="83" t="s">
        <v>89</v>
      </c>
      <c r="H379" s="83" t="s">
        <v>37</v>
      </c>
      <c r="I379" s="84" t="s">
        <v>351</v>
      </c>
      <c r="J379" s="85"/>
      <c r="K379" s="130">
        <f>K380</f>
        <v>401.29999999999995</v>
      </c>
      <c r="L379" s="130">
        <f>L380</f>
        <v>0</v>
      </c>
      <c r="M379" s="130">
        <f>M380</f>
        <v>401.29999999999995</v>
      </c>
      <c r="N379" s="159"/>
    </row>
    <row r="380" spans="1:14" s="131" customFormat="1" ht="54" customHeight="1" x14ac:dyDescent="0.35">
      <c r="A380" s="126"/>
      <c r="B380" s="552" t="s">
        <v>55</v>
      </c>
      <c r="C380" s="317" t="s">
        <v>412</v>
      </c>
      <c r="D380" s="318" t="s">
        <v>37</v>
      </c>
      <c r="E380" s="318" t="s">
        <v>71</v>
      </c>
      <c r="F380" s="136" t="s">
        <v>226</v>
      </c>
      <c r="G380" s="83" t="s">
        <v>89</v>
      </c>
      <c r="H380" s="83" t="s">
        <v>37</v>
      </c>
      <c r="I380" s="267" t="s">
        <v>351</v>
      </c>
      <c r="J380" s="85" t="s">
        <v>56</v>
      </c>
      <c r="K380" s="130">
        <f>401.3+582.5-582.5</f>
        <v>401.29999999999995</v>
      </c>
      <c r="L380" s="24">
        <f>M380-K380</f>
        <v>0</v>
      </c>
      <c r="M380" s="130">
        <f>401.3+582.5-582.5</f>
        <v>401.29999999999995</v>
      </c>
      <c r="N380" s="159"/>
    </row>
    <row r="381" spans="1:14" s="131" customFormat="1" ht="54" customHeight="1" x14ac:dyDescent="0.35">
      <c r="A381" s="614"/>
      <c r="B381" s="615" t="s">
        <v>378</v>
      </c>
      <c r="C381" s="317" t="s">
        <v>412</v>
      </c>
      <c r="D381" s="318" t="s">
        <v>37</v>
      </c>
      <c r="E381" s="318" t="s">
        <v>71</v>
      </c>
      <c r="F381" s="136" t="s">
        <v>226</v>
      </c>
      <c r="G381" s="83" t="s">
        <v>89</v>
      </c>
      <c r="H381" s="83" t="s">
        <v>37</v>
      </c>
      <c r="I381" s="134" t="s">
        <v>377</v>
      </c>
      <c r="J381" s="578"/>
      <c r="K381" s="433">
        <f>K382</f>
        <v>320</v>
      </c>
      <c r="L381" s="24">
        <f>L382</f>
        <v>0</v>
      </c>
      <c r="M381" s="433">
        <f>M382</f>
        <v>320</v>
      </c>
      <c r="N381" s="159"/>
    </row>
    <row r="382" spans="1:14" s="131" customFormat="1" ht="54" customHeight="1" x14ac:dyDescent="0.35">
      <c r="A382" s="614"/>
      <c r="B382" s="552" t="s">
        <v>55</v>
      </c>
      <c r="C382" s="317" t="s">
        <v>412</v>
      </c>
      <c r="D382" s="318" t="s">
        <v>37</v>
      </c>
      <c r="E382" s="318" t="s">
        <v>71</v>
      </c>
      <c r="F382" s="136" t="s">
        <v>226</v>
      </c>
      <c r="G382" s="83" t="s">
        <v>89</v>
      </c>
      <c r="H382" s="83" t="s">
        <v>37</v>
      </c>
      <c r="I382" s="134" t="s">
        <v>377</v>
      </c>
      <c r="J382" s="85" t="s">
        <v>56</v>
      </c>
      <c r="K382" s="433">
        <f>33+17.4+269.6</f>
        <v>320</v>
      </c>
      <c r="L382" s="24">
        <f>M382-K382</f>
        <v>0</v>
      </c>
      <c r="M382" s="433">
        <f>33+17.4+269.6</f>
        <v>320</v>
      </c>
      <c r="N382" s="159"/>
    </row>
    <row r="383" spans="1:14" s="166" customFormat="1" ht="36" customHeight="1" x14ac:dyDescent="0.35">
      <c r="A383" s="161"/>
      <c r="B383" s="553" t="s">
        <v>349</v>
      </c>
      <c r="C383" s="162" t="s">
        <v>412</v>
      </c>
      <c r="D383" s="163" t="s">
        <v>37</v>
      </c>
      <c r="E383" s="163" t="s">
        <v>71</v>
      </c>
      <c r="F383" s="93" t="s">
        <v>226</v>
      </c>
      <c r="G383" s="94" t="s">
        <v>89</v>
      </c>
      <c r="H383" s="94" t="s">
        <v>39</v>
      </c>
      <c r="I383" s="95" t="s">
        <v>44</v>
      </c>
      <c r="J383" s="96"/>
      <c r="K383" s="164">
        <f t="shared" ref="K383:M384" si="62">K384</f>
        <v>989.09999999999991</v>
      </c>
      <c r="L383" s="164">
        <f t="shared" si="62"/>
        <v>0</v>
      </c>
      <c r="M383" s="164">
        <f t="shared" si="62"/>
        <v>989.09999999999991</v>
      </c>
      <c r="N383" s="165"/>
    </row>
    <row r="384" spans="1:14" s="166" customFormat="1" ht="54" customHeight="1" x14ac:dyDescent="0.35">
      <c r="A384" s="167"/>
      <c r="B384" s="554" t="s">
        <v>350</v>
      </c>
      <c r="C384" s="127" t="s">
        <v>412</v>
      </c>
      <c r="D384" s="128" t="s">
        <v>37</v>
      </c>
      <c r="E384" s="128" t="s">
        <v>71</v>
      </c>
      <c r="F384" s="136" t="s">
        <v>226</v>
      </c>
      <c r="G384" s="94" t="s">
        <v>89</v>
      </c>
      <c r="H384" s="94" t="s">
        <v>39</v>
      </c>
      <c r="I384" s="95" t="s">
        <v>105</v>
      </c>
      <c r="J384" s="97"/>
      <c r="K384" s="168">
        <f t="shared" si="62"/>
        <v>989.09999999999991</v>
      </c>
      <c r="L384" s="168">
        <f t="shared" si="62"/>
        <v>0</v>
      </c>
      <c r="M384" s="168">
        <f t="shared" si="62"/>
        <v>989.09999999999991</v>
      </c>
      <c r="N384" s="165"/>
    </row>
    <row r="385" spans="1:14" s="166" customFormat="1" ht="54" customHeight="1" x14ac:dyDescent="0.35">
      <c r="A385" s="167"/>
      <c r="B385" s="555" t="s">
        <v>55</v>
      </c>
      <c r="C385" s="127" t="s">
        <v>412</v>
      </c>
      <c r="D385" s="128" t="s">
        <v>37</v>
      </c>
      <c r="E385" s="128" t="s">
        <v>71</v>
      </c>
      <c r="F385" s="136" t="s">
        <v>226</v>
      </c>
      <c r="G385" s="99" t="s">
        <v>89</v>
      </c>
      <c r="H385" s="99" t="s">
        <v>39</v>
      </c>
      <c r="I385" s="169" t="s">
        <v>105</v>
      </c>
      <c r="J385" s="170" t="s">
        <v>56</v>
      </c>
      <c r="K385" s="256">
        <f>791.9+22.4+137.8+37</f>
        <v>989.09999999999991</v>
      </c>
      <c r="L385" s="24">
        <f>M385-K385</f>
        <v>0</v>
      </c>
      <c r="M385" s="256">
        <f>791.9+22.4+137.8+37</f>
        <v>989.09999999999991</v>
      </c>
      <c r="N385" s="165"/>
    </row>
    <row r="386" spans="1:14" s="166" customFormat="1" ht="36" customHeight="1" x14ac:dyDescent="0.35">
      <c r="A386" s="167"/>
      <c r="B386" s="556" t="s">
        <v>372</v>
      </c>
      <c r="C386" s="127" t="s">
        <v>412</v>
      </c>
      <c r="D386" s="128" t="s">
        <v>37</v>
      </c>
      <c r="E386" s="128" t="s">
        <v>71</v>
      </c>
      <c r="F386" s="136" t="s">
        <v>226</v>
      </c>
      <c r="G386" s="94" t="s">
        <v>89</v>
      </c>
      <c r="H386" s="94" t="s">
        <v>63</v>
      </c>
      <c r="I386" s="95" t="s">
        <v>44</v>
      </c>
      <c r="J386" s="97"/>
      <c r="K386" s="168">
        <f t="shared" ref="K386:M387" si="63">K387</f>
        <v>78.502999999999986</v>
      </c>
      <c r="L386" s="168">
        <f t="shared" si="63"/>
        <v>12.025999999999996</v>
      </c>
      <c r="M386" s="168">
        <f t="shared" si="63"/>
        <v>90.528999999999982</v>
      </c>
      <c r="N386" s="165"/>
    </row>
    <row r="387" spans="1:14" s="166" customFormat="1" ht="36" customHeight="1" x14ac:dyDescent="0.35">
      <c r="A387" s="167"/>
      <c r="B387" s="556" t="s">
        <v>335</v>
      </c>
      <c r="C387" s="127" t="s">
        <v>412</v>
      </c>
      <c r="D387" s="128" t="s">
        <v>37</v>
      </c>
      <c r="E387" s="128" t="s">
        <v>71</v>
      </c>
      <c r="F387" s="98" t="s">
        <v>226</v>
      </c>
      <c r="G387" s="99" t="s">
        <v>89</v>
      </c>
      <c r="H387" s="99" t="s">
        <v>63</v>
      </c>
      <c r="I387" s="169" t="s">
        <v>334</v>
      </c>
      <c r="J387" s="97"/>
      <c r="K387" s="168">
        <f t="shared" si="63"/>
        <v>78.502999999999986</v>
      </c>
      <c r="L387" s="168">
        <f t="shared" si="63"/>
        <v>12.025999999999996</v>
      </c>
      <c r="M387" s="168">
        <f t="shared" si="63"/>
        <v>90.528999999999982</v>
      </c>
      <c r="N387" s="165"/>
    </row>
    <row r="388" spans="1:14" s="166" customFormat="1" ht="18" customHeight="1" x14ac:dyDescent="0.35">
      <c r="A388" s="171"/>
      <c r="B388" s="540" t="s">
        <v>57</v>
      </c>
      <c r="C388" s="172" t="s">
        <v>412</v>
      </c>
      <c r="D388" s="128" t="s">
        <v>37</v>
      </c>
      <c r="E388" s="128" t="s">
        <v>71</v>
      </c>
      <c r="F388" s="93" t="s">
        <v>226</v>
      </c>
      <c r="G388" s="94" t="s">
        <v>89</v>
      </c>
      <c r="H388" s="94" t="s">
        <v>63</v>
      </c>
      <c r="I388" s="95" t="s">
        <v>334</v>
      </c>
      <c r="J388" s="97" t="s">
        <v>58</v>
      </c>
      <c r="K388" s="256">
        <f>12.5+56.403+9.6</f>
        <v>78.502999999999986</v>
      </c>
      <c r="L388" s="24">
        <f>M388-K388</f>
        <v>12.025999999999996</v>
      </c>
      <c r="M388" s="256">
        <f>12.5+56.403+9.6+12.026</f>
        <v>90.528999999999982</v>
      </c>
      <c r="N388" s="165"/>
    </row>
    <row r="389" spans="1:14" s="166" customFormat="1" ht="36" customHeight="1" x14ac:dyDescent="0.35">
      <c r="A389" s="171"/>
      <c r="B389" s="557" t="s">
        <v>337</v>
      </c>
      <c r="C389" s="172" t="s">
        <v>412</v>
      </c>
      <c r="D389" s="128" t="s">
        <v>37</v>
      </c>
      <c r="E389" s="128" t="s">
        <v>71</v>
      </c>
      <c r="F389" s="93" t="s">
        <v>226</v>
      </c>
      <c r="G389" s="94" t="s">
        <v>30</v>
      </c>
      <c r="H389" s="94" t="s">
        <v>43</v>
      </c>
      <c r="I389" s="95" t="s">
        <v>44</v>
      </c>
      <c r="J389" s="97"/>
      <c r="K389" s="421">
        <f t="shared" ref="K389:M390" si="64">K390</f>
        <v>17270.013059999997</v>
      </c>
      <c r="L389" s="421">
        <f t="shared" si="64"/>
        <v>-13.603999999999814</v>
      </c>
      <c r="M389" s="421">
        <f t="shared" si="64"/>
        <v>17256.409059999998</v>
      </c>
      <c r="N389" s="165"/>
    </row>
    <row r="390" spans="1:14" s="166" customFormat="1" ht="36" customHeight="1" x14ac:dyDescent="0.35">
      <c r="A390" s="451"/>
      <c r="B390" s="558" t="s">
        <v>372</v>
      </c>
      <c r="C390" s="443" t="s">
        <v>412</v>
      </c>
      <c r="D390" s="452" t="s">
        <v>37</v>
      </c>
      <c r="E390" s="452" t="s">
        <v>71</v>
      </c>
      <c r="F390" s="453" t="s">
        <v>226</v>
      </c>
      <c r="G390" s="454" t="s">
        <v>30</v>
      </c>
      <c r="H390" s="454" t="s">
        <v>226</v>
      </c>
      <c r="I390" s="455" t="s">
        <v>44</v>
      </c>
      <c r="J390" s="456"/>
      <c r="K390" s="421">
        <f t="shared" si="64"/>
        <v>17270.013059999997</v>
      </c>
      <c r="L390" s="421">
        <f t="shared" si="64"/>
        <v>-13.603999999999814</v>
      </c>
      <c r="M390" s="421">
        <f t="shared" si="64"/>
        <v>17256.409059999998</v>
      </c>
      <c r="N390" s="165"/>
    </row>
    <row r="391" spans="1:14" s="166" customFormat="1" ht="36" customHeight="1" x14ac:dyDescent="0.35">
      <c r="A391" s="619"/>
      <c r="B391" s="620" t="s">
        <v>335</v>
      </c>
      <c r="C391" s="162" t="s">
        <v>412</v>
      </c>
      <c r="D391" s="445" t="s">
        <v>37</v>
      </c>
      <c r="E391" s="445" t="s">
        <v>71</v>
      </c>
      <c r="F391" s="446" t="s">
        <v>226</v>
      </c>
      <c r="G391" s="447" t="s">
        <v>30</v>
      </c>
      <c r="H391" s="447" t="s">
        <v>226</v>
      </c>
      <c r="I391" s="448" t="s">
        <v>334</v>
      </c>
      <c r="J391" s="449"/>
      <c r="K391" s="450">
        <f>K392+K393+K394</f>
        <v>17270.013059999997</v>
      </c>
      <c r="L391" s="450">
        <f>L392+L393+L394</f>
        <v>-13.603999999999814</v>
      </c>
      <c r="M391" s="450">
        <f>M392+M393+M394</f>
        <v>17256.409059999998</v>
      </c>
      <c r="N391" s="165"/>
    </row>
    <row r="392" spans="1:14" s="166" customFormat="1" ht="54" customHeight="1" x14ac:dyDescent="0.35">
      <c r="A392" s="584"/>
      <c r="B392" s="616" t="s">
        <v>55</v>
      </c>
      <c r="C392" s="317" t="s">
        <v>412</v>
      </c>
      <c r="D392" s="617" t="s">
        <v>37</v>
      </c>
      <c r="E392" s="445" t="s">
        <v>71</v>
      </c>
      <c r="F392" s="446" t="s">
        <v>226</v>
      </c>
      <c r="G392" s="447" t="s">
        <v>30</v>
      </c>
      <c r="H392" s="447" t="s">
        <v>226</v>
      </c>
      <c r="I392" s="448" t="s">
        <v>334</v>
      </c>
      <c r="J392" s="449" t="s">
        <v>56</v>
      </c>
      <c r="K392" s="450">
        <f>96+580+1270.7+98.913+1618.41+98.1-98.1+267.944-230.751-70.711+87.664-28.3</f>
        <v>3689.8690000000001</v>
      </c>
      <c r="L392" s="24">
        <f>M392-K392</f>
        <v>-13.603999999999814</v>
      </c>
      <c r="M392" s="450">
        <f>96+580+1270.7+98.913+1618.41+98.1-98.1+267.944-230.751-70.711+87.664-28.3-13.604</f>
        <v>3676.2650000000003</v>
      </c>
      <c r="N392" s="165"/>
    </row>
    <row r="393" spans="1:14" s="166" customFormat="1" ht="54" customHeight="1" x14ac:dyDescent="0.35">
      <c r="A393" s="584"/>
      <c r="B393" s="621" t="s">
        <v>203</v>
      </c>
      <c r="C393" s="622" t="s">
        <v>412</v>
      </c>
      <c r="D393" s="618" t="s">
        <v>37</v>
      </c>
      <c r="E393" s="474" t="s">
        <v>71</v>
      </c>
      <c r="F393" s="366" t="s">
        <v>226</v>
      </c>
      <c r="G393" s="368" t="s">
        <v>30</v>
      </c>
      <c r="H393" s="368" t="s">
        <v>226</v>
      </c>
      <c r="I393" s="369" t="s">
        <v>334</v>
      </c>
      <c r="J393" s="484" t="s">
        <v>204</v>
      </c>
      <c r="K393" s="450">
        <f>21000-900-6752.94294</f>
        <v>13347.057059999999</v>
      </c>
      <c r="L393" s="24">
        <f>M393-K393</f>
        <v>0</v>
      </c>
      <c r="M393" s="450">
        <f>21000-900-6752.94294</f>
        <v>13347.057059999999</v>
      </c>
      <c r="N393" s="165"/>
    </row>
    <row r="394" spans="1:14" s="166" customFormat="1" ht="18" customHeight="1" x14ac:dyDescent="0.35">
      <c r="A394" s="584"/>
      <c r="B394" s="549" t="s">
        <v>57</v>
      </c>
      <c r="C394" s="317" t="s">
        <v>412</v>
      </c>
      <c r="D394" s="623" t="s">
        <v>37</v>
      </c>
      <c r="E394" s="128" t="s">
        <v>71</v>
      </c>
      <c r="F394" s="93" t="s">
        <v>226</v>
      </c>
      <c r="G394" s="94" t="s">
        <v>30</v>
      </c>
      <c r="H394" s="94" t="s">
        <v>226</v>
      </c>
      <c r="I394" s="95" t="s">
        <v>334</v>
      </c>
      <c r="J394" s="431" t="s">
        <v>58</v>
      </c>
      <c r="K394" s="421">
        <f>91.8+17.8+98.1+25.387</f>
        <v>233.08699999999999</v>
      </c>
      <c r="L394" s="24">
        <f>M394-K394</f>
        <v>0</v>
      </c>
      <c r="M394" s="421">
        <f>91.8+17.8+98.1+25.387</f>
        <v>233.08699999999999</v>
      </c>
      <c r="N394" s="165"/>
    </row>
    <row r="395" spans="1:14" s="166" customFormat="1" ht="54" customHeight="1" x14ac:dyDescent="0.35">
      <c r="A395" s="444"/>
      <c r="B395" s="624" t="s">
        <v>230</v>
      </c>
      <c r="C395" s="625" t="s">
        <v>412</v>
      </c>
      <c r="D395" s="128" t="s">
        <v>37</v>
      </c>
      <c r="E395" s="128" t="s">
        <v>71</v>
      </c>
      <c r="F395" s="100" t="s">
        <v>79</v>
      </c>
      <c r="G395" s="101" t="s">
        <v>42</v>
      </c>
      <c r="H395" s="101" t="s">
        <v>43</v>
      </c>
      <c r="I395" s="102" t="s">
        <v>44</v>
      </c>
      <c r="J395" s="103"/>
      <c r="K395" s="421">
        <f t="shared" ref="K395:M398" si="65">K396</f>
        <v>81.324029999999993</v>
      </c>
      <c r="L395" s="421">
        <f t="shared" si="65"/>
        <v>0</v>
      </c>
      <c r="M395" s="421">
        <f t="shared" si="65"/>
        <v>81.324029999999993</v>
      </c>
      <c r="N395" s="165"/>
    </row>
    <row r="396" spans="1:14" s="166" customFormat="1" ht="36" customHeight="1" x14ac:dyDescent="0.35">
      <c r="A396" s="171"/>
      <c r="B396" s="551" t="s">
        <v>337</v>
      </c>
      <c r="C396" s="138" t="s">
        <v>412</v>
      </c>
      <c r="D396" s="128" t="s">
        <v>37</v>
      </c>
      <c r="E396" s="128" t="s">
        <v>71</v>
      </c>
      <c r="F396" s="100" t="s">
        <v>79</v>
      </c>
      <c r="G396" s="101" t="s">
        <v>45</v>
      </c>
      <c r="H396" s="101" t="s">
        <v>43</v>
      </c>
      <c r="I396" s="102" t="s">
        <v>44</v>
      </c>
      <c r="J396" s="103"/>
      <c r="K396" s="421">
        <f t="shared" si="65"/>
        <v>81.324029999999993</v>
      </c>
      <c r="L396" s="421">
        <f t="shared" si="65"/>
        <v>0</v>
      </c>
      <c r="M396" s="421">
        <f t="shared" si="65"/>
        <v>81.324029999999993</v>
      </c>
      <c r="N396" s="165"/>
    </row>
    <row r="397" spans="1:14" s="166" customFormat="1" ht="90" customHeight="1" x14ac:dyDescent="0.35">
      <c r="A397" s="171"/>
      <c r="B397" s="551" t="s">
        <v>299</v>
      </c>
      <c r="C397" s="138" t="s">
        <v>412</v>
      </c>
      <c r="D397" s="128" t="s">
        <v>37</v>
      </c>
      <c r="E397" s="128" t="s">
        <v>71</v>
      </c>
      <c r="F397" s="100" t="s">
        <v>79</v>
      </c>
      <c r="G397" s="101" t="s">
        <v>45</v>
      </c>
      <c r="H397" s="101" t="s">
        <v>39</v>
      </c>
      <c r="I397" s="102" t="s">
        <v>44</v>
      </c>
      <c r="J397" s="103"/>
      <c r="K397" s="421">
        <f t="shared" si="65"/>
        <v>81.324029999999993</v>
      </c>
      <c r="L397" s="421">
        <f t="shared" si="65"/>
        <v>0</v>
      </c>
      <c r="M397" s="421">
        <f t="shared" si="65"/>
        <v>81.324029999999993</v>
      </c>
      <c r="N397" s="165"/>
    </row>
    <row r="398" spans="1:14" s="166" customFormat="1" ht="108" customHeight="1" x14ac:dyDescent="0.35">
      <c r="A398" s="171"/>
      <c r="B398" s="540" t="s">
        <v>414</v>
      </c>
      <c r="C398" s="127" t="s">
        <v>412</v>
      </c>
      <c r="D398" s="128" t="s">
        <v>37</v>
      </c>
      <c r="E398" s="128" t="s">
        <v>71</v>
      </c>
      <c r="F398" s="82" t="s">
        <v>79</v>
      </c>
      <c r="G398" s="83" t="s">
        <v>45</v>
      </c>
      <c r="H398" s="83" t="s">
        <v>39</v>
      </c>
      <c r="I398" s="104" t="s">
        <v>415</v>
      </c>
      <c r="J398" s="85"/>
      <c r="K398" s="421">
        <f t="shared" si="65"/>
        <v>81.324029999999993</v>
      </c>
      <c r="L398" s="421">
        <f t="shared" si="65"/>
        <v>0</v>
      </c>
      <c r="M398" s="421">
        <f t="shared" si="65"/>
        <v>81.324029999999993</v>
      </c>
      <c r="N398" s="165"/>
    </row>
    <row r="399" spans="1:14" s="166" customFormat="1" ht="54" customHeight="1" x14ac:dyDescent="0.35">
      <c r="A399" s="171"/>
      <c r="B399" s="551" t="s">
        <v>55</v>
      </c>
      <c r="C399" s="127" t="s">
        <v>412</v>
      </c>
      <c r="D399" s="128" t="s">
        <v>37</v>
      </c>
      <c r="E399" s="128" t="s">
        <v>71</v>
      </c>
      <c r="F399" s="82" t="s">
        <v>79</v>
      </c>
      <c r="G399" s="83" t="s">
        <v>45</v>
      </c>
      <c r="H399" s="83" t="s">
        <v>39</v>
      </c>
      <c r="I399" s="104" t="s">
        <v>415</v>
      </c>
      <c r="J399" s="431" t="s">
        <v>56</v>
      </c>
      <c r="K399" s="421">
        <f>75.3+6.02403</f>
        <v>81.324029999999993</v>
      </c>
      <c r="L399" s="24">
        <f>M399-K399</f>
        <v>0</v>
      </c>
      <c r="M399" s="421">
        <f>75.3+6.02403</f>
        <v>81.324029999999993</v>
      </c>
      <c r="N399" s="165"/>
    </row>
    <row r="400" spans="1:14" s="131" customFormat="1" ht="54" customHeight="1" x14ac:dyDescent="0.35">
      <c r="A400" s="126"/>
      <c r="B400" s="557" t="s">
        <v>40</v>
      </c>
      <c r="C400" s="127" t="s">
        <v>412</v>
      </c>
      <c r="D400" s="128" t="s">
        <v>37</v>
      </c>
      <c r="E400" s="128" t="s">
        <v>71</v>
      </c>
      <c r="F400" s="136" t="s">
        <v>41</v>
      </c>
      <c r="G400" s="83" t="s">
        <v>42</v>
      </c>
      <c r="H400" s="83" t="s">
        <v>43</v>
      </c>
      <c r="I400" s="84" t="s">
        <v>44</v>
      </c>
      <c r="J400" s="85"/>
      <c r="K400" s="263">
        <f t="shared" ref="K400:M402" si="66">K401</f>
        <v>6577.4</v>
      </c>
      <c r="L400" s="263">
        <f t="shared" si="66"/>
        <v>0</v>
      </c>
      <c r="M400" s="263">
        <f t="shared" si="66"/>
        <v>6577.4</v>
      </c>
      <c r="N400" s="159"/>
    </row>
    <row r="401" spans="1:14" s="131" customFormat="1" ht="36" customHeight="1" x14ac:dyDescent="0.35">
      <c r="A401" s="126"/>
      <c r="B401" s="551" t="s">
        <v>337</v>
      </c>
      <c r="C401" s="127" t="s">
        <v>412</v>
      </c>
      <c r="D401" s="128" t="s">
        <v>37</v>
      </c>
      <c r="E401" s="128" t="s">
        <v>71</v>
      </c>
      <c r="F401" s="93" t="s">
        <v>41</v>
      </c>
      <c r="G401" s="83" t="s">
        <v>45</v>
      </c>
      <c r="H401" s="83" t="s">
        <v>43</v>
      </c>
      <c r="I401" s="84" t="s">
        <v>44</v>
      </c>
      <c r="J401" s="85"/>
      <c r="K401" s="130">
        <f t="shared" si="66"/>
        <v>6577.4</v>
      </c>
      <c r="L401" s="130">
        <f t="shared" si="66"/>
        <v>0</v>
      </c>
      <c r="M401" s="130">
        <f t="shared" si="66"/>
        <v>6577.4</v>
      </c>
      <c r="N401" s="159"/>
    </row>
    <row r="402" spans="1:14" s="131" customFormat="1" ht="72" customHeight="1" x14ac:dyDescent="0.35">
      <c r="A402" s="126"/>
      <c r="B402" s="540" t="s">
        <v>298</v>
      </c>
      <c r="C402" s="127" t="s">
        <v>412</v>
      </c>
      <c r="D402" s="128" t="s">
        <v>37</v>
      </c>
      <c r="E402" s="128" t="s">
        <v>71</v>
      </c>
      <c r="F402" s="93" t="s">
        <v>41</v>
      </c>
      <c r="G402" s="83" t="s">
        <v>45</v>
      </c>
      <c r="H402" s="83" t="s">
        <v>81</v>
      </c>
      <c r="I402" s="84" t="s">
        <v>44</v>
      </c>
      <c r="J402" s="85"/>
      <c r="K402" s="130">
        <f t="shared" si="66"/>
        <v>6577.4</v>
      </c>
      <c r="L402" s="130">
        <f t="shared" si="66"/>
        <v>0</v>
      </c>
      <c r="M402" s="130">
        <f t="shared" si="66"/>
        <v>6577.4</v>
      </c>
      <c r="N402" s="159"/>
    </row>
    <row r="403" spans="1:14" s="131" customFormat="1" ht="36" customHeight="1" x14ac:dyDescent="0.35">
      <c r="A403" s="126"/>
      <c r="B403" s="529" t="s">
        <v>461</v>
      </c>
      <c r="C403" s="127" t="s">
        <v>412</v>
      </c>
      <c r="D403" s="128" t="s">
        <v>37</v>
      </c>
      <c r="E403" s="128" t="s">
        <v>71</v>
      </c>
      <c r="F403" s="93" t="s">
        <v>41</v>
      </c>
      <c r="G403" s="83" t="s">
        <v>45</v>
      </c>
      <c r="H403" s="83" t="s">
        <v>81</v>
      </c>
      <c r="I403" s="84" t="s">
        <v>91</v>
      </c>
      <c r="J403" s="85"/>
      <c r="K403" s="270">
        <f>K404+K405</f>
        <v>6577.4</v>
      </c>
      <c r="L403" s="270">
        <f>L404+L405</f>
        <v>0</v>
      </c>
      <c r="M403" s="270">
        <f>M404+M405</f>
        <v>6577.4</v>
      </c>
      <c r="N403" s="159"/>
    </row>
    <row r="404" spans="1:14" s="131" customFormat="1" ht="108" customHeight="1" x14ac:dyDescent="0.35">
      <c r="A404" s="126"/>
      <c r="B404" s="540" t="s">
        <v>49</v>
      </c>
      <c r="C404" s="127" t="s">
        <v>412</v>
      </c>
      <c r="D404" s="128" t="s">
        <v>37</v>
      </c>
      <c r="E404" s="128" t="s">
        <v>71</v>
      </c>
      <c r="F404" s="93" t="s">
        <v>41</v>
      </c>
      <c r="G404" s="83" t="s">
        <v>45</v>
      </c>
      <c r="H404" s="83" t="s">
        <v>81</v>
      </c>
      <c r="I404" s="84" t="s">
        <v>91</v>
      </c>
      <c r="J404" s="85" t="s">
        <v>50</v>
      </c>
      <c r="K404" s="257">
        <f>5728.3-350+350</f>
        <v>5728.3</v>
      </c>
      <c r="L404" s="24">
        <f>M404-K404</f>
        <v>0</v>
      </c>
      <c r="M404" s="257">
        <f>5728.3-350+350</f>
        <v>5728.3</v>
      </c>
      <c r="N404" s="159"/>
    </row>
    <row r="405" spans="1:14" s="131" customFormat="1" ht="54" customHeight="1" x14ac:dyDescent="0.35">
      <c r="A405" s="126"/>
      <c r="B405" s="551" t="s">
        <v>55</v>
      </c>
      <c r="C405" s="127" t="s">
        <v>412</v>
      </c>
      <c r="D405" s="128" t="s">
        <v>37</v>
      </c>
      <c r="E405" s="128" t="s">
        <v>71</v>
      </c>
      <c r="F405" s="93" t="s">
        <v>41</v>
      </c>
      <c r="G405" s="83" t="s">
        <v>45</v>
      </c>
      <c r="H405" s="83" t="s">
        <v>81</v>
      </c>
      <c r="I405" s="84" t="s">
        <v>91</v>
      </c>
      <c r="J405" s="85" t="s">
        <v>56</v>
      </c>
      <c r="K405" s="257">
        <f>458.7+40.4+350</f>
        <v>849.09999999999991</v>
      </c>
      <c r="L405" s="24">
        <f>M405-K405</f>
        <v>0</v>
      </c>
      <c r="M405" s="257">
        <f>458.7+40.4+350</f>
        <v>849.09999999999991</v>
      </c>
      <c r="N405" s="159"/>
    </row>
    <row r="406" spans="1:14" s="131" customFormat="1" ht="108" x14ac:dyDescent="0.35">
      <c r="A406" s="126"/>
      <c r="B406" s="551" t="s">
        <v>666</v>
      </c>
      <c r="C406" s="127" t="s">
        <v>412</v>
      </c>
      <c r="D406" s="128" t="s">
        <v>37</v>
      </c>
      <c r="E406" s="128" t="s">
        <v>71</v>
      </c>
      <c r="F406" s="93" t="s">
        <v>667</v>
      </c>
      <c r="G406" s="101" t="s">
        <v>42</v>
      </c>
      <c r="H406" s="101" t="s">
        <v>43</v>
      </c>
      <c r="I406" s="102" t="s">
        <v>44</v>
      </c>
      <c r="J406" s="85"/>
      <c r="K406" s="257">
        <f t="shared" ref="K406:M409" si="67">K407</f>
        <v>614.27200000000005</v>
      </c>
      <c r="L406" s="24">
        <f t="shared" si="67"/>
        <v>0</v>
      </c>
      <c r="M406" s="257">
        <f t="shared" si="67"/>
        <v>614.27200000000005</v>
      </c>
      <c r="N406" s="159"/>
    </row>
    <row r="407" spans="1:14" s="131" customFormat="1" ht="108" x14ac:dyDescent="0.35">
      <c r="A407" s="126"/>
      <c r="B407" s="551" t="s">
        <v>668</v>
      </c>
      <c r="C407" s="127" t="s">
        <v>412</v>
      </c>
      <c r="D407" s="128" t="s">
        <v>37</v>
      </c>
      <c r="E407" s="128" t="s">
        <v>71</v>
      </c>
      <c r="F407" s="93" t="s">
        <v>667</v>
      </c>
      <c r="G407" s="83" t="s">
        <v>89</v>
      </c>
      <c r="H407" s="83" t="s">
        <v>43</v>
      </c>
      <c r="I407" s="84" t="s">
        <v>44</v>
      </c>
      <c r="J407" s="85"/>
      <c r="K407" s="257">
        <f t="shared" si="67"/>
        <v>614.27200000000005</v>
      </c>
      <c r="L407" s="24">
        <f t="shared" si="67"/>
        <v>0</v>
      </c>
      <c r="M407" s="257">
        <f t="shared" si="67"/>
        <v>614.27200000000005</v>
      </c>
      <c r="N407" s="159"/>
    </row>
    <row r="408" spans="1:14" s="131" customFormat="1" ht="90" x14ac:dyDescent="0.35">
      <c r="A408" s="126"/>
      <c r="B408" s="551" t="s">
        <v>720</v>
      </c>
      <c r="C408" s="127" t="s">
        <v>412</v>
      </c>
      <c r="D408" s="128" t="s">
        <v>37</v>
      </c>
      <c r="E408" s="128" t="s">
        <v>71</v>
      </c>
      <c r="F408" s="93" t="s">
        <v>667</v>
      </c>
      <c r="G408" s="83" t="s">
        <v>89</v>
      </c>
      <c r="H408" s="83" t="s">
        <v>81</v>
      </c>
      <c r="I408" s="84" t="s">
        <v>44</v>
      </c>
      <c r="J408" s="85"/>
      <c r="K408" s="257">
        <f t="shared" si="67"/>
        <v>614.27200000000005</v>
      </c>
      <c r="L408" s="24">
        <f t="shared" si="67"/>
        <v>0</v>
      </c>
      <c r="M408" s="257">
        <f t="shared" si="67"/>
        <v>614.27200000000005</v>
      </c>
      <c r="N408" s="159"/>
    </row>
    <row r="409" spans="1:14" s="131" customFormat="1" ht="36" x14ac:dyDescent="0.35">
      <c r="A409" s="126"/>
      <c r="B409" s="551" t="s">
        <v>442</v>
      </c>
      <c r="C409" s="127" t="s">
        <v>412</v>
      </c>
      <c r="D409" s="128" t="s">
        <v>37</v>
      </c>
      <c r="E409" s="128" t="s">
        <v>71</v>
      </c>
      <c r="F409" s="93" t="s">
        <v>667</v>
      </c>
      <c r="G409" s="83" t="s">
        <v>89</v>
      </c>
      <c r="H409" s="83" t="s">
        <v>81</v>
      </c>
      <c r="I409" s="84" t="s">
        <v>69</v>
      </c>
      <c r="J409" s="85"/>
      <c r="K409" s="257">
        <f t="shared" si="67"/>
        <v>614.27200000000005</v>
      </c>
      <c r="L409" s="24">
        <f t="shared" si="67"/>
        <v>0</v>
      </c>
      <c r="M409" s="257">
        <f t="shared" si="67"/>
        <v>614.27200000000005</v>
      </c>
      <c r="N409" s="159"/>
    </row>
    <row r="410" spans="1:14" s="131" customFormat="1" ht="54" customHeight="1" x14ac:dyDescent="0.35">
      <c r="A410" s="126"/>
      <c r="B410" s="551" t="s">
        <v>55</v>
      </c>
      <c r="C410" s="127" t="s">
        <v>412</v>
      </c>
      <c r="D410" s="128" t="s">
        <v>37</v>
      </c>
      <c r="E410" s="128" t="s">
        <v>71</v>
      </c>
      <c r="F410" s="93" t="s">
        <v>667</v>
      </c>
      <c r="G410" s="83" t="s">
        <v>89</v>
      </c>
      <c r="H410" s="83" t="s">
        <v>81</v>
      </c>
      <c r="I410" s="84" t="s">
        <v>69</v>
      </c>
      <c r="J410" s="85" t="s">
        <v>56</v>
      </c>
      <c r="K410" s="257">
        <v>614.27200000000005</v>
      </c>
      <c r="L410" s="24">
        <f>M410-K410</f>
        <v>0</v>
      </c>
      <c r="M410" s="257">
        <v>614.27200000000005</v>
      </c>
      <c r="N410" s="159"/>
    </row>
    <row r="411" spans="1:14" s="131" customFormat="1" ht="18" customHeight="1" x14ac:dyDescent="0.35">
      <c r="A411" s="126"/>
      <c r="B411" s="551" t="s">
        <v>92</v>
      </c>
      <c r="C411" s="127" t="s">
        <v>412</v>
      </c>
      <c r="D411" s="128" t="s">
        <v>52</v>
      </c>
      <c r="E411" s="128"/>
      <c r="F411" s="93"/>
      <c r="G411" s="83"/>
      <c r="H411" s="83"/>
      <c r="I411" s="84"/>
      <c r="J411" s="85"/>
      <c r="K411" s="263">
        <f t="shared" ref="K411:M416" si="68">K412</f>
        <v>1089.4000000000001</v>
      </c>
      <c r="L411" s="263">
        <f t="shared" si="68"/>
        <v>0</v>
      </c>
      <c r="M411" s="263">
        <f t="shared" si="68"/>
        <v>1089.4000000000001</v>
      </c>
      <c r="N411" s="159"/>
    </row>
    <row r="412" spans="1:14" s="131" customFormat="1" ht="36" customHeight="1" x14ac:dyDescent="0.35">
      <c r="A412" s="126"/>
      <c r="B412" s="560" t="s">
        <v>106</v>
      </c>
      <c r="C412" s="127" t="s">
        <v>412</v>
      </c>
      <c r="D412" s="128" t="s">
        <v>52</v>
      </c>
      <c r="E412" s="128" t="s">
        <v>100</v>
      </c>
      <c r="F412" s="93"/>
      <c r="G412" s="83"/>
      <c r="H412" s="83"/>
      <c r="I412" s="84"/>
      <c r="J412" s="85"/>
      <c r="K412" s="130">
        <f t="shared" si="68"/>
        <v>1089.4000000000001</v>
      </c>
      <c r="L412" s="130">
        <f t="shared" si="68"/>
        <v>0</v>
      </c>
      <c r="M412" s="130">
        <f t="shared" si="68"/>
        <v>1089.4000000000001</v>
      </c>
      <c r="N412" s="159"/>
    </row>
    <row r="413" spans="1:14" s="131" customFormat="1" ht="54" customHeight="1" x14ac:dyDescent="0.35">
      <c r="A413" s="126"/>
      <c r="B413" s="540" t="s">
        <v>225</v>
      </c>
      <c r="C413" s="127" t="s">
        <v>412</v>
      </c>
      <c r="D413" s="128" t="s">
        <v>52</v>
      </c>
      <c r="E413" s="128" t="s">
        <v>100</v>
      </c>
      <c r="F413" s="93" t="s">
        <v>226</v>
      </c>
      <c r="G413" s="83" t="s">
        <v>42</v>
      </c>
      <c r="H413" s="83" t="s">
        <v>43</v>
      </c>
      <c r="I413" s="84" t="s">
        <v>44</v>
      </c>
      <c r="J413" s="85"/>
      <c r="K413" s="130">
        <f>K414+K418</f>
        <v>1089.4000000000001</v>
      </c>
      <c r="L413" s="130">
        <f>L414+L418</f>
        <v>0</v>
      </c>
      <c r="M413" s="130">
        <f>M414+M418</f>
        <v>1089.4000000000001</v>
      </c>
      <c r="N413" s="159"/>
    </row>
    <row r="414" spans="1:14" s="131" customFormat="1" ht="36" customHeight="1" x14ac:dyDescent="0.35">
      <c r="A414" s="126"/>
      <c r="B414" s="540" t="s">
        <v>227</v>
      </c>
      <c r="C414" s="127" t="s">
        <v>412</v>
      </c>
      <c r="D414" s="128" t="s">
        <v>52</v>
      </c>
      <c r="E414" s="128" t="s">
        <v>100</v>
      </c>
      <c r="F414" s="93" t="s">
        <v>226</v>
      </c>
      <c r="G414" s="83" t="s">
        <v>45</v>
      </c>
      <c r="H414" s="83" t="s">
        <v>43</v>
      </c>
      <c r="I414" s="84" t="s">
        <v>44</v>
      </c>
      <c r="J414" s="85"/>
      <c r="K414" s="130">
        <f t="shared" si="68"/>
        <v>1078.2</v>
      </c>
      <c r="L414" s="130">
        <f t="shared" si="68"/>
        <v>0</v>
      </c>
      <c r="M414" s="130">
        <f t="shared" si="68"/>
        <v>1078.2</v>
      </c>
      <c r="N414" s="159"/>
    </row>
    <row r="415" spans="1:14" s="131" customFormat="1" ht="90" customHeight="1" x14ac:dyDescent="0.35">
      <c r="A415" s="126"/>
      <c r="B415" s="540" t="s">
        <v>296</v>
      </c>
      <c r="C415" s="127" t="s">
        <v>412</v>
      </c>
      <c r="D415" s="128" t="s">
        <v>52</v>
      </c>
      <c r="E415" s="128" t="s">
        <v>100</v>
      </c>
      <c r="F415" s="93" t="s">
        <v>226</v>
      </c>
      <c r="G415" s="83" t="s">
        <v>45</v>
      </c>
      <c r="H415" s="83" t="s">
        <v>37</v>
      </c>
      <c r="I415" s="84" t="s">
        <v>44</v>
      </c>
      <c r="J415" s="85"/>
      <c r="K415" s="130">
        <f t="shared" si="68"/>
        <v>1078.2</v>
      </c>
      <c r="L415" s="130">
        <f t="shared" si="68"/>
        <v>0</v>
      </c>
      <c r="M415" s="130">
        <f t="shared" si="68"/>
        <v>1078.2</v>
      </c>
      <c r="N415" s="159"/>
    </row>
    <row r="416" spans="1:14" s="131" customFormat="1" ht="36" customHeight="1" x14ac:dyDescent="0.35">
      <c r="A416" s="126"/>
      <c r="B416" s="540" t="s">
        <v>370</v>
      </c>
      <c r="C416" s="127" t="s">
        <v>412</v>
      </c>
      <c r="D416" s="128" t="s">
        <v>52</v>
      </c>
      <c r="E416" s="128" t="s">
        <v>100</v>
      </c>
      <c r="F416" s="93" t="s">
        <v>226</v>
      </c>
      <c r="G416" s="83" t="s">
        <v>45</v>
      </c>
      <c r="H416" s="83" t="s">
        <v>37</v>
      </c>
      <c r="I416" s="84" t="s">
        <v>369</v>
      </c>
      <c r="J416" s="85"/>
      <c r="K416" s="130">
        <f t="shared" si="68"/>
        <v>1078.2</v>
      </c>
      <c r="L416" s="130">
        <f t="shared" si="68"/>
        <v>0</v>
      </c>
      <c r="M416" s="130">
        <f t="shared" si="68"/>
        <v>1078.2</v>
      </c>
      <c r="N416" s="159"/>
    </row>
    <row r="417" spans="1:14" s="131" customFormat="1" ht="54" customHeight="1" x14ac:dyDescent="0.35">
      <c r="A417" s="126"/>
      <c r="B417" s="645" t="s">
        <v>55</v>
      </c>
      <c r="C417" s="127" t="s">
        <v>412</v>
      </c>
      <c r="D417" s="128" t="s">
        <v>52</v>
      </c>
      <c r="E417" s="128" t="s">
        <v>100</v>
      </c>
      <c r="F417" s="93" t="s">
        <v>226</v>
      </c>
      <c r="G417" s="83" t="s">
        <v>45</v>
      </c>
      <c r="H417" s="83" t="s">
        <v>37</v>
      </c>
      <c r="I417" s="84" t="s">
        <v>369</v>
      </c>
      <c r="J417" s="85" t="s">
        <v>56</v>
      </c>
      <c r="K417" s="130">
        <f>1074+4.2</f>
        <v>1078.2</v>
      </c>
      <c r="L417" s="24">
        <f>M417-K417</f>
        <v>0</v>
      </c>
      <c r="M417" s="130">
        <f>1074+4.2</f>
        <v>1078.2</v>
      </c>
      <c r="N417" s="159"/>
    </row>
    <row r="418" spans="1:14" s="131" customFormat="1" ht="36" x14ac:dyDescent="0.35">
      <c r="A418" s="644"/>
      <c r="B418" s="549" t="s">
        <v>337</v>
      </c>
      <c r="C418" s="649" t="s">
        <v>412</v>
      </c>
      <c r="D418" s="128" t="s">
        <v>52</v>
      </c>
      <c r="E418" s="128" t="s">
        <v>100</v>
      </c>
      <c r="F418" s="93" t="s">
        <v>226</v>
      </c>
      <c r="G418" s="94" t="s">
        <v>30</v>
      </c>
      <c r="H418" s="94" t="s">
        <v>43</v>
      </c>
      <c r="I418" s="95" t="s">
        <v>44</v>
      </c>
      <c r="J418" s="650"/>
      <c r="K418" s="265">
        <f t="shared" ref="K418:M420" si="69">K419</f>
        <v>11.2</v>
      </c>
      <c r="L418" s="24">
        <f t="shared" si="69"/>
        <v>0</v>
      </c>
      <c r="M418" s="265">
        <f t="shared" si="69"/>
        <v>11.2</v>
      </c>
      <c r="N418" s="159"/>
    </row>
    <row r="419" spans="1:14" s="131" customFormat="1" ht="36" x14ac:dyDescent="0.35">
      <c r="A419" s="644"/>
      <c r="B419" s="549" t="s">
        <v>372</v>
      </c>
      <c r="C419" s="651" t="s">
        <v>412</v>
      </c>
      <c r="D419" s="128" t="s">
        <v>52</v>
      </c>
      <c r="E419" s="128" t="s">
        <v>100</v>
      </c>
      <c r="F419" s="453" t="s">
        <v>226</v>
      </c>
      <c r="G419" s="454" t="s">
        <v>30</v>
      </c>
      <c r="H419" s="454" t="s">
        <v>226</v>
      </c>
      <c r="I419" s="455" t="s">
        <v>44</v>
      </c>
      <c r="J419" s="650"/>
      <c r="K419" s="265">
        <f t="shared" si="69"/>
        <v>11.2</v>
      </c>
      <c r="L419" s="24">
        <f t="shared" si="69"/>
        <v>0</v>
      </c>
      <c r="M419" s="265">
        <f t="shared" si="69"/>
        <v>11.2</v>
      </c>
      <c r="N419" s="159"/>
    </row>
    <row r="420" spans="1:14" s="131" customFormat="1" ht="36" x14ac:dyDescent="0.35">
      <c r="A420" s="126"/>
      <c r="B420" s="620" t="s">
        <v>335</v>
      </c>
      <c r="C420" s="162" t="s">
        <v>412</v>
      </c>
      <c r="D420" s="445" t="s">
        <v>52</v>
      </c>
      <c r="E420" s="445" t="s">
        <v>100</v>
      </c>
      <c r="F420" s="446" t="s">
        <v>226</v>
      </c>
      <c r="G420" s="447" t="s">
        <v>30</v>
      </c>
      <c r="H420" s="447" t="s">
        <v>226</v>
      </c>
      <c r="I420" s="448" t="s">
        <v>334</v>
      </c>
      <c r="J420" s="449"/>
      <c r="K420" s="265">
        <f t="shared" si="69"/>
        <v>11.2</v>
      </c>
      <c r="L420" s="24">
        <f t="shared" si="69"/>
        <v>0</v>
      </c>
      <c r="M420" s="265">
        <f t="shared" si="69"/>
        <v>11.2</v>
      </c>
      <c r="N420" s="159"/>
    </row>
    <row r="421" spans="1:14" s="131" customFormat="1" ht="54" customHeight="1" x14ac:dyDescent="0.35">
      <c r="A421" s="126"/>
      <c r="B421" s="616" t="s">
        <v>55</v>
      </c>
      <c r="C421" s="317" t="s">
        <v>412</v>
      </c>
      <c r="D421" s="617" t="s">
        <v>52</v>
      </c>
      <c r="E421" s="445" t="s">
        <v>100</v>
      </c>
      <c r="F421" s="446" t="s">
        <v>226</v>
      </c>
      <c r="G421" s="447" t="s">
        <v>30</v>
      </c>
      <c r="H421" s="447" t="s">
        <v>226</v>
      </c>
      <c r="I421" s="448" t="s">
        <v>334</v>
      </c>
      <c r="J421" s="449" t="s">
        <v>56</v>
      </c>
      <c r="K421" s="265">
        <v>11.2</v>
      </c>
      <c r="L421" s="24">
        <f>M421-K421</f>
        <v>0</v>
      </c>
      <c r="M421" s="265">
        <v>11.2</v>
      </c>
      <c r="N421" s="159"/>
    </row>
    <row r="422" spans="1:14" s="131" customFormat="1" ht="18" customHeight="1" x14ac:dyDescent="0.35">
      <c r="A422" s="126"/>
      <c r="B422" s="540" t="s">
        <v>177</v>
      </c>
      <c r="C422" s="127" t="s">
        <v>412</v>
      </c>
      <c r="D422" s="128" t="s">
        <v>65</v>
      </c>
      <c r="E422" s="128"/>
      <c r="F422" s="82"/>
      <c r="G422" s="83"/>
      <c r="H422" s="83"/>
      <c r="I422" s="104"/>
      <c r="J422" s="85"/>
      <c r="K422" s="130">
        <f t="shared" ref="K422:M425" si="70">K423</f>
        <v>47793.5</v>
      </c>
      <c r="L422" s="263">
        <f t="shared" si="70"/>
        <v>-1648.4</v>
      </c>
      <c r="M422" s="130">
        <f t="shared" si="70"/>
        <v>46145.1</v>
      </c>
      <c r="N422" s="159"/>
    </row>
    <row r="423" spans="1:14" s="131" customFormat="1" ht="18" customHeight="1" x14ac:dyDescent="0.35">
      <c r="A423" s="126"/>
      <c r="B423" s="540" t="s">
        <v>331</v>
      </c>
      <c r="C423" s="127" t="s">
        <v>412</v>
      </c>
      <c r="D423" s="128" t="s">
        <v>65</v>
      </c>
      <c r="E423" s="128" t="s">
        <v>39</v>
      </c>
      <c r="F423" s="82"/>
      <c r="G423" s="83"/>
      <c r="H423" s="83"/>
      <c r="I423" s="104"/>
      <c r="J423" s="85"/>
      <c r="K423" s="130">
        <f t="shared" ref="K423:M424" si="71">K424</f>
        <v>47793.5</v>
      </c>
      <c r="L423" s="130">
        <f t="shared" si="71"/>
        <v>-1648.4</v>
      </c>
      <c r="M423" s="130">
        <f t="shared" si="71"/>
        <v>46145.1</v>
      </c>
      <c r="N423" s="159"/>
    </row>
    <row r="424" spans="1:14" s="131" customFormat="1" ht="72" customHeight="1" x14ac:dyDescent="0.35">
      <c r="A424" s="126"/>
      <c r="B424" s="561" t="s">
        <v>330</v>
      </c>
      <c r="C424" s="127" t="s">
        <v>412</v>
      </c>
      <c r="D424" s="128" t="s">
        <v>65</v>
      </c>
      <c r="E424" s="128" t="s">
        <v>39</v>
      </c>
      <c r="F424" s="82" t="s">
        <v>104</v>
      </c>
      <c r="G424" s="83" t="s">
        <v>42</v>
      </c>
      <c r="H424" s="83" t="s">
        <v>43</v>
      </c>
      <c r="I424" s="104" t="s">
        <v>44</v>
      </c>
      <c r="J424" s="85"/>
      <c r="K424" s="130">
        <f t="shared" si="71"/>
        <v>47793.5</v>
      </c>
      <c r="L424" s="130">
        <f t="shared" si="71"/>
        <v>-1648.4</v>
      </c>
      <c r="M424" s="130">
        <f t="shared" si="71"/>
        <v>46145.1</v>
      </c>
      <c r="N424" s="159"/>
    </row>
    <row r="425" spans="1:14" s="131" customFormat="1" ht="54" customHeight="1" x14ac:dyDescent="0.35">
      <c r="A425" s="126"/>
      <c r="B425" s="551" t="s">
        <v>332</v>
      </c>
      <c r="C425" s="127" t="s">
        <v>412</v>
      </c>
      <c r="D425" s="128" t="s">
        <v>65</v>
      </c>
      <c r="E425" s="128" t="s">
        <v>39</v>
      </c>
      <c r="F425" s="82" t="s">
        <v>104</v>
      </c>
      <c r="G425" s="83" t="s">
        <v>45</v>
      </c>
      <c r="H425" s="83" t="s">
        <v>43</v>
      </c>
      <c r="I425" s="104" t="s">
        <v>44</v>
      </c>
      <c r="J425" s="85"/>
      <c r="K425" s="130">
        <f t="shared" si="70"/>
        <v>47793.5</v>
      </c>
      <c r="L425" s="130">
        <f>L426</f>
        <v>-1648.4</v>
      </c>
      <c r="M425" s="130">
        <f t="shared" si="70"/>
        <v>46145.1</v>
      </c>
      <c r="N425" s="159"/>
    </row>
    <row r="426" spans="1:14" s="131" customFormat="1" ht="54" customHeight="1" x14ac:dyDescent="0.35">
      <c r="A426" s="126"/>
      <c r="B426" s="551" t="s">
        <v>371</v>
      </c>
      <c r="C426" s="127" t="s">
        <v>412</v>
      </c>
      <c r="D426" s="128" t="s">
        <v>65</v>
      </c>
      <c r="E426" s="128" t="s">
        <v>39</v>
      </c>
      <c r="F426" s="82" t="s">
        <v>104</v>
      </c>
      <c r="G426" s="83" t="s">
        <v>45</v>
      </c>
      <c r="H426" s="83" t="s">
        <v>37</v>
      </c>
      <c r="I426" s="104" t="s">
        <v>44</v>
      </c>
      <c r="J426" s="85"/>
      <c r="K426" s="130">
        <f>K429+K427</f>
        <v>47793.5</v>
      </c>
      <c r="L426" s="130">
        <f>L429+L427</f>
        <v>-1648.4</v>
      </c>
      <c r="M426" s="130">
        <f>M429+M427</f>
        <v>46145.1</v>
      </c>
      <c r="N426" s="159"/>
    </row>
    <row r="427" spans="1:14" s="131" customFormat="1" ht="54" customHeight="1" x14ac:dyDescent="0.35">
      <c r="A427" s="126"/>
      <c r="B427" s="551" t="s">
        <v>783</v>
      </c>
      <c r="C427" s="127" t="s">
        <v>412</v>
      </c>
      <c r="D427" s="128" t="s">
        <v>65</v>
      </c>
      <c r="E427" s="128" t="s">
        <v>39</v>
      </c>
      <c r="F427" s="82" t="s">
        <v>104</v>
      </c>
      <c r="G427" s="83" t="s">
        <v>45</v>
      </c>
      <c r="H427" s="83" t="s">
        <v>37</v>
      </c>
      <c r="I427" s="104" t="s">
        <v>782</v>
      </c>
      <c r="J427" s="85"/>
      <c r="K427" s="130">
        <f>K428</f>
        <v>1678.4</v>
      </c>
      <c r="L427" s="672">
        <f>L428</f>
        <v>-1648.4</v>
      </c>
      <c r="M427" s="130">
        <f>M428</f>
        <v>30</v>
      </c>
      <c r="N427" s="159"/>
    </row>
    <row r="428" spans="1:14" s="131" customFormat="1" ht="54" customHeight="1" x14ac:dyDescent="0.35">
      <c r="A428" s="126"/>
      <c r="B428" s="551" t="s">
        <v>203</v>
      </c>
      <c r="C428" s="127" t="s">
        <v>412</v>
      </c>
      <c r="D428" s="128" t="s">
        <v>65</v>
      </c>
      <c r="E428" s="128" t="s">
        <v>39</v>
      </c>
      <c r="F428" s="82" t="s">
        <v>104</v>
      </c>
      <c r="G428" s="83" t="s">
        <v>45</v>
      </c>
      <c r="H428" s="83" t="s">
        <v>37</v>
      </c>
      <c r="I428" s="104" t="s">
        <v>782</v>
      </c>
      <c r="J428" s="85" t="s">
        <v>204</v>
      </c>
      <c r="K428" s="130">
        <v>1678.4</v>
      </c>
      <c r="L428" s="24">
        <f>M428-K428</f>
        <v>-1648.4</v>
      </c>
      <c r="M428" s="130">
        <f>1678.4-1648.4</f>
        <v>30</v>
      </c>
      <c r="N428" s="159"/>
    </row>
    <row r="429" spans="1:14" s="131" customFormat="1" ht="72" customHeight="1" x14ac:dyDescent="0.35">
      <c r="A429" s="126"/>
      <c r="B429" s="551" t="s">
        <v>497</v>
      </c>
      <c r="C429" s="127" t="s">
        <v>412</v>
      </c>
      <c r="D429" s="128" t="s">
        <v>65</v>
      </c>
      <c r="E429" s="128" t="s">
        <v>39</v>
      </c>
      <c r="F429" s="82" t="s">
        <v>104</v>
      </c>
      <c r="G429" s="83" t="s">
        <v>45</v>
      </c>
      <c r="H429" s="83" t="s">
        <v>37</v>
      </c>
      <c r="I429" s="104" t="s">
        <v>413</v>
      </c>
      <c r="J429" s="85"/>
      <c r="K429" s="130">
        <f t="shared" ref="K429:M429" si="72">K430</f>
        <v>46115.1</v>
      </c>
      <c r="L429" s="130">
        <f t="shared" si="72"/>
        <v>0</v>
      </c>
      <c r="M429" s="130">
        <f t="shared" si="72"/>
        <v>46115.1</v>
      </c>
      <c r="N429" s="159"/>
    </row>
    <row r="430" spans="1:14" s="131" customFormat="1" ht="54" customHeight="1" x14ac:dyDescent="0.35">
      <c r="A430" s="126"/>
      <c r="B430" s="551" t="s">
        <v>203</v>
      </c>
      <c r="C430" s="127" t="s">
        <v>412</v>
      </c>
      <c r="D430" s="128" t="s">
        <v>65</v>
      </c>
      <c r="E430" s="128" t="s">
        <v>39</v>
      </c>
      <c r="F430" s="82" t="s">
        <v>104</v>
      </c>
      <c r="G430" s="83" t="s">
        <v>45</v>
      </c>
      <c r="H430" s="83" t="s">
        <v>37</v>
      </c>
      <c r="I430" s="104" t="s">
        <v>413</v>
      </c>
      <c r="J430" s="85" t="s">
        <v>204</v>
      </c>
      <c r="K430" s="130">
        <f>75699.1+2894.8+1089.4-31889.8-1678.4</f>
        <v>46115.1</v>
      </c>
      <c r="L430" s="24">
        <f>M430-K430</f>
        <v>0</v>
      </c>
      <c r="M430" s="130">
        <f>75699.1+2894.8+1089.4-31889.8-1678.4</f>
        <v>46115.1</v>
      </c>
      <c r="N430" s="159"/>
    </row>
    <row r="431" spans="1:14" s="131" customFormat="1" ht="18" customHeight="1" x14ac:dyDescent="0.35">
      <c r="A431" s="126"/>
      <c r="B431" s="562" t="s">
        <v>179</v>
      </c>
      <c r="C431" s="127" t="s">
        <v>412</v>
      </c>
      <c r="D431" s="128" t="s">
        <v>224</v>
      </c>
      <c r="E431" s="128"/>
      <c r="F431" s="82"/>
      <c r="G431" s="83"/>
      <c r="H431" s="83"/>
      <c r="I431" s="104"/>
      <c r="J431" s="85"/>
      <c r="K431" s="130">
        <f>K440+K432+K448</f>
        <v>136174.58000000002</v>
      </c>
      <c r="L431" s="130">
        <f>L440+L432+L448</f>
        <v>0</v>
      </c>
      <c r="M431" s="130">
        <f>M440+M432+M448</f>
        <v>136174.58000000002</v>
      </c>
      <c r="N431" s="159"/>
    </row>
    <row r="432" spans="1:14" s="131" customFormat="1" ht="18" customHeight="1" x14ac:dyDescent="0.35">
      <c r="A432" s="126"/>
      <c r="B432" s="562" t="s">
        <v>181</v>
      </c>
      <c r="C432" s="127" t="s">
        <v>412</v>
      </c>
      <c r="D432" s="128" t="s">
        <v>224</v>
      </c>
      <c r="E432" s="128" t="s">
        <v>37</v>
      </c>
      <c r="F432" s="82"/>
      <c r="G432" s="83"/>
      <c r="H432" s="83"/>
      <c r="I432" s="84"/>
      <c r="J432" s="85"/>
      <c r="K432" s="130">
        <f t="shared" ref="K432:M436" si="73">K433</f>
        <v>87680.280000000013</v>
      </c>
      <c r="L432" s="130">
        <f t="shared" si="73"/>
        <v>0</v>
      </c>
      <c r="M432" s="130">
        <f t="shared" si="73"/>
        <v>87680.280000000013</v>
      </c>
      <c r="N432" s="159"/>
    </row>
    <row r="433" spans="1:14" s="131" customFormat="1" ht="54" customHeight="1" x14ac:dyDescent="0.35">
      <c r="A433" s="126"/>
      <c r="B433" s="562" t="s">
        <v>434</v>
      </c>
      <c r="C433" s="127" t="s">
        <v>412</v>
      </c>
      <c r="D433" s="128" t="s">
        <v>224</v>
      </c>
      <c r="E433" s="128" t="s">
        <v>37</v>
      </c>
      <c r="F433" s="82" t="s">
        <v>39</v>
      </c>
      <c r="G433" s="83" t="s">
        <v>42</v>
      </c>
      <c r="H433" s="83" t="s">
        <v>43</v>
      </c>
      <c r="I433" s="84" t="s">
        <v>44</v>
      </c>
      <c r="J433" s="85"/>
      <c r="K433" s="130">
        <f t="shared" si="73"/>
        <v>87680.280000000013</v>
      </c>
      <c r="L433" s="130">
        <f t="shared" si="73"/>
        <v>0</v>
      </c>
      <c r="M433" s="130">
        <f t="shared" si="73"/>
        <v>87680.280000000013</v>
      </c>
      <c r="N433" s="159"/>
    </row>
    <row r="434" spans="1:14" s="131" customFormat="1" ht="36" customHeight="1" x14ac:dyDescent="0.35">
      <c r="A434" s="126"/>
      <c r="B434" s="562" t="s">
        <v>206</v>
      </c>
      <c r="C434" s="127" t="s">
        <v>412</v>
      </c>
      <c r="D434" s="128" t="s">
        <v>224</v>
      </c>
      <c r="E434" s="128" t="s">
        <v>37</v>
      </c>
      <c r="F434" s="82" t="s">
        <v>39</v>
      </c>
      <c r="G434" s="83" t="s">
        <v>45</v>
      </c>
      <c r="H434" s="83" t="s">
        <v>43</v>
      </c>
      <c r="I434" s="84" t="s">
        <v>44</v>
      </c>
      <c r="J434" s="85"/>
      <c r="K434" s="130">
        <f t="shared" si="73"/>
        <v>87680.280000000013</v>
      </c>
      <c r="L434" s="130">
        <f t="shared" si="73"/>
        <v>0</v>
      </c>
      <c r="M434" s="130">
        <f t="shared" si="73"/>
        <v>87680.280000000013</v>
      </c>
      <c r="N434" s="159"/>
    </row>
    <row r="435" spans="1:14" s="131" customFormat="1" ht="36" customHeight="1" x14ac:dyDescent="0.35">
      <c r="A435" s="126"/>
      <c r="B435" s="562" t="s">
        <v>266</v>
      </c>
      <c r="C435" s="127" t="s">
        <v>412</v>
      </c>
      <c r="D435" s="128" t="s">
        <v>224</v>
      </c>
      <c r="E435" s="128" t="s">
        <v>37</v>
      </c>
      <c r="F435" s="82" t="s">
        <v>39</v>
      </c>
      <c r="G435" s="83" t="s">
        <v>45</v>
      </c>
      <c r="H435" s="83" t="s">
        <v>37</v>
      </c>
      <c r="I435" s="104" t="s">
        <v>44</v>
      </c>
      <c r="J435" s="85"/>
      <c r="K435" s="130">
        <f>K436+K438</f>
        <v>87680.280000000013</v>
      </c>
      <c r="L435" s="130">
        <f>L436+L438</f>
        <v>0</v>
      </c>
      <c r="M435" s="130">
        <f>M436+M438</f>
        <v>87680.280000000013</v>
      </c>
      <c r="N435" s="159"/>
    </row>
    <row r="436" spans="1:14" s="131" customFormat="1" ht="36" customHeight="1" x14ac:dyDescent="0.35">
      <c r="A436" s="126"/>
      <c r="B436" s="496" t="s">
        <v>208</v>
      </c>
      <c r="C436" s="127" t="s">
        <v>412</v>
      </c>
      <c r="D436" s="128" t="s">
        <v>224</v>
      </c>
      <c r="E436" s="128" t="s">
        <v>37</v>
      </c>
      <c r="F436" s="82" t="s">
        <v>39</v>
      </c>
      <c r="G436" s="83" t="s">
        <v>45</v>
      </c>
      <c r="H436" s="83" t="s">
        <v>37</v>
      </c>
      <c r="I436" s="104" t="s">
        <v>273</v>
      </c>
      <c r="J436" s="85"/>
      <c r="K436" s="130">
        <f t="shared" si="73"/>
        <v>2595.88</v>
      </c>
      <c r="L436" s="130">
        <f t="shared" si="73"/>
        <v>0</v>
      </c>
      <c r="M436" s="130">
        <f t="shared" si="73"/>
        <v>2595.88</v>
      </c>
      <c r="N436" s="159"/>
    </row>
    <row r="437" spans="1:14" s="131" customFormat="1" ht="54" customHeight="1" x14ac:dyDescent="0.35">
      <c r="A437" s="626"/>
      <c r="B437" s="627" t="s">
        <v>203</v>
      </c>
      <c r="C437" s="172" t="s">
        <v>412</v>
      </c>
      <c r="D437" s="268" t="s">
        <v>224</v>
      </c>
      <c r="E437" s="268" t="s">
        <v>37</v>
      </c>
      <c r="F437" s="132" t="s">
        <v>39</v>
      </c>
      <c r="G437" s="133" t="s">
        <v>45</v>
      </c>
      <c r="H437" s="133" t="s">
        <v>37</v>
      </c>
      <c r="I437" s="471" t="s">
        <v>273</v>
      </c>
      <c r="J437" s="472" t="s">
        <v>204</v>
      </c>
      <c r="K437" s="195">
        <f>2721.5+509.78-281.7-353.7</f>
        <v>2595.88</v>
      </c>
      <c r="L437" s="628">
        <f>M437-K437</f>
        <v>0</v>
      </c>
      <c r="M437" s="195">
        <f>2721.5+509.78-281.7-353.7</f>
        <v>2595.88</v>
      </c>
      <c r="N437" s="159"/>
    </row>
    <row r="438" spans="1:14" s="131" customFormat="1" ht="108" customHeight="1" x14ac:dyDescent="0.35">
      <c r="A438" s="212"/>
      <c r="B438" s="634" t="s">
        <v>500</v>
      </c>
      <c r="C438" s="317" t="s">
        <v>412</v>
      </c>
      <c r="D438" s="318" t="s">
        <v>224</v>
      </c>
      <c r="E438" s="635" t="s">
        <v>37</v>
      </c>
      <c r="F438" s="635" t="s">
        <v>39</v>
      </c>
      <c r="G438" s="637" t="s">
        <v>45</v>
      </c>
      <c r="H438" s="637" t="s">
        <v>37</v>
      </c>
      <c r="I438" s="638" t="s">
        <v>499</v>
      </c>
      <c r="J438" s="636"/>
      <c r="K438" s="257">
        <f>K439</f>
        <v>85084.400000000009</v>
      </c>
      <c r="L438" s="257">
        <f>L439</f>
        <v>0</v>
      </c>
      <c r="M438" s="257">
        <f>M439</f>
        <v>85084.400000000009</v>
      </c>
      <c r="N438" s="159"/>
    </row>
    <row r="439" spans="1:14" s="131" customFormat="1" ht="54" customHeight="1" x14ac:dyDescent="0.35">
      <c r="A439" s="614"/>
      <c r="B439" s="629" t="s">
        <v>203</v>
      </c>
      <c r="C439" s="630" t="s">
        <v>412</v>
      </c>
      <c r="D439" s="445" t="s">
        <v>224</v>
      </c>
      <c r="E439" s="445" t="s">
        <v>37</v>
      </c>
      <c r="F439" s="631" t="s">
        <v>39</v>
      </c>
      <c r="G439" s="632" t="s">
        <v>45</v>
      </c>
      <c r="H439" s="632" t="s">
        <v>37</v>
      </c>
      <c r="I439" s="633" t="s">
        <v>499</v>
      </c>
      <c r="J439" s="578" t="s">
        <v>204</v>
      </c>
      <c r="K439" s="433">
        <f>82531.8+2552.6</f>
        <v>85084.400000000009</v>
      </c>
      <c r="L439" s="450">
        <f>M439-K439</f>
        <v>0</v>
      </c>
      <c r="M439" s="433">
        <f>82531.8+2552.6</f>
        <v>85084.400000000009</v>
      </c>
      <c r="N439" s="159"/>
    </row>
    <row r="440" spans="1:14" s="131" customFormat="1" ht="18" customHeight="1" x14ac:dyDescent="0.35">
      <c r="A440" s="126"/>
      <c r="B440" s="562" t="s">
        <v>183</v>
      </c>
      <c r="C440" s="127" t="s">
        <v>412</v>
      </c>
      <c r="D440" s="128" t="s">
        <v>224</v>
      </c>
      <c r="E440" s="128" t="s">
        <v>39</v>
      </c>
      <c r="F440" s="82"/>
      <c r="G440" s="83"/>
      <c r="H440" s="83"/>
      <c r="I440" s="104"/>
      <c r="J440" s="85"/>
      <c r="K440" s="130">
        <f t="shared" ref="K440:M444" si="74">K441</f>
        <v>48487.1</v>
      </c>
      <c r="L440" s="130">
        <f t="shared" si="74"/>
        <v>0</v>
      </c>
      <c r="M440" s="130">
        <f t="shared" si="74"/>
        <v>48487.1</v>
      </c>
      <c r="N440" s="159"/>
    </row>
    <row r="441" spans="1:14" s="131" customFormat="1" ht="54" customHeight="1" x14ac:dyDescent="0.35">
      <c r="A441" s="126"/>
      <c r="B441" s="562" t="s">
        <v>205</v>
      </c>
      <c r="C441" s="127" t="s">
        <v>412</v>
      </c>
      <c r="D441" s="128" t="s">
        <v>224</v>
      </c>
      <c r="E441" s="128" t="s">
        <v>39</v>
      </c>
      <c r="F441" s="82" t="s">
        <v>39</v>
      </c>
      <c r="G441" s="83" t="s">
        <v>42</v>
      </c>
      <c r="H441" s="83" t="s">
        <v>43</v>
      </c>
      <c r="I441" s="84" t="s">
        <v>44</v>
      </c>
      <c r="J441" s="85"/>
      <c r="K441" s="130">
        <f t="shared" si="74"/>
        <v>48487.1</v>
      </c>
      <c r="L441" s="130">
        <f t="shared" si="74"/>
        <v>0</v>
      </c>
      <c r="M441" s="130">
        <f t="shared" si="74"/>
        <v>48487.1</v>
      </c>
      <c r="N441" s="159"/>
    </row>
    <row r="442" spans="1:14" s="131" customFormat="1" ht="36" customHeight="1" x14ac:dyDescent="0.35">
      <c r="A442" s="126"/>
      <c r="B442" s="562" t="s">
        <v>206</v>
      </c>
      <c r="C442" s="127" t="s">
        <v>412</v>
      </c>
      <c r="D442" s="128" t="s">
        <v>224</v>
      </c>
      <c r="E442" s="128" t="s">
        <v>39</v>
      </c>
      <c r="F442" s="82" t="s">
        <v>39</v>
      </c>
      <c r="G442" s="83" t="s">
        <v>45</v>
      </c>
      <c r="H442" s="83" t="s">
        <v>43</v>
      </c>
      <c r="I442" s="84" t="s">
        <v>44</v>
      </c>
      <c r="J442" s="85"/>
      <c r="K442" s="130">
        <f t="shared" si="74"/>
        <v>48487.1</v>
      </c>
      <c r="L442" s="130">
        <f t="shared" si="74"/>
        <v>0</v>
      </c>
      <c r="M442" s="130">
        <f t="shared" si="74"/>
        <v>48487.1</v>
      </c>
      <c r="N442" s="159"/>
    </row>
    <row r="443" spans="1:14" s="131" customFormat="1" ht="18" customHeight="1" x14ac:dyDescent="0.35">
      <c r="A443" s="126"/>
      <c r="B443" s="562" t="s">
        <v>271</v>
      </c>
      <c r="C443" s="127" t="s">
        <v>412</v>
      </c>
      <c r="D443" s="128" t="s">
        <v>224</v>
      </c>
      <c r="E443" s="128" t="s">
        <v>39</v>
      </c>
      <c r="F443" s="82" t="s">
        <v>39</v>
      </c>
      <c r="G443" s="83" t="s">
        <v>45</v>
      </c>
      <c r="H443" s="83" t="s">
        <v>39</v>
      </c>
      <c r="I443" s="84" t="s">
        <v>44</v>
      </c>
      <c r="J443" s="85"/>
      <c r="K443" s="130">
        <f>K444+K446</f>
        <v>48487.1</v>
      </c>
      <c r="L443" s="130">
        <f>L444+L446</f>
        <v>0</v>
      </c>
      <c r="M443" s="130">
        <f>M444+M446</f>
        <v>48487.1</v>
      </c>
      <c r="N443" s="159"/>
    </row>
    <row r="444" spans="1:14" s="131" customFormat="1" ht="36" customHeight="1" x14ac:dyDescent="0.35">
      <c r="A444" s="126"/>
      <c r="B444" s="562" t="s">
        <v>208</v>
      </c>
      <c r="C444" s="127" t="s">
        <v>412</v>
      </c>
      <c r="D444" s="128" t="s">
        <v>224</v>
      </c>
      <c r="E444" s="128" t="s">
        <v>39</v>
      </c>
      <c r="F444" s="82" t="s">
        <v>39</v>
      </c>
      <c r="G444" s="83" t="s">
        <v>45</v>
      </c>
      <c r="H444" s="83" t="s">
        <v>39</v>
      </c>
      <c r="I444" s="84" t="s">
        <v>273</v>
      </c>
      <c r="J444" s="85"/>
      <c r="K444" s="130">
        <f t="shared" si="74"/>
        <v>785.09999999999968</v>
      </c>
      <c r="L444" s="130">
        <f t="shared" si="74"/>
        <v>0</v>
      </c>
      <c r="M444" s="130">
        <f t="shared" si="74"/>
        <v>785.09999999999968</v>
      </c>
      <c r="N444" s="159"/>
    </row>
    <row r="445" spans="1:14" s="131" customFormat="1" ht="54" customHeight="1" x14ac:dyDescent="0.35">
      <c r="A445" s="126"/>
      <c r="B445" s="562" t="s">
        <v>203</v>
      </c>
      <c r="C445" s="127" t="s">
        <v>412</v>
      </c>
      <c r="D445" s="128" t="s">
        <v>224</v>
      </c>
      <c r="E445" s="128" t="s">
        <v>39</v>
      </c>
      <c r="F445" s="82" t="s">
        <v>39</v>
      </c>
      <c r="G445" s="83" t="s">
        <v>45</v>
      </c>
      <c r="H445" s="83" t="s">
        <v>39</v>
      </c>
      <c r="I445" s="84" t="s">
        <v>273</v>
      </c>
      <c r="J445" s="85" t="s">
        <v>204</v>
      </c>
      <c r="K445" s="195">
        <f>1891.3-1317.4+1769.3+330.1+87.9+205.7-211-87.9-277.9-205.7-1399.3</f>
        <v>785.09999999999968</v>
      </c>
      <c r="L445" s="24">
        <f>M445-K445</f>
        <v>0</v>
      </c>
      <c r="M445" s="195">
        <f>1891.3-1317.4+1769.3+330.1+87.9+205.7-211-87.9-277.9-205.7-1399.3</f>
        <v>785.09999999999968</v>
      </c>
      <c r="N445" s="159"/>
    </row>
    <row r="446" spans="1:14" s="131" customFormat="1" ht="108" customHeight="1" x14ac:dyDescent="0.35">
      <c r="A446" s="126"/>
      <c r="B446" s="585" t="s">
        <v>500</v>
      </c>
      <c r="C446" s="586" t="s">
        <v>412</v>
      </c>
      <c r="D446" s="587" t="s">
        <v>224</v>
      </c>
      <c r="E446" s="587" t="s">
        <v>39</v>
      </c>
      <c r="F446" s="357" t="s">
        <v>39</v>
      </c>
      <c r="G446" s="358" t="s">
        <v>45</v>
      </c>
      <c r="H446" s="358" t="s">
        <v>39</v>
      </c>
      <c r="I446" s="359" t="s">
        <v>499</v>
      </c>
      <c r="J446" s="417"/>
      <c r="K446" s="588">
        <f>K447</f>
        <v>47702</v>
      </c>
      <c r="L446" s="588">
        <f>L447</f>
        <v>0</v>
      </c>
      <c r="M446" s="588">
        <f>M447</f>
        <v>47702</v>
      </c>
      <c r="N446" s="159"/>
    </row>
    <row r="447" spans="1:14" s="131" customFormat="1" ht="54" customHeight="1" x14ac:dyDescent="0.35">
      <c r="A447" s="126"/>
      <c r="B447" s="585" t="s">
        <v>203</v>
      </c>
      <c r="C447" s="600" t="s">
        <v>412</v>
      </c>
      <c r="D447" s="601" t="s">
        <v>224</v>
      </c>
      <c r="E447" s="601" t="s">
        <v>39</v>
      </c>
      <c r="F447" s="593" t="s">
        <v>39</v>
      </c>
      <c r="G447" s="594" t="s">
        <v>45</v>
      </c>
      <c r="H447" s="594" t="s">
        <v>39</v>
      </c>
      <c r="I447" s="595" t="s">
        <v>499</v>
      </c>
      <c r="J447" s="417" t="s">
        <v>204</v>
      </c>
      <c r="K447" s="588">
        <f>46270.9+1431.1</f>
        <v>47702</v>
      </c>
      <c r="L447" s="24">
        <f>M447-K447</f>
        <v>0</v>
      </c>
      <c r="M447" s="588">
        <f>46270.9+1431.1</f>
        <v>47702</v>
      </c>
      <c r="N447" s="159"/>
    </row>
    <row r="448" spans="1:14" s="131" customFormat="1" ht="36" customHeight="1" x14ac:dyDescent="0.35">
      <c r="A448" s="126"/>
      <c r="B448" s="496" t="s">
        <v>527</v>
      </c>
      <c r="C448" s="127" t="s">
        <v>412</v>
      </c>
      <c r="D448" s="10" t="s">
        <v>224</v>
      </c>
      <c r="E448" s="10" t="s">
        <v>65</v>
      </c>
      <c r="F448" s="82"/>
      <c r="G448" s="83"/>
      <c r="H448" s="83"/>
      <c r="I448" s="84"/>
      <c r="J448" s="85"/>
      <c r="K448" s="257">
        <f t="shared" ref="K448:M452" si="75">K449</f>
        <v>7.2</v>
      </c>
      <c r="L448" s="257">
        <f t="shared" si="75"/>
        <v>0</v>
      </c>
      <c r="M448" s="257">
        <f t="shared" si="75"/>
        <v>7.2</v>
      </c>
      <c r="N448" s="159"/>
    </row>
    <row r="449" spans="1:14" s="131" customFormat="1" ht="54" customHeight="1" x14ac:dyDescent="0.35">
      <c r="A449" s="126"/>
      <c r="B449" s="540" t="s">
        <v>225</v>
      </c>
      <c r="C449" s="127" t="s">
        <v>412</v>
      </c>
      <c r="D449" s="10" t="s">
        <v>224</v>
      </c>
      <c r="E449" s="10" t="s">
        <v>65</v>
      </c>
      <c r="F449" s="93" t="s">
        <v>226</v>
      </c>
      <c r="G449" s="83" t="s">
        <v>42</v>
      </c>
      <c r="H449" s="83" t="s">
        <v>43</v>
      </c>
      <c r="I449" s="84" t="s">
        <v>44</v>
      </c>
      <c r="J449" s="85"/>
      <c r="K449" s="257">
        <f t="shared" si="75"/>
        <v>7.2</v>
      </c>
      <c r="L449" s="257">
        <f t="shared" si="75"/>
        <v>0</v>
      </c>
      <c r="M449" s="257">
        <f t="shared" si="75"/>
        <v>7.2</v>
      </c>
      <c r="N449" s="159"/>
    </row>
    <row r="450" spans="1:14" s="131" customFormat="1" ht="36" customHeight="1" x14ac:dyDescent="0.35">
      <c r="A450" s="126"/>
      <c r="B450" s="562" t="s">
        <v>229</v>
      </c>
      <c r="C450" s="127" t="s">
        <v>412</v>
      </c>
      <c r="D450" s="10" t="s">
        <v>224</v>
      </c>
      <c r="E450" s="10" t="s">
        <v>65</v>
      </c>
      <c r="F450" s="93" t="s">
        <v>226</v>
      </c>
      <c r="G450" s="83" t="s">
        <v>89</v>
      </c>
      <c r="H450" s="83" t="s">
        <v>43</v>
      </c>
      <c r="I450" s="84" t="s">
        <v>44</v>
      </c>
      <c r="J450" s="85"/>
      <c r="K450" s="257">
        <f t="shared" si="75"/>
        <v>7.2</v>
      </c>
      <c r="L450" s="257">
        <f t="shared" si="75"/>
        <v>0</v>
      </c>
      <c r="M450" s="257">
        <f t="shared" si="75"/>
        <v>7.2</v>
      </c>
      <c r="N450" s="159"/>
    </row>
    <row r="451" spans="1:14" s="131" customFormat="1" ht="72" customHeight="1" x14ac:dyDescent="0.35">
      <c r="A451" s="126"/>
      <c r="B451" s="562" t="s">
        <v>300</v>
      </c>
      <c r="C451" s="127" t="s">
        <v>412</v>
      </c>
      <c r="D451" s="10" t="s">
        <v>224</v>
      </c>
      <c r="E451" s="10" t="s">
        <v>65</v>
      </c>
      <c r="F451" s="93" t="s">
        <v>226</v>
      </c>
      <c r="G451" s="83" t="s">
        <v>89</v>
      </c>
      <c r="H451" s="83" t="s">
        <v>37</v>
      </c>
      <c r="I451" s="84" t="s">
        <v>44</v>
      </c>
      <c r="J451" s="85"/>
      <c r="K451" s="257">
        <f t="shared" si="75"/>
        <v>7.2</v>
      </c>
      <c r="L451" s="257">
        <f t="shared" si="75"/>
        <v>0</v>
      </c>
      <c r="M451" s="257">
        <f t="shared" si="75"/>
        <v>7.2</v>
      </c>
      <c r="N451" s="159"/>
    </row>
    <row r="452" spans="1:14" s="131" customFormat="1" ht="36" customHeight="1" x14ac:dyDescent="0.35">
      <c r="A452" s="126"/>
      <c r="B452" s="496" t="s">
        <v>529</v>
      </c>
      <c r="C452" s="127" t="s">
        <v>412</v>
      </c>
      <c r="D452" s="10" t="s">
        <v>224</v>
      </c>
      <c r="E452" s="10" t="s">
        <v>65</v>
      </c>
      <c r="F452" s="93" t="s">
        <v>226</v>
      </c>
      <c r="G452" s="83" t="s">
        <v>89</v>
      </c>
      <c r="H452" s="83" t="s">
        <v>37</v>
      </c>
      <c r="I452" s="84" t="s">
        <v>528</v>
      </c>
      <c r="J452" s="85"/>
      <c r="K452" s="257">
        <f t="shared" si="75"/>
        <v>7.2</v>
      </c>
      <c r="L452" s="257">
        <f t="shared" si="75"/>
        <v>0</v>
      </c>
      <c r="M452" s="257">
        <f t="shared" si="75"/>
        <v>7.2</v>
      </c>
      <c r="N452" s="159"/>
    </row>
    <row r="453" spans="1:14" s="131" customFormat="1" ht="54" customHeight="1" x14ac:dyDescent="0.35">
      <c r="A453" s="126"/>
      <c r="B453" s="496" t="s">
        <v>55</v>
      </c>
      <c r="C453" s="127" t="s">
        <v>412</v>
      </c>
      <c r="D453" s="10" t="s">
        <v>224</v>
      </c>
      <c r="E453" s="10" t="s">
        <v>65</v>
      </c>
      <c r="F453" s="93" t="s">
        <v>226</v>
      </c>
      <c r="G453" s="83" t="s">
        <v>89</v>
      </c>
      <c r="H453" s="83" t="s">
        <v>37</v>
      </c>
      <c r="I453" s="84" t="s">
        <v>528</v>
      </c>
      <c r="J453" s="85" t="s">
        <v>56</v>
      </c>
      <c r="K453" s="430">
        <v>7.2</v>
      </c>
      <c r="L453" s="24">
        <f>M453-K453</f>
        <v>0</v>
      </c>
      <c r="M453" s="430">
        <v>7.2</v>
      </c>
      <c r="N453" s="159"/>
    </row>
    <row r="454" spans="1:14" s="139" customFormat="1" ht="18" customHeight="1" x14ac:dyDescent="0.35">
      <c r="A454" s="137"/>
      <c r="B454" s="563" t="s">
        <v>119</v>
      </c>
      <c r="C454" s="138" t="s">
        <v>412</v>
      </c>
      <c r="D454" s="103" t="s">
        <v>104</v>
      </c>
      <c r="E454" s="128"/>
      <c r="F454" s="100"/>
      <c r="G454" s="101"/>
      <c r="H454" s="101"/>
      <c r="I454" s="102"/>
      <c r="J454" s="103"/>
      <c r="K454" s="173">
        <f t="shared" ref="K454:M455" si="76">K455</f>
        <v>84099.375970000008</v>
      </c>
      <c r="L454" s="173">
        <f t="shared" si="76"/>
        <v>-2268.1000000000058</v>
      </c>
      <c r="M454" s="173">
        <f t="shared" si="76"/>
        <v>81831.275970000002</v>
      </c>
    </row>
    <row r="455" spans="1:14" s="139" customFormat="1" ht="18" customHeight="1" x14ac:dyDescent="0.35">
      <c r="A455" s="137"/>
      <c r="B455" s="551" t="s">
        <v>193</v>
      </c>
      <c r="C455" s="138" t="s">
        <v>412</v>
      </c>
      <c r="D455" s="103" t="s">
        <v>104</v>
      </c>
      <c r="E455" s="103" t="s">
        <v>52</v>
      </c>
      <c r="F455" s="100"/>
      <c r="G455" s="101"/>
      <c r="H455" s="101"/>
      <c r="I455" s="102"/>
      <c r="J455" s="103"/>
      <c r="K455" s="173">
        <f t="shared" si="76"/>
        <v>84099.375970000008</v>
      </c>
      <c r="L455" s="173">
        <f t="shared" si="76"/>
        <v>-2268.1000000000058</v>
      </c>
      <c r="M455" s="173">
        <f t="shared" si="76"/>
        <v>81831.275970000002</v>
      </c>
    </row>
    <row r="456" spans="1:14" s="139" customFormat="1" ht="54" customHeight="1" x14ac:dyDescent="0.35">
      <c r="A456" s="137"/>
      <c r="B456" s="559" t="s">
        <v>230</v>
      </c>
      <c r="C456" s="138" t="s">
        <v>412</v>
      </c>
      <c r="D456" s="103" t="s">
        <v>104</v>
      </c>
      <c r="E456" s="103" t="s">
        <v>52</v>
      </c>
      <c r="F456" s="100" t="s">
        <v>79</v>
      </c>
      <c r="G456" s="101" t="s">
        <v>42</v>
      </c>
      <c r="H456" s="101" t="s">
        <v>43</v>
      </c>
      <c r="I456" s="102" t="s">
        <v>44</v>
      </c>
      <c r="J456" s="103"/>
      <c r="K456" s="173">
        <f t="shared" ref="K456:M458" si="77">K457</f>
        <v>84099.375970000008</v>
      </c>
      <c r="L456" s="173">
        <f t="shared" si="77"/>
        <v>-2268.1000000000058</v>
      </c>
      <c r="M456" s="173">
        <f t="shared" si="77"/>
        <v>81831.275970000002</v>
      </c>
    </row>
    <row r="457" spans="1:14" s="139" customFormat="1" ht="36" customHeight="1" x14ac:dyDescent="0.35">
      <c r="A457" s="137"/>
      <c r="B457" s="551" t="s">
        <v>337</v>
      </c>
      <c r="C457" s="138" t="s">
        <v>412</v>
      </c>
      <c r="D457" s="103" t="s">
        <v>104</v>
      </c>
      <c r="E457" s="103" t="s">
        <v>52</v>
      </c>
      <c r="F457" s="100" t="s">
        <v>79</v>
      </c>
      <c r="G457" s="101" t="s">
        <v>45</v>
      </c>
      <c r="H457" s="101" t="s">
        <v>43</v>
      </c>
      <c r="I457" s="102" t="s">
        <v>44</v>
      </c>
      <c r="J457" s="103"/>
      <c r="K457" s="173">
        <f t="shared" si="77"/>
        <v>84099.375970000008</v>
      </c>
      <c r="L457" s="173">
        <f t="shared" si="77"/>
        <v>-2268.1000000000058</v>
      </c>
      <c r="M457" s="173">
        <f t="shared" si="77"/>
        <v>81831.275970000002</v>
      </c>
    </row>
    <row r="458" spans="1:14" s="140" customFormat="1" ht="90" customHeight="1" x14ac:dyDescent="0.35">
      <c r="A458" s="137"/>
      <c r="B458" s="551" t="s">
        <v>299</v>
      </c>
      <c r="C458" s="138" t="s">
        <v>412</v>
      </c>
      <c r="D458" s="103" t="s">
        <v>104</v>
      </c>
      <c r="E458" s="103" t="s">
        <v>52</v>
      </c>
      <c r="F458" s="100" t="s">
        <v>79</v>
      </c>
      <c r="G458" s="101" t="s">
        <v>45</v>
      </c>
      <c r="H458" s="101" t="s">
        <v>39</v>
      </c>
      <c r="I458" s="102" t="s">
        <v>44</v>
      </c>
      <c r="J458" s="103"/>
      <c r="K458" s="173">
        <f t="shared" si="77"/>
        <v>84099.375970000008</v>
      </c>
      <c r="L458" s="173">
        <f t="shared" si="77"/>
        <v>-2268.1000000000058</v>
      </c>
      <c r="M458" s="173">
        <f t="shared" si="77"/>
        <v>81831.275970000002</v>
      </c>
    </row>
    <row r="459" spans="1:14" s="131" customFormat="1" ht="108" customHeight="1" x14ac:dyDescent="0.35">
      <c r="A459" s="126"/>
      <c r="B459" s="540" t="s">
        <v>414</v>
      </c>
      <c r="C459" s="127" t="s">
        <v>412</v>
      </c>
      <c r="D459" s="128" t="s">
        <v>104</v>
      </c>
      <c r="E459" s="128" t="s">
        <v>52</v>
      </c>
      <c r="F459" s="82" t="s">
        <v>79</v>
      </c>
      <c r="G459" s="83" t="s">
        <v>45</v>
      </c>
      <c r="H459" s="83" t="s">
        <v>39</v>
      </c>
      <c r="I459" s="104" t="s">
        <v>415</v>
      </c>
      <c r="J459" s="85"/>
      <c r="K459" s="130">
        <f t="shared" ref="K459:M459" si="78">K460</f>
        <v>84099.375970000008</v>
      </c>
      <c r="L459" s="130">
        <f t="shared" si="78"/>
        <v>-2268.1000000000058</v>
      </c>
      <c r="M459" s="130">
        <f t="shared" si="78"/>
        <v>81831.275970000002</v>
      </c>
      <c r="N459" s="159"/>
    </row>
    <row r="460" spans="1:14" s="131" customFormat="1" ht="54" customHeight="1" x14ac:dyDescent="0.35">
      <c r="A460" s="126"/>
      <c r="B460" s="502" t="s">
        <v>203</v>
      </c>
      <c r="C460" s="127" t="s">
        <v>412</v>
      </c>
      <c r="D460" s="268" t="s">
        <v>104</v>
      </c>
      <c r="E460" s="268" t="s">
        <v>52</v>
      </c>
      <c r="F460" s="132" t="s">
        <v>79</v>
      </c>
      <c r="G460" s="133" t="s">
        <v>45</v>
      </c>
      <c r="H460" s="133" t="s">
        <v>39</v>
      </c>
      <c r="I460" s="471" t="s">
        <v>415</v>
      </c>
      <c r="J460" s="472" t="s">
        <v>204</v>
      </c>
      <c r="K460" s="130">
        <f>77846.8+7421.1-6.02403-1162.5</f>
        <v>84099.375970000008</v>
      </c>
      <c r="L460" s="24">
        <f>M460-K460</f>
        <v>-2268.1000000000058</v>
      </c>
      <c r="M460" s="130">
        <f>77846.8+7421.1-6.02403-1162.5-2268.1</f>
        <v>81831.275970000002</v>
      </c>
      <c r="N460" s="159"/>
    </row>
    <row r="461" spans="1:14" s="131" customFormat="1" ht="18" customHeight="1" x14ac:dyDescent="0.35">
      <c r="A461" s="589"/>
      <c r="B461" s="500" t="s">
        <v>320</v>
      </c>
      <c r="C461" s="590" t="s">
        <v>412</v>
      </c>
      <c r="D461" s="28" t="s">
        <v>67</v>
      </c>
      <c r="E461" s="28"/>
      <c r="F461" s="206"/>
      <c r="G461" s="207"/>
      <c r="H461" s="207"/>
      <c r="I461" s="208"/>
      <c r="J461" s="592"/>
      <c r="K461" s="433">
        <f t="shared" ref="K461:M466" si="79">K462</f>
        <v>73942.2</v>
      </c>
      <c r="L461" s="433">
        <f t="shared" si="79"/>
        <v>0</v>
      </c>
      <c r="M461" s="433">
        <f t="shared" si="79"/>
        <v>73942.2</v>
      </c>
      <c r="N461" s="159"/>
    </row>
    <row r="462" spans="1:14" s="131" customFormat="1" ht="18" customHeight="1" x14ac:dyDescent="0.35">
      <c r="A462" s="126"/>
      <c r="B462" s="546" t="s">
        <v>358</v>
      </c>
      <c r="C462" s="127" t="s">
        <v>412</v>
      </c>
      <c r="D462" s="482" t="s">
        <v>67</v>
      </c>
      <c r="E462" s="482" t="s">
        <v>37</v>
      </c>
      <c r="F462" s="25"/>
      <c r="G462" s="26"/>
      <c r="H462" s="26"/>
      <c r="I462" s="591"/>
      <c r="J462" s="578"/>
      <c r="K462" s="265">
        <f t="shared" si="79"/>
        <v>73942.2</v>
      </c>
      <c r="L462" s="265">
        <f t="shared" si="79"/>
        <v>0</v>
      </c>
      <c r="M462" s="265">
        <f t="shared" si="79"/>
        <v>73942.2</v>
      </c>
      <c r="N462" s="159"/>
    </row>
    <row r="463" spans="1:14" s="131" customFormat="1" ht="54" customHeight="1" x14ac:dyDescent="0.35">
      <c r="A463" s="126"/>
      <c r="B463" s="496" t="s">
        <v>217</v>
      </c>
      <c r="C463" s="127" t="s">
        <v>412</v>
      </c>
      <c r="D463" s="10" t="s">
        <v>67</v>
      </c>
      <c r="E463" s="10" t="s">
        <v>37</v>
      </c>
      <c r="F463" s="689" t="s">
        <v>52</v>
      </c>
      <c r="G463" s="690" t="s">
        <v>42</v>
      </c>
      <c r="H463" s="690" t="s">
        <v>43</v>
      </c>
      <c r="I463" s="691" t="s">
        <v>44</v>
      </c>
      <c r="J463" s="85"/>
      <c r="K463" s="265">
        <f t="shared" si="79"/>
        <v>73942.2</v>
      </c>
      <c r="L463" s="265">
        <f t="shared" si="79"/>
        <v>0</v>
      </c>
      <c r="M463" s="265">
        <f t="shared" si="79"/>
        <v>73942.2</v>
      </c>
      <c r="N463" s="159"/>
    </row>
    <row r="464" spans="1:14" s="131" customFormat="1" ht="36" customHeight="1" x14ac:dyDescent="0.35">
      <c r="A464" s="126"/>
      <c r="B464" s="546" t="s">
        <v>337</v>
      </c>
      <c r="C464" s="127" t="s">
        <v>412</v>
      </c>
      <c r="D464" s="10" t="s">
        <v>67</v>
      </c>
      <c r="E464" s="10" t="s">
        <v>37</v>
      </c>
      <c r="F464" s="689" t="s">
        <v>52</v>
      </c>
      <c r="G464" s="690" t="s">
        <v>31</v>
      </c>
      <c r="H464" s="690" t="s">
        <v>43</v>
      </c>
      <c r="I464" s="691" t="s">
        <v>44</v>
      </c>
      <c r="J464" s="85"/>
      <c r="K464" s="265">
        <f t="shared" si="79"/>
        <v>73942.2</v>
      </c>
      <c r="L464" s="265">
        <f t="shared" si="79"/>
        <v>0</v>
      </c>
      <c r="M464" s="265">
        <f t="shared" si="79"/>
        <v>73942.2</v>
      </c>
      <c r="N464" s="159"/>
    </row>
    <row r="465" spans="1:16" s="131" customFormat="1" ht="72" customHeight="1" x14ac:dyDescent="0.35">
      <c r="A465" s="126"/>
      <c r="B465" s="496" t="s">
        <v>409</v>
      </c>
      <c r="C465" s="127" t="s">
        <v>412</v>
      </c>
      <c r="D465" s="10" t="s">
        <v>67</v>
      </c>
      <c r="E465" s="10" t="s">
        <v>37</v>
      </c>
      <c r="F465" s="689" t="s">
        <v>52</v>
      </c>
      <c r="G465" s="690" t="s">
        <v>31</v>
      </c>
      <c r="H465" s="690" t="s">
        <v>63</v>
      </c>
      <c r="I465" s="691" t="s">
        <v>44</v>
      </c>
      <c r="J465" s="85"/>
      <c r="K465" s="265">
        <f>K466+K468</f>
        <v>73942.2</v>
      </c>
      <c r="L465" s="265">
        <f>L466+L468</f>
        <v>0</v>
      </c>
      <c r="M465" s="265">
        <f>M466+M468</f>
        <v>73942.2</v>
      </c>
      <c r="N465" s="159"/>
    </row>
    <row r="466" spans="1:16" s="131" customFormat="1" ht="54" customHeight="1" x14ac:dyDescent="0.35">
      <c r="A466" s="126"/>
      <c r="B466" s="496" t="s">
        <v>219</v>
      </c>
      <c r="C466" s="127" t="s">
        <v>412</v>
      </c>
      <c r="D466" s="10" t="s">
        <v>67</v>
      </c>
      <c r="E466" s="10" t="s">
        <v>37</v>
      </c>
      <c r="F466" s="689" t="s">
        <v>52</v>
      </c>
      <c r="G466" s="690" t="s">
        <v>31</v>
      </c>
      <c r="H466" s="690" t="s">
        <v>63</v>
      </c>
      <c r="I466" s="691" t="s">
        <v>291</v>
      </c>
      <c r="J466" s="85"/>
      <c r="K466" s="265">
        <f t="shared" si="79"/>
        <v>360.90000000000015</v>
      </c>
      <c r="L466" s="265">
        <f t="shared" si="79"/>
        <v>0</v>
      </c>
      <c r="M466" s="265">
        <f t="shared" si="79"/>
        <v>360.90000000000015</v>
      </c>
      <c r="N466" s="159"/>
    </row>
    <row r="467" spans="1:16" s="131" customFormat="1" ht="54" customHeight="1" x14ac:dyDescent="0.35">
      <c r="A467" s="126"/>
      <c r="B467" s="540" t="s">
        <v>203</v>
      </c>
      <c r="C467" s="127" t="s">
        <v>412</v>
      </c>
      <c r="D467" s="10" t="s">
        <v>67</v>
      </c>
      <c r="E467" s="10" t="s">
        <v>37</v>
      </c>
      <c r="F467" s="689" t="s">
        <v>52</v>
      </c>
      <c r="G467" s="690" t="s">
        <v>31</v>
      </c>
      <c r="H467" s="690" t="s">
        <v>63</v>
      </c>
      <c r="I467" s="691" t="s">
        <v>291</v>
      </c>
      <c r="J467" s="85" t="s">
        <v>204</v>
      </c>
      <c r="K467" s="130">
        <f>7338.7-4166.4-630.5-2207.5+360.9-334.3</f>
        <v>360.90000000000015</v>
      </c>
      <c r="L467" s="24">
        <f>M467-K467</f>
        <v>0</v>
      </c>
      <c r="M467" s="130">
        <f>7338.7-4166.4-630.5-2207.5+360.9-334.3</f>
        <v>360.90000000000015</v>
      </c>
      <c r="N467" s="159"/>
    </row>
    <row r="468" spans="1:16" s="131" customFormat="1" ht="108" customHeight="1" x14ac:dyDescent="0.35">
      <c r="A468" s="126"/>
      <c r="B468" s="540" t="s">
        <v>500</v>
      </c>
      <c r="C468" s="127" t="s">
        <v>412</v>
      </c>
      <c r="D468" s="10" t="s">
        <v>67</v>
      </c>
      <c r="E468" s="10" t="s">
        <v>37</v>
      </c>
      <c r="F468" s="689" t="s">
        <v>52</v>
      </c>
      <c r="G468" s="690" t="s">
        <v>31</v>
      </c>
      <c r="H468" s="690" t="s">
        <v>63</v>
      </c>
      <c r="I468" s="691" t="s">
        <v>499</v>
      </c>
      <c r="J468" s="84"/>
      <c r="K468" s="130">
        <f>K469</f>
        <v>73581.3</v>
      </c>
      <c r="L468" s="178">
        <f>L469</f>
        <v>0</v>
      </c>
      <c r="M468" s="130">
        <f>M469</f>
        <v>73581.3</v>
      </c>
      <c r="N468" s="159"/>
    </row>
    <row r="469" spans="1:16" s="131" customFormat="1" ht="54" customHeight="1" x14ac:dyDescent="0.35">
      <c r="A469" s="126"/>
      <c r="B469" s="540" t="s">
        <v>203</v>
      </c>
      <c r="C469" s="127" t="s">
        <v>412</v>
      </c>
      <c r="D469" s="10" t="s">
        <v>67</v>
      </c>
      <c r="E469" s="10" t="s">
        <v>37</v>
      </c>
      <c r="F469" s="689" t="s">
        <v>52</v>
      </c>
      <c r="G469" s="690" t="s">
        <v>31</v>
      </c>
      <c r="H469" s="690" t="s">
        <v>63</v>
      </c>
      <c r="I469" s="691" t="s">
        <v>499</v>
      </c>
      <c r="J469" s="84" t="s">
        <v>204</v>
      </c>
      <c r="K469" s="265">
        <f>71373.8+2207.5</f>
        <v>73581.3</v>
      </c>
      <c r="L469" s="24">
        <f>M469-K469</f>
        <v>0</v>
      </c>
      <c r="M469" s="265">
        <f>71373.8+2207.5</f>
        <v>73581.3</v>
      </c>
      <c r="N469" s="159"/>
    </row>
    <row r="470" spans="1:16" s="131" customFormat="1" ht="18" customHeight="1" x14ac:dyDescent="0.35">
      <c r="A470" s="126"/>
      <c r="B470" s="540"/>
      <c r="C470" s="154"/>
      <c r="D470" s="155"/>
      <c r="E470" s="155"/>
      <c r="F470" s="156"/>
      <c r="G470" s="157"/>
      <c r="H470" s="157"/>
      <c r="I470" s="158"/>
      <c r="J470" s="155"/>
      <c r="K470" s="130"/>
      <c r="L470" s="263"/>
      <c r="M470" s="130"/>
    </row>
    <row r="471" spans="1:16" s="115" customFormat="1" ht="52.2" customHeight="1" x14ac:dyDescent="0.3">
      <c r="A471" s="110">
        <v>5</v>
      </c>
      <c r="B471" s="543" t="s">
        <v>7</v>
      </c>
      <c r="C471" s="18" t="s">
        <v>422</v>
      </c>
      <c r="D471" s="19"/>
      <c r="E471" s="19"/>
      <c r="F471" s="20"/>
      <c r="G471" s="21"/>
      <c r="H471" s="21"/>
      <c r="I471" s="22"/>
      <c r="J471" s="19"/>
      <c r="K471" s="32" t="e">
        <f>K485+K649+K472</f>
        <v>#REF!</v>
      </c>
      <c r="L471" s="32">
        <f>L485+L649+L472</f>
        <v>13873.300000000023</v>
      </c>
      <c r="M471" s="32">
        <f>M485+M649+M472</f>
        <v>1496587.5882999999</v>
      </c>
      <c r="N471" s="141"/>
      <c r="O471" s="141"/>
      <c r="P471" s="141"/>
    </row>
    <row r="472" spans="1:16" s="115" customFormat="1" ht="18" customHeight="1" x14ac:dyDescent="0.35">
      <c r="A472" s="110"/>
      <c r="B472" s="498" t="s">
        <v>36</v>
      </c>
      <c r="C472" s="238" t="s">
        <v>422</v>
      </c>
      <c r="D472" s="236" t="s">
        <v>37</v>
      </c>
      <c r="E472" s="81"/>
      <c r="F472" s="239"/>
      <c r="G472" s="87"/>
      <c r="H472" s="87"/>
      <c r="I472" s="88"/>
      <c r="J472" s="81"/>
      <c r="K472" s="209">
        <f t="shared" ref="K472:M473" si="80">K473</f>
        <v>910.6</v>
      </c>
      <c r="L472" s="209">
        <f t="shared" si="80"/>
        <v>0</v>
      </c>
      <c r="M472" s="209">
        <f t="shared" si="80"/>
        <v>910.6</v>
      </c>
      <c r="N472" s="141"/>
      <c r="O472" s="141"/>
    </row>
    <row r="473" spans="1:16" s="115" customFormat="1" ht="18" customHeight="1" x14ac:dyDescent="0.35">
      <c r="A473" s="110"/>
      <c r="B473" s="498" t="s">
        <v>70</v>
      </c>
      <c r="C473" s="240" t="s">
        <v>422</v>
      </c>
      <c r="D473" s="236" t="s">
        <v>37</v>
      </c>
      <c r="E473" s="236" t="s">
        <v>71</v>
      </c>
      <c r="F473" s="239"/>
      <c r="G473" s="87"/>
      <c r="H473" s="87"/>
      <c r="I473" s="88"/>
      <c r="J473" s="81"/>
      <c r="K473" s="209">
        <f t="shared" si="80"/>
        <v>910.6</v>
      </c>
      <c r="L473" s="209">
        <f t="shared" si="80"/>
        <v>0</v>
      </c>
      <c r="M473" s="209">
        <f t="shared" si="80"/>
        <v>910.6</v>
      </c>
      <c r="N473" s="141"/>
      <c r="O473" s="141"/>
    </row>
    <row r="474" spans="1:16" s="115" customFormat="1" ht="54" customHeight="1" x14ac:dyDescent="0.35">
      <c r="A474" s="110"/>
      <c r="B474" s="498" t="s">
        <v>205</v>
      </c>
      <c r="C474" s="238" t="s">
        <v>422</v>
      </c>
      <c r="D474" s="236" t="s">
        <v>37</v>
      </c>
      <c r="E474" s="236" t="s">
        <v>71</v>
      </c>
      <c r="F474" s="682" t="s">
        <v>39</v>
      </c>
      <c r="G474" s="683" t="s">
        <v>42</v>
      </c>
      <c r="H474" s="683" t="s">
        <v>43</v>
      </c>
      <c r="I474" s="684" t="s">
        <v>44</v>
      </c>
      <c r="J474" s="236"/>
      <c r="K474" s="209">
        <f>K475</f>
        <v>910.6</v>
      </c>
      <c r="L474" s="209">
        <f>L475</f>
        <v>0</v>
      </c>
      <c r="M474" s="209">
        <f>M475</f>
        <v>910.6</v>
      </c>
      <c r="N474" s="141"/>
      <c r="O474" s="141"/>
    </row>
    <row r="475" spans="1:16" s="115" customFormat="1" ht="54" customHeight="1" x14ac:dyDescent="0.35">
      <c r="A475" s="110"/>
      <c r="B475" s="564" t="s">
        <v>212</v>
      </c>
      <c r="C475" s="238" t="s">
        <v>422</v>
      </c>
      <c r="D475" s="236" t="s">
        <v>37</v>
      </c>
      <c r="E475" s="236" t="s">
        <v>71</v>
      </c>
      <c r="F475" s="682" t="s">
        <v>39</v>
      </c>
      <c r="G475" s="683" t="s">
        <v>30</v>
      </c>
      <c r="H475" s="683" t="s">
        <v>43</v>
      </c>
      <c r="I475" s="684" t="s">
        <v>44</v>
      </c>
      <c r="J475" s="236"/>
      <c r="K475" s="209">
        <f>K476+K479+K482</f>
        <v>910.6</v>
      </c>
      <c r="L475" s="209">
        <f>L476+L479+L482</f>
        <v>0</v>
      </c>
      <c r="M475" s="209">
        <f>M476+M479+M482</f>
        <v>910.6</v>
      </c>
      <c r="N475" s="141"/>
      <c r="O475" s="141"/>
    </row>
    <row r="476" spans="1:16" s="115" customFormat="1" ht="36" customHeight="1" x14ac:dyDescent="0.35">
      <c r="A476" s="110"/>
      <c r="B476" s="498" t="s">
        <v>349</v>
      </c>
      <c r="C476" s="238" t="s">
        <v>422</v>
      </c>
      <c r="D476" s="236" t="s">
        <v>37</v>
      </c>
      <c r="E476" s="236" t="s">
        <v>71</v>
      </c>
      <c r="F476" s="682" t="s">
        <v>39</v>
      </c>
      <c r="G476" s="683" t="s">
        <v>30</v>
      </c>
      <c r="H476" s="683" t="s">
        <v>63</v>
      </c>
      <c r="I476" s="684" t="s">
        <v>44</v>
      </c>
      <c r="J476" s="236"/>
      <c r="K476" s="209">
        <f t="shared" ref="K476:M477" si="81">K477</f>
        <v>552.6</v>
      </c>
      <c r="L476" s="209">
        <f t="shared" si="81"/>
        <v>0</v>
      </c>
      <c r="M476" s="209">
        <f t="shared" si="81"/>
        <v>552.6</v>
      </c>
      <c r="N476" s="141"/>
      <c r="O476" s="141"/>
    </row>
    <row r="477" spans="1:16" s="115" customFormat="1" ht="54" customHeight="1" x14ac:dyDescent="0.35">
      <c r="A477" s="110"/>
      <c r="B477" s="564" t="s">
        <v>469</v>
      </c>
      <c r="C477" s="240" t="s">
        <v>422</v>
      </c>
      <c r="D477" s="236" t="s">
        <v>37</v>
      </c>
      <c r="E477" s="236" t="s">
        <v>71</v>
      </c>
      <c r="F477" s="682" t="s">
        <v>39</v>
      </c>
      <c r="G477" s="683" t="s">
        <v>30</v>
      </c>
      <c r="H477" s="683" t="s">
        <v>63</v>
      </c>
      <c r="I477" s="684" t="s">
        <v>105</v>
      </c>
      <c r="J477" s="236"/>
      <c r="K477" s="209">
        <f t="shared" si="81"/>
        <v>552.6</v>
      </c>
      <c r="L477" s="209">
        <f t="shared" si="81"/>
        <v>0</v>
      </c>
      <c r="M477" s="209">
        <f t="shared" si="81"/>
        <v>552.6</v>
      </c>
      <c r="N477" s="141"/>
      <c r="O477" s="141"/>
    </row>
    <row r="478" spans="1:16" s="115" customFormat="1" ht="54" customHeight="1" x14ac:dyDescent="0.35">
      <c r="A478" s="110"/>
      <c r="B478" s="564" t="s">
        <v>55</v>
      </c>
      <c r="C478" s="240" t="s">
        <v>422</v>
      </c>
      <c r="D478" s="236" t="s">
        <v>37</v>
      </c>
      <c r="E478" s="236" t="s">
        <v>71</v>
      </c>
      <c r="F478" s="682" t="s">
        <v>39</v>
      </c>
      <c r="G478" s="683" t="s">
        <v>30</v>
      </c>
      <c r="H478" s="683" t="s">
        <v>63</v>
      </c>
      <c r="I478" s="684" t="s">
        <v>105</v>
      </c>
      <c r="J478" s="236" t="s">
        <v>56</v>
      </c>
      <c r="K478" s="209">
        <f>436.7+98.9+17</f>
        <v>552.6</v>
      </c>
      <c r="L478" s="24">
        <f>M478-K478</f>
        <v>0</v>
      </c>
      <c r="M478" s="209">
        <f>436.7+98.9+17</f>
        <v>552.6</v>
      </c>
      <c r="N478" s="141"/>
      <c r="O478" s="141"/>
    </row>
    <row r="479" spans="1:16" s="115" customFormat="1" ht="36" customHeight="1" x14ac:dyDescent="0.35">
      <c r="A479" s="110"/>
      <c r="B479" s="564" t="s">
        <v>465</v>
      </c>
      <c r="C479" s="238" t="s">
        <v>422</v>
      </c>
      <c r="D479" s="236" t="s">
        <v>37</v>
      </c>
      <c r="E479" s="236" t="s">
        <v>71</v>
      </c>
      <c r="F479" s="682" t="s">
        <v>39</v>
      </c>
      <c r="G479" s="683" t="s">
        <v>30</v>
      </c>
      <c r="H479" s="683" t="s">
        <v>52</v>
      </c>
      <c r="I479" s="684" t="s">
        <v>44</v>
      </c>
      <c r="J479" s="236"/>
      <c r="K479" s="209">
        <f t="shared" ref="K479:M480" si="82">K480</f>
        <v>24</v>
      </c>
      <c r="L479" s="209">
        <f t="shared" si="82"/>
        <v>0</v>
      </c>
      <c r="M479" s="209">
        <f t="shared" si="82"/>
        <v>24</v>
      </c>
      <c r="N479" s="141"/>
      <c r="O479" s="141"/>
    </row>
    <row r="480" spans="1:16" s="115" customFormat="1" ht="18" customHeight="1" x14ac:dyDescent="0.35">
      <c r="A480" s="110"/>
      <c r="B480" s="564" t="s">
        <v>470</v>
      </c>
      <c r="C480" s="240" t="s">
        <v>422</v>
      </c>
      <c r="D480" s="236" t="s">
        <v>37</v>
      </c>
      <c r="E480" s="236" t="s">
        <v>71</v>
      </c>
      <c r="F480" s="682" t="s">
        <v>39</v>
      </c>
      <c r="G480" s="683" t="s">
        <v>30</v>
      </c>
      <c r="H480" s="683" t="s">
        <v>52</v>
      </c>
      <c r="I480" s="684" t="s">
        <v>464</v>
      </c>
      <c r="J480" s="236"/>
      <c r="K480" s="209">
        <f t="shared" si="82"/>
        <v>24</v>
      </c>
      <c r="L480" s="209">
        <f t="shared" si="82"/>
        <v>0</v>
      </c>
      <c r="M480" s="209">
        <f t="shared" si="82"/>
        <v>24</v>
      </c>
      <c r="N480" s="141"/>
      <c r="O480" s="141"/>
    </row>
    <row r="481" spans="1:15" s="115" customFormat="1" ht="54" customHeight="1" x14ac:dyDescent="0.35">
      <c r="A481" s="110"/>
      <c r="B481" s="564" t="s">
        <v>55</v>
      </c>
      <c r="C481" s="240" t="s">
        <v>422</v>
      </c>
      <c r="D481" s="236" t="s">
        <v>37</v>
      </c>
      <c r="E481" s="236" t="s">
        <v>71</v>
      </c>
      <c r="F481" s="682" t="s">
        <v>39</v>
      </c>
      <c r="G481" s="683" t="s">
        <v>30</v>
      </c>
      <c r="H481" s="683" t="s">
        <v>52</v>
      </c>
      <c r="I481" s="684" t="s">
        <v>464</v>
      </c>
      <c r="J481" s="236" t="s">
        <v>56</v>
      </c>
      <c r="K481" s="209">
        <v>24</v>
      </c>
      <c r="L481" s="24">
        <f>M481-K481</f>
        <v>0</v>
      </c>
      <c r="M481" s="209">
        <v>24</v>
      </c>
      <c r="N481" s="141"/>
      <c r="O481" s="141"/>
    </row>
    <row r="482" spans="1:15" s="115" customFormat="1" ht="36" customHeight="1" x14ac:dyDescent="0.35">
      <c r="A482" s="110"/>
      <c r="B482" s="564" t="s">
        <v>468</v>
      </c>
      <c r="C482" s="240" t="s">
        <v>422</v>
      </c>
      <c r="D482" s="236" t="s">
        <v>37</v>
      </c>
      <c r="E482" s="236" t="s">
        <v>71</v>
      </c>
      <c r="F482" s="682" t="s">
        <v>39</v>
      </c>
      <c r="G482" s="683" t="s">
        <v>30</v>
      </c>
      <c r="H482" s="683" t="s">
        <v>65</v>
      </c>
      <c r="I482" s="393" t="s">
        <v>44</v>
      </c>
      <c r="J482" s="79"/>
      <c r="K482" s="209">
        <f t="shared" ref="K482:M483" si="83">K483</f>
        <v>334</v>
      </c>
      <c r="L482" s="209">
        <f t="shared" si="83"/>
        <v>0</v>
      </c>
      <c r="M482" s="209">
        <f t="shared" si="83"/>
        <v>334</v>
      </c>
      <c r="N482" s="141"/>
      <c r="O482" s="141"/>
    </row>
    <row r="483" spans="1:15" s="115" customFormat="1" ht="36" customHeight="1" x14ac:dyDescent="0.35">
      <c r="A483" s="110"/>
      <c r="B483" s="564" t="s">
        <v>127</v>
      </c>
      <c r="C483" s="240" t="s">
        <v>422</v>
      </c>
      <c r="D483" s="236" t="s">
        <v>37</v>
      </c>
      <c r="E483" s="236" t="s">
        <v>71</v>
      </c>
      <c r="F483" s="682" t="s">
        <v>39</v>
      </c>
      <c r="G483" s="683" t="s">
        <v>30</v>
      </c>
      <c r="H483" s="683" t="s">
        <v>65</v>
      </c>
      <c r="I483" s="393" t="s">
        <v>90</v>
      </c>
      <c r="J483" s="79"/>
      <c r="K483" s="209">
        <f t="shared" si="83"/>
        <v>334</v>
      </c>
      <c r="L483" s="209">
        <f t="shared" si="83"/>
        <v>0</v>
      </c>
      <c r="M483" s="209">
        <f t="shared" si="83"/>
        <v>334</v>
      </c>
      <c r="N483" s="141"/>
      <c r="O483" s="141"/>
    </row>
    <row r="484" spans="1:15" s="115" customFormat="1" ht="54" customHeight="1" x14ac:dyDescent="0.35">
      <c r="A484" s="110"/>
      <c r="B484" s="564" t="s">
        <v>55</v>
      </c>
      <c r="C484" s="240" t="s">
        <v>422</v>
      </c>
      <c r="D484" s="236" t="s">
        <v>37</v>
      </c>
      <c r="E484" s="236" t="s">
        <v>71</v>
      </c>
      <c r="F484" s="682" t="s">
        <v>39</v>
      </c>
      <c r="G484" s="683" t="s">
        <v>30</v>
      </c>
      <c r="H484" s="683" t="s">
        <v>65</v>
      </c>
      <c r="I484" s="393" t="s">
        <v>90</v>
      </c>
      <c r="J484" s="79" t="s">
        <v>56</v>
      </c>
      <c r="K484" s="209">
        <f>296.5+37.5</f>
        <v>334</v>
      </c>
      <c r="L484" s="24">
        <f>M484-K484</f>
        <v>0</v>
      </c>
      <c r="M484" s="209">
        <f>296.5+37.5</f>
        <v>334</v>
      </c>
      <c r="N484" s="141"/>
      <c r="O484" s="141"/>
    </row>
    <row r="485" spans="1:15" s="116" customFormat="1" ht="18" customHeight="1" x14ac:dyDescent="0.35">
      <c r="A485" s="11"/>
      <c r="B485" s="496" t="s">
        <v>179</v>
      </c>
      <c r="C485" s="23" t="s">
        <v>422</v>
      </c>
      <c r="D485" s="10" t="s">
        <v>224</v>
      </c>
      <c r="E485" s="10"/>
      <c r="F485" s="689"/>
      <c r="G485" s="690"/>
      <c r="H485" s="690"/>
      <c r="I485" s="691"/>
      <c r="J485" s="10"/>
      <c r="K485" s="24" t="e">
        <f>K486+K517+K619+K577+K609</f>
        <v>#REF!</v>
      </c>
      <c r="L485" s="24">
        <f>L486+L517+L619+L577+L609</f>
        <v>13873.300000000023</v>
      </c>
      <c r="M485" s="24">
        <f>M486+M517+M619+M577+M609</f>
        <v>1488071.7882999999</v>
      </c>
      <c r="N485" s="142"/>
      <c r="O485" s="142"/>
    </row>
    <row r="486" spans="1:15" s="115" customFormat="1" ht="18" customHeight="1" x14ac:dyDescent="0.35">
      <c r="A486" s="11"/>
      <c r="B486" s="496" t="s">
        <v>181</v>
      </c>
      <c r="C486" s="23" t="s">
        <v>422</v>
      </c>
      <c r="D486" s="10" t="s">
        <v>224</v>
      </c>
      <c r="E486" s="10" t="s">
        <v>37</v>
      </c>
      <c r="F486" s="689"/>
      <c r="G486" s="690"/>
      <c r="H486" s="690"/>
      <c r="I486" s="691"/>
      <c r="J486" s="10"/>
      <c r="K486" s="24" t="e">
        <f>K487+K508+#REF!</f>
        <v>#REF!</v>
      </c>
      <c r="L486" s="24">
        <f>L487+L508</f>
        <v>3166.2999999999884</v>
      </c>
      <c r="M486" s="24">
        <f>M487+M508</f>
        <v>428502.29999999993</v>
      </c>
    </row>
    <row r="487" spans="1:15" s="115" customFormat="1" ht="54" customHeight="1" x14ac:dyDescent="0.35">
      <c r="A487" s="11"/>
      <c r="B487" s="496" t="s">
        <v>205</v>
      </c>
      <c r="C487" s="23" t="s">
        <v>422</v>
      </c>
      <c r="D487" s="10" t="s">
        <v>224</v>
      </c>
      <c r="E487" s="10" t="s">
        <v>37</v>
      </c>
      <c r="F487" s="689" t="s">
        <v>39</v>
      </c>
      <c r="G487" s="690" t="s">
        <v>42</v>
      </c>
      <c r="H487" s="690" t="s">
        <v>43</v>
      </c>
      <c r="I487" s="691" t="s">
        <v>44</v>
      </c>
      <c r="J487" s="10"/>
      <c r="K487" s="24">
        <f t="shared" ref="K487:M488" si="84">K488</f>
        <v>424239.19999999995</v>
      </c>
      <c r="L487" s="24">
        <f t="shared" si="84"/>
        <v>3166.2999999999884</v>
      </c>
      <c r="M487" s="24">
        <f t="shared" si="84"/>
        <v>427405.49999999994</v>
      </c>
    </row>
    <row r="488" spans="1:15" s="115" customFormat="1" ht="36" customHeight="1" x14ac:dyDescent="0.35">
      <c r="A488" s="11"/>
      <c r="B488" s="496" t="s">
        <v>206</v>
      </c>
      <c r="C488" s="23" t="s">
        <v>422</v>
      </c>
      <c r="D488" s="10" t="s">
        <v>224</v>
      </c>
      <c r="E488" s="10" t="s">
        <v>37</v>
      </c>
      <c r="F488" s="689" t="s">
        <v>39</v>
      </c>
      <c r="G488" s="690" t="s">
        <v>45</v>
      </c>
      <c r="H488" s="690" t="s">
        <v>43</v>
      </c>
      <c r="I488" s="691" t="s">
        <v>44</v>
      </c>
      <c r="J488" s="10"/>
      <c r="K488" s="24">
        <f t="shared" si="84"/>
        <v>424239.19999999995</v>
      </c>
      <c r="L488" s="24">
        <f t="shared" si="84"/>
        <v>3166.2999999999884</v>
      </c>
      <c r="M488" s="24">
        <f t="shared" si="84"/>
        <v>427405.49999999994</v>
      </c>
    </row>
    <row r="489" spans="1:15" s="115" customFormat="1" ht="36" customHeight="1" x14ac:dyDescent="0.35">
      <c r="A489" s="11"/>
      <c r="B489" s="496" t="s">
        <v>266</v>
      </c>
      <c r="C489" s="23" t="s">
        <v>422</v>
      </c>
      <c r="D489" s="10" t="s">
        <v>224</v>
      </c>
      <c r="E489" s="10" t="s">
        <v>37</v>
      </c>
      <c r="F489" s="689" t="s">
        <v>39</v>
      </c>
      <c r="G489" s="690" t="s">
        <v>45</v>
      </c>
      <c r="H489" s="690" t="s">
        <v>37</v>
      </c>
      <c r="I489" s="691" t="s">
        <v>44</v>
      </c>
      <c r="J489" s="10"/>
      <c r="K489" s="24">
        <f>K498+K500+K490+K494+K492+K496+K504+K502+K506</f>
        <v>424239.19999999995</v>
      </c>
      <c r="L489" s="24">
        <f>L498+L500+L490+L494+L492+L496+L504+L502+L506</f>
        <v>3166.2999999999884</v>
      </c>
      <c r="M489" s="24">
        <f>M498+M500+M490+M494+M492+M496+M504+M502+M506</f>
        <v>427405.49999999994</v>
      </c>
      <c r="N489" s="174"/>
    </row>
    <row r="490" spans="1:15" s="111" customFormat="1" ht="36" customHeight="1" x14ac:dyDescent="0.35">
      <c r="A490" s="11"/>
      <c r="B490" s="529" t="s">
        <v>461</v>
      </c>
      <c r="C490" s="23" t="s">
        <v>422</v>
      </c>
      <c r="D490" s="10" t="s">
        <v>224</v>
      </c>
      <c r="E490" s="10" t="s">
        <v>37</v>
      </c>
      <c r="F490" s="689" t="s">
        <v>39</v>
      </c>
      <c r="G490" s="690" t="s">
        <v>45</v>
      </c>
      <c r="H490" s="690" t="s">
        <v>37</v>
      </c>
      <c r="I490" s="691" t="s">
        <v>91</v>
      </c>
      <c r="J490" s="10"/>
      <c r="K490" s="24">
        <f>K491</f>
        <v>108810.39999999998</v>
      </c>
      <c r="L490" s="24">
        <f>L491</f>
        <v>0</v>
      </c>
      <c r="M490" s="24">
        <f>M491</f>
        <v>108810.39999999998</v>
      </c>
      <c r="N490" s="175"/>
    </row>
    <row r="491" spans="1:15" s="111" customFormat="1" ht="54" customHeight="1" x14ac:dyDescent="0.35">
      <c r="A491" s="11"/>
      <c r="B491" s="496" t="s">
        <v>76</v>
      </c>
      <c r="C491" s="23" t="s">
        <v>422</v>
      </c>
      <c r="D491" s="10" t="s">
        <v>224</v>
      </c>
      <c r="E491" s="10" t="s">
        <v>37</v>
      </c>
      <c r="F491" s="689" t="s">
        <v>39</v>
      </c>
      <c r="G491" s="690" t="s">
        <v>45</v>
      </c>
      <c r="H491" s="690" t="s">
        <v>37</v>
      </c>
      <c r="I491" s="691" t="s">
        <v>91</v>
      </c>
      <c r="J491" s="10" t="s">
        <v>77</v>
      </c>
      <c r="K491" s="24">
        <f>101810-0.1+50+322.9+1877.9+1880+22.5+1980.9+866.3</f>
        <v>108810.39999999998</v>
      </c>
      <c r="L491" s="24">
        <f>M491-K491</f>
        <v>0</v>
      </c>
      <c r="M491" s="24">
        <f>101810-0.1+50+322.9+1877.9+1880+22.5+1980.9+866.3</f>
        <v>108810.39999999998</v>
      </c>
      <c r="N491" s="175"/>
    </row>
    <row r="492" spans="1:15" s="111" customFormat="1" ht="18" customHeight="1" x14ac:dyDescent="0.35">
      <c r="A492" s="11"/>
      <c r="B492" s="496" t="s">
        <v>462</v>
      </c>
      <c r="C492" s="23" t="s">
        <v>422</v>
      </c>
      <c r="D492" s="10" t="s">
        <v>224</v>
      </c>
      <c r="E492" s="10" t="s">
        <v>37</v>
      </c>
      <c r="F492" s="689" t="s">
        <v>39</v>
      </c>
      <c r="G492" s="690" t="s">
        <v>45</v>
      </c>
      <c r="H492" s="690" t="s">
        <v>37</v>
      </c>
      <c r="I492" s="691" t="s">
        <v>379</v>
      </c>
      <c r="J492" s="10"/>
      <c r="K492" s="24">
        <f>K493</f>
        <v>15471.299999999997</v>
      </c>
      <c r="L492" s="24">
        <f>L493</f>
        <v>0</v>
      </c>
      <c r="M492" s="24">
        <f>M493</f>
        <v>15471.299999999997</v>
      </c>
      <c r="N492" s="175"/>
    </row>
    <row r="493" spans="1:15" s="111" customFormat="1" ht="54" customHeight="1" x14ac:dyDescent="0.35">
      <c r="A493" s="11"/>
      <c r="B493" s="496" t="s">
        <v>76</v>
      </c>
      <c r="C493" s="23" t="s">
        <v>422</v>
      </c>
      <c r="D493" s="10" t="s">
        <v>224</v>
      </c>
      <c r="E493" s="10" t="s">
        <v>37</v>
      </c>
      <c r="F493" s="689" t="s">
        <v>39</v>
      </c>
      <c r="G493" s="690" t="s">
        <v>45</v>
      </c>
      <c r="H493" s="690" t="s">
        <v>37</v>
      </c>
      <c r="I493" s="691" t="s">
        <v>379</v>
      </c>
      <c r="J493" s="10" t="s">
        <v>77</v>
      </c>
      <c r="K493" s="24">
        <f>10239.7+473.772+460.884+473.844+319.1+529.5+653.4+9.035+563.1+100.4+141.3+160.9+111.331+56.634+566.5+367.2+817-73.5-15-284.557-228.843-68.3-300.95-249.95-141.3-452.75766+644.25766+272.8+325.8</f>
        <v>15471.299999999997</v>
      </c>
      <c r="L493" s="24">
        <f>M493-K493</f>
        <v>0</v>
      </c>
      <c r="M493" s="24">
        <f>10239.7+473.772+460.884+473.844+319.1+529.5+653.4+9.035+563.1+100.4+141.3+160.9+111.331+56.634+566.5+367.2+817-73.5-15-284.557-228.843-68.3-300.95-249.95-141.3-452.75766+644.25766+272.8+325.8</f>
        <v>15471.299999999997</v>
      </c>
      <c r="N493" s="175"/>
    </row>
    <row r="494" spans="1:15" s="115" customFormat="1" ht="54" customHeight="1" x14ac:dyDescent="0.35">
      <c r="A494" s="11"/>
      <c r="B494" s="496" t="s">
        <v>207</v>
      </c>
      <c r="C494" s="23" t="s">
        <v>422</v>
      </c>
      <c r="D494" s="10" t="s">
        <v>224</v>
      </c>
      <c r="E494" s="10" t="s">
        <v>37</v>
      </c>
      <c r="F494" s="689" t="s">
        <v>39</v>
      </c>
      <c r="G494" s="690" t="s">
        <v>45</v>
      </c>
      <c r="H494" s="690" t="s">
        <v>37</v>
      </c>
      <c r="I494" s="691" t="s">
        <v>272</v>
      </c>
      <c r="J494" s="10"/>
      <c r="K494" s="24">
        <f>K495</f>
        <v>31159.599999999999</v>
      </c>
      <c r="L494" s="24">
        <f>L495</f>
        <v>0</v>
      </c>
      <c r="M494" s="24">
        <f>M495</f>
        <v>31159.599999999999</v>
      </c>
      <c r="N494" s="174"/>
    </row>
    <row r="495" spans="1:15" s="115" customFormat="1" ht="54" customHeight="1" x14ac:dyDescent="0.35">
      <c r="A495" s="11"/>
      <c r="B495" s="496" t="s">
        <v>76</v>
      </c>
      <c r="C495" s="23" t="s">
        <v>422</v>
      </c>
      <c r="D495" s="10" t="s">
        <v>224</v>
      </c>
      <c r="E495" s="10" t="s">
        <v>37</v>
      </c>
      <c r="F495" s="689" t="s">
        <v>39</v>
      </c>
      <c r="G495" s="690" t="s">
        <v>45</v>
      </c>
      <c r="H495" s="690" t="s">
        <v>37</v>
      </c>
      <c r="I495" s="691" t="s">
        <v>272</v>
      </c>
      <c r="J495" s="10" t="s">
        <v>77</v>
      </c>
      <c r="K495" s="24">
        <f>28269.9+735.9+362+724+36+81.5+50+46.6+98.4+82.1+85+247.3+5.2+45+36+82.7+12.3+12+20.3+56.8+70.6</f>
        <v>31159.599999999999</v>
      </c>
      <c r="L495" s="24">
        <f>M495-K495</f>
        <v>0</v>
      </c>
      <c r="M495" s="24">
        <f>28269.9+735.9+362+724+36+81.5+50+46.6+98.4+82.1+85+247.3+5.2+45+36+82.7+12.3+12+20.3+56.8+70.6</f>
        <v>31159.599999999999</v>
      </c>
      <c r="N495" s="174"/>
    </row>
    <row r="496" spans="1:15" s="115" customFormat="1" ht="36" customHeight="1" x14ac:dyDescent="0.35">
      <c r="A496" s="11"/>
      <c r="B496" s="496" t="s">
        <v>208</v>
      </c>
      <c r="C496" s="23" t="s">
        <v>422</v>
      </c>
      <c r="D496" s="10" t="s">
        <v>224</v>
      </c>
      <c r="E496" s="10" t="s">
        <v>37</v>
      </c>
      <c r="F496" s="689" t="s">
        <v>39</v>
      </c>
      <c r="G496" s="690" t="s">
        <v>45</v>
      </c>
      <c r="H496" s="690" t="s">
        <v>37</v>
      </c>
      <c r="I496" s="691" t="s">
        <v>273</v>
      </c>
      <c r="J496" s="10"/>
      <c r="K496" s="24">
        <f>K497</f>
        <v>1298.3999999999999</v>
      </c>
      <c r="L496" s="24">
        <f>L497</f>
        <v>0</v>
      </c>
      <c r="M496" s="24">
        <f>M497</f>
        <v>1298.3999999999999</v>
      </c>
      <c r="N496" s="174"/>
    </row>
    <row r="497" spans="1:14" s="111" customFormat="1" ht="54" customHeight="1" x14ac:dyDescent="0.35">
      <c r="A497" s="11"/>
      <c r="B497" s="496" t="s">
        <v>76</v>
      </c>
      <c r="C497" s="23" t="s">
        <v>422</v>
      </c>
      <c r="D497" s="10" t="s">
        <v>224</v>
      </c>
      <c r="E497" s="10" t="s">
        <v>37</v>
      </c>
      <c r="F497" s="689" t="s">
        <v>39</v>
      </c>
      <c r="G497" s="690" t="s">
        <v>45</v>
      </c>
      <c r="H497" s="690" t="s">
        <v>37</v>
      </c>
      <c r="I497" s="691" t="s">
        <v>273</v>
      </c>
      <c r="J497" s="10" t="s">
        <v>77</v>
      </c>
      <c r="K497" s="24">
        <f>80.8+400+300+159.9+269-269+214+402.4+141.3-400</f>
        <v>1298.3999999999999</v>
      </c>
      <c r="L497" s="24">
        <f>M497-K497</f>
        <v>0</v>
      </c>
      <c r="M497" s="24">
        <f>80.8+400+300+159.9+269-269+214+402.4+141.3-400</f>
        <v>1298.3999999999999</v>
      </c>
      <c r="N497" s="175"/>
    </row>
    <row r="498" spans="1:14" s="115" customFormat="1" ht="180" customHeight="1" x14ac:dyDescent="0.35">
      <c r="A498" s="11"/>
      <c r="B498" s="496" t="s">
        <v>267</v>
      </c>
      <c r="C498" s="23" t="s">
        <v>422</v>
      </c>
      <c r="D498" s="10" t="s">
        <v>224</v>
      </c>
      <c r="E498" s="10" t="s">
        <v>37</v>
      </c>
      <c r="F498" s="689" t="s">
        <v>39</v>
      </c>
      <c r="G498" s="690" t="s">
        <v>45</v>
      </c>
      <c r="H498" s="690" t="s">
        <v>37</v>
      </c>
      <c r="I498" s="691" t="s">
        <v>268</v>
      </c>
      <c r="J498" s="10"/>
      <c r="K498" s="24">
        <f>K499</f>
        <v>580.4</v>
      </c>
      <c r="L498" s="24">
        <f>L499</f>
        <v>0</v>
      </c>
      <c r="M498" s="24">
        <f>M499</f>
        <v>580.4</v>
      </c>
      <c r="N498" s="174"/>
    </row>
    <row r="499" spans="1:14" s="115" customFormat="1" ht="54" customHeight="1" x14ac:dyDescent="0.35">
      <c r="A499" s="11"/>
      <c r="B499" s="496" t="s">
        <v>76</v>
      </c>
      <c r="C499" s="23" t="s">
        <v>422</v>
      </c>
      <c r="D499" s="10" t="s">
        <v>224</v>
      </c>
      <c r="E499" s="10" t="s">
        <v>37</v>
      </c>
      <c r="F499" s="689" t="s">
        <v>39</v>
      </c>
      <c r="G499" s="690" t="s">
        <v>45</v>
      </c>
      <c r="H499" s="690" t="s">
        <v>37</v>
      </c>
      <c r="I499" s="691" t="s">
        <v>268</v>
      </c>
      <c r="J499" s="10" t="s">
        <v>77</v>
      </c>
      <c r="K499" s="24">
        <f>536.4+44</f>
        <v>580.4</v>
      </c>
      <c r="L499" s="24">
        <f>M499-K499</f>
        <v>0</v>
      </c>
      <c r="M499" s="24">
        <f>536.4+44</f>
        <v>580.4</v>
      </c>
    </row>
    <row r="500" spans="1:14" s="115" customFormat="1" ht="108" customHeight="1" x14ac:dyDescent="0.35">
      <c r="A500" s="11"/>
      <c r="B500" s="496" t="s">
        <v>343</v>
      </c>
      <c r="C500" s="23" t="s">
        <v>422</v>
      </c>
      <c r="D500" s="10" t="s">
        <v>224</v>
      </c>
      <c r="E500" s="10" t="s">
        <v>37</v>
      </c>
      <c r="F500" s="689" t="s">
        <v>39</v>
      </c>
      <c r="G500" s="690" t="s">
        <v>45</v>
      </c>
      <c r="H500" s="690" t="s">
        <v>37</v>
      </c>
      <c r="I500" s="691" t="s">
        <v>269</v>
      </c>
      <c r="J500" s="10"/>
      <c r="K500" s="24">
        <f>K501</f>
        <v>251582.4</v>
      </c>
      <c r="L500" s="24">
        <f>L501</f>
        <v>3166.2999999999884</v>
      </c>
      <c r="M500" s="24">
        <f>M501</f>
        <v>254748.69999999998</v>
      </c>
    </row>
    <row r="501" spans="1:14" s="115" customFormat="1" ht="54" customHeight="1" x14ac:dyDescent="0.35">
      <c r="A501" s="11"/>
      <c r="B501" s="496" t="s">
        <v>76</v>
      </c>
      <c r="C501" s="23" t="s">
        <v>422</v>
      </c>
      <c r="D501" s="10" t="s">
        <v>224</v>
      </c>
      <c r="E501" s="10" t="s">
        <v>37</v>
      </c>
      <c r="F501" s="689" t="s">
        <v>39</v>
      </c>
      <c r="G501" s="690" t="s">
        <v>45</v>
      </c>
      <c r="H501" s="690" t="s">
        <v>37</v>
      </c>
      <c r="I501" s="691" t="s">
        <v>269</v>
      </c>
      <c r="J501" s="10" t="s">
        <v>77</v>
      </c>
      <c r="K501" s="24">
        <f>249099.8+2482.6</f>
        <v>251582.4</v>
      </c>
      <c r="L501" s="24">
        <f>M501-K501</f>
        <v>3166.2999999999884</v>
      </c>
      <c r="M501" s="24">
        <f>249099.8+2482.6+3166.3</f>
        <v>254748.69999999998</v>
      </c>
    </row>
    <row r="502" spans="1:14" s="115" customFormat="1" ht="54" customHeight="1" x14ac:dyDescent="0.35">
      <c r="A502" s="11"/>
      <c r="B502" s="579" t="s">
        <v>681</v>
      </c>
      <c r="C502" s="23" t="s">
        <v>422</v>
      </c>
      <c r="D502" s="10" t="s">
        <v>224</v>
      </c>
      <c r="E502" s="10" t="s">
        <v>37</v>
      </c>
      <c r="F502" s="689" t="s">
        <v>39</v>
      </c>
      <c r="G502" s="690" t="s">
        <v>45</v>
      </c>
      <c r="H502" s="690" t="s">
        <v>37</v>
      </c>
      <c r="I502" s="691" t="s">
        <v>680</v>
      </c>
      <c r="J502" s="10"/>
      <c r="K502" s="24">
        <f>K503</f>
        <v>4901.7</v>
      </c>
      <c r="L502" s="24">
        <f>L503</f>
        <v>0</v>
      </c>
      <c r="M502" s="24">
        <f>M503</f>
        <v>4901.7</v>
      </c>
    </row>
    <row r="503" spans="1:14" s="115" customFormat="1" ht="54" customHeight="1" x14ac:dyDescent="0.35">
      <c r="A503" s="11"/>
      <c r="B503" s="579" t="s">
        <v>76</v>
      </c>
      <c r="C503" s="23" t="s">
        <v>422</v>
      </c>
      <c r="D503" s="10" t="s">
        <v>224</v>
      </c>
      <c r="E503" s="10" t="s">
        <v>37</v>
      </c>
      <c r="F503" s="689" t="s">
        <v>39</v>
      </c>
      <c r="G503" s="690" t="s">
        <v>45</v>
      </c>
      <c r="H503" s="690" t="s">
        <v>37</v>
      </c>
      <c r="I503" s="691" t="s">
        <v>680</v>
      </c>
      <c r="J503" s="10" t="s">
        <v>77</v>
      </c>
      <c r="K503" s="24">
        <v>4901.7</v>
      </c>
      <c r="L503" s="24">
        <f>M503-K503</f>
        <v>0</v>
      </c>
      <c r="M503" s="24">
        <v>4901.7</v>
      </c>
    </row>
    <row r="504" spans="1:14" s="115" customFormat="1" ht="205.95" customHeight="1" x14ac:dyDescent="0.35">
      <c r="A504" s="11"/>
      <c r="B504" s="496" t="s">
        <v>548</v>
      </c>
      <c r="C504" s="23" t="s">
        <v>422</v>
      </c>
      <c r="D504" s="10" t="s">
        <v>224</v>
      </c>
      <c r="E504" s="10" t="s">
        <v>37</v>
      </c>
      <c r="F504" s="689" t="s">
        <v>39</v>
      </c>
      <c r="G504" s="690" t="s">
        <v>45</v>
      </c>
      <c r="H504" s="690" t="s">
        <v>37</v>
      </c>
      <c r="I504" s="691" t="s">
        <v>549</v>
      </c>
      <c r="J504" s="10"/>
      <c r="K504" s="24">
        <f>K505</f>
        <v>1469.3</v>
      </c>
      <c r="L504" s="24">
        <f>L505</f>
        <v>0</v>
      </c>
      <c r="M504" s="24">
        <f>M505</f>
        <v>1469.3</v>
      </c>
    </row>
    <row r="505" spans="1:14" s="115" customFormat="1" ht="54" customHeight="1" x14ac:dyDescent="0.35">
      <c r="A505" s="11"/>
      <c r="B505" s="496" t="s">
        <v>76</v>
      </c>
      <c r="C505" s="23" t="s">
        <v>422</v>
      </c>
      <c r="D505" s="10" t="s">
        <v>224</v>
      </c>
      <c r="E505" s="10" t="s">
        <v>37</v>
      </c>
      <c r="F505" s="689" t="s">
        <v>39</v>
      </c>
      <c r="G505" s="690" t="s">
        <v>45</v>
      </c>
      <c r="H505" s="690" t="s">
        <v>37</v>
      </c>
      <c r="I505" s="691" t="s">
        <v>549</v>
      </c>
      <c r="J505" s="10" t="s">
        <v>77</v>
      </c>
      <c r="K505" s="24">
        <v>1469.3</v>
      </c>
      <c r="L505" s="24">
        <f>M505-K505</f>
        <v>0</v>
      </c>
      <c r="M505" s="24">
        <v>1469.3</v>
      </c>
    </row>
    <row r="506" spans="1:14" s="115" customFormat="1" ht="162" x14ac:dyDescent="0.35">
      <c r="A506" s="11"/>
      <c r="B506" s="496" t="s">
        <v>738</v>
      </c>
      <c r="C506" s="23" t="s">
        <v>422</v>
      </c>
      <c r="D506" s="10" t="s">
        <v>224</v>
      </c>
      <c r="E506" s="10" t="s">
        <v>37</v>
      </c>
      <c r="F506" s="689" t="s">
        <v>39</v>
      </c>
      <c r="G506" s="690" t="s">
        <v>45</v>
      </c>
      <c r="H506" s="690" t="s">
        <v>37</v>
      </c>
      <c r="I506" s="691" t="s">
        <v>737</v>
      </c>
      <c r="J506" s="10"/>
      <c r="K506" s="24">
        <f>K507</f>
        <v>8965.7000000000007</v>
      </c>
      <c r="L506" s="24">
        <f>L507</f>
        <v>0</v>
      </c>
      <c r="M506" s="24">
        <f>M507</f>
        <v>8965.7000000000007</v>
      </c>
    </row>
    <row r="507" spans="1:14" s="115" customFormat="1" ht="54" customHeight="1" x14ac:dyDescent="0.35">
      <c r="A507" s="11"/>
      <c r="B507" s="496" t="s">
        <v>76</v>
      </c>
      <c r="C507" s="23" t="s">
        <v>422</v>
      </c>
      <c r="D507" s="10" t="s">
        <v>224</v>
      </c>
      <c r="E507" s="10" t="s">
        <v>37</v>
      </c>
      <c r="F507" s="689" t="s">
        <v>39</v>
      </c>
      <c r="G507" s="690" t="s">
        <v>45</v>
      </c>
      <c r="H507" s="690" t="s">
        <v>37</v>
      </c>
      <c r="I507" s="691" t="s">
        <v>737</v>
      </c>
      <c r="J507" s="10" t="s">
        <v>77</v>
      </c>
      <c r="K507" s="24">
        <v>8965.7000000000007</v>
      </c>
      <c r="L507" s="24">
        <f>M507-K507</f>
        <v>0</v>
      </c>
      <c r="M507" s="24">
        <v>8965.7000000000007</v>
      </c>
    </row>
    <row r="508" spans="1:14" s="111" customFormat="1" ht="54" customHeight="1" x14ac:dyDescent="0.35">
      <c r="A508" s="11"/>
      <c r="B508" s="496" t="s">
        <v>80</v>
      </c>
      <c r="C508" s="23" t="s">
        <v>422</v>
      </c>
      <c r="D508" s="10" t="s">
        <v>224</v>
      </c>
      <c r="E508" s="10" t="s">
        <v>37</v>
      </c>
      <c r="F508" s="689" t="s">
        <v>81</v>
      </c>
      <c r="G508" s="690" t="s">
        <v>42</v>
      </c>
      <c r="H508" s="690" t="s">
        <v>43</v>
      </c>
      <c r="I508" s="691" t="s">
        <v>44</v>
      </c>
      <c r="J508" s="10"/>
      <c r="K508" s="24">
        <f t="shared" ref="K508:M509" si="85">K509</f>
        <v>1096.8</v>
      </c>
      <c r="L508" s="24">
        <f t="shared" si="85"/>
        <v>0</v>
      </c>
      <c r="M508" s="24">
        <f t="shared" si="85"/>
        <v>1096.8</v>
      </c>
    </row>
    <row r="509" spans="1:14" s="115" customFormat="1" ht="36" customHeight="1" x14ac:dyDescent="0.35">
      <c r="A509" s="11"/>
      <c r="B509" s="496" t="s">
        <v>125</v>
      </c>
      <c r="C509" s="23" t="s">
        <v>422</v>
      </c>
      <c r="D509" s="10" t="s">
        <v>224</v>
      </c>
      <c r="E509" s="10" t="s">
        <v>37</v>
      </c>
      <c r="F509" s="689" t="s">
        <v>81</v>
      </c>
      <c r="G509" s="690" t="s">
        <v>89</v>
      </c>
      <c r="H509" s="690" t="s">
        <v>43</v>
      </c>
      <c r="I509" s="691" t="s">
        <v>44</v>
      </c>
      <c r="J509" s="10"/>
      <c r="K509" s="24">
        <f t="shared" si="85"/>
        <v>1096.8</v>
      </c>
      <c r="L509" s="24">
        <f>L510</f>
        <v>0</v>
      </c>
      <c r="M509" s="24">
        <f t="shared" si="85"/>
        <v>1096.8</v>
      </c>
    </row>
    <row r="510" spans="1:14" s="115" customFormat="1" ht="36" customHeight="1" x14ac:dyDescent="0.35">
      <c r="A510" s="11"/>
      <c r="B510" s="496" t="s">
        <v>270</v>
      </c>
      <c r="C510" s="23" t="s">
        <v>422</v>
      </c>
      <c r="D510" s="10" t="s">
        <v>224</v>
      </c>
      <c r="E510" s="10" t="s">
        <v>37</v>
      </c>
      <c r="F510" s="689" t="s">
        <v>81</v>
      </c>
      <c r="G510" s="690" t="s">
        <v>89</v>
      </c>
      <c r="H510" s="690" t="s">
        <v>37</v>
      </c>
      <c r="I510" s="691" t="s">
        <v>44</v>
      </c>
      <c r="J510" s="10"/>
      <c r="K510" s="24">
        <f>K511+K515+K513</f>
        <v>1096.8</v>
      </c>
      <c r="L510" s="24">
        <f>L511+L515+L513</f>
        <v>0</v>
      </c>
      <c r="M510" s="24">
        <f>M511+M515+M513</f>
        <v>1096.8</v>
      </c>
    </row>
    <row r="511" spans="1:14" s="115" customFormat="1" ht="18" customHeight="1" x14ac:dyDescent="0.35">
      <c r="A511" s="11"/>
      <c r="B511" s="496" t="s">
        <v>462</v>
      </c>
      <c r="C511" s="23" t="s">
        <v>422</v>
      </c>
      <c r="D511" s="10" t="s">
        <v>224</v>
      </c>
      <c r="E511" s="10" t="s">
        <v>37</v>
      </c>
      <c r="F511" s="689" t="s">
        <v>81</v>
      </c>
      <c r="G511" s="690" t="s">
        <v>89</v>
      </c>
      <c r="H511" s="690" t="s">
        <v>37</v>
      </c>
      <c r="I511" s="691" t="s">
        <v>379</v>
      </c>
      <c r="J511" s="10"/>
      <c r="K511" s="24">
        <f>K512</f>
        <v>258.59999999999997</v>
      </c>
      <c r="L511" s="24">
        <f>L512</f>
        <v>0</v>
      </c>
      <c r="M511" s="24">
        <f>M512</f>
        <v>258.59999999999997</v>
      </c>
    </row>
    <row r="512" spans="1:14" s="115" customFormat="1" ht="54" customHeight="1" x14ac:dyDescent="0.35">
      <c r="A512" s="11"/>
      <c r="B512" s="496" t="s">
        <v>76</v>
      </c>
      <c r="C512" s="23" t="s">
        <v>422</v>
      </c>
      <c r="D512" s="10" t="s">
        <v>224</v>
      </c>
      <c r="E512" s="10" t="s">
        <v>37</v>
      </c>
      <c r="F512" s="689" t="s">
        <v>81</v>
      </c>
      <c r="G512" s="690" t="s">
        <v>89</v>
      </c>
      <c r="H512" s="690" t="s">
        <v>37</v>
      </c>
      <c r="I512" s="691" t="s">
        <v>379</v>
      </c>
      <c r="J512" s="10" t="s">
        <v>77</v>
      </c>
      <c r="K512" s="24">
        <f>518.3-68.2-191.5</f>
        <v>258.59999999999997</v>
      </c>
      <c r="L512" s="24">
        <f>M512-K512</f>
        <v>0</v>
      </c>
      <c r="M512" s="24">
        <f>518.3-68.2-191.5</f>
        <v>258.59999999999997</v>
      </c>
    </row>
    <row r="513" spans="1:13" s="115" customFormat="1" ht="46.2" customHeight="1" x14ac:dyDescent="0.35">
      <c r="A513" s="11"/>
      <c r="B513" s="496" t="s">
        <v>127</v>
      </c>
      <c r="C513" s="23" t="s">
        <v>422</v>
      </c>
      <c r="D513" s="10" t="s">
        <v>224</v>
      </c>
      <c r="E513" s="10" t="s">
        <v>37</v>
      </c>
      <c r="F513" s="689" t="s">
        <v>81</v>
      </c>
      <c r="G513" s="690" t="s">
        <v>89</v>
      </c>
      <c r="H513" s="690" t="s">
        <v>37</v>
      </c>
      <c r="I513" s="691" t="s">
        <v>90</v>
      </c>
      <c r="J513" s="10"/>
      <c r="K513" s="24">
        <f>K514</f>
        <v>209.9</v>
      </c>
      <c r="L513" s="24">
        <f>L514</f>
        <v>0</v>
      </c>
      <c r="M513" s="24">
        <f>M514</f>
        <v>209.9</v>
      </c>
    </row>
    <row r="514" spans="1:13" s="115" customFormat="1" ht="54" customHeight="1" x14ac:dyDescent="0.35">
      <c r="A514" s="11"/>
      <c r="B514" s="496" t="s">
        <v>76</v>
      </c>
      <c r="C514" s="23" t="s">
        <v>422</v>
      </c>
      <c r="D514" s="10" t="s">
        <v>224</v>
      </c>
      <c r="E514" s="10" t="s">
        <v>37</v>
      </c>
      <c r="F514" s="689" t="s">
        <v>81</v>
      </c>
      <c r="G514" s="690" t="s">
        <v>89</v>
      </c>
      <c r="H514" s="690" t="s">
        <v>37</v>
      </c>
      <c r="I514" s="691" t="s">
        <v>90</v>
      </c>
      <c r="J514" s="10" t="s">
        <v>77</v>
      </c>
      <c r="K514" s="24">
        <f>209.9</f>
        <v>209.9</v>
      </c>
      <c r="L514" s="24">
        <f>M514-K514</f>
        <v>0</v>
      </c>
      <c r="M514" s="24">
        <f>209.9</f>
        <v>209.9</v>
      </c>
    </row>
    <row r="515" spans="1:13" s="115" customFormat="1" ht="18" customHeight="1" x14ac:dyDescent="0.35">
      <c r="A515" s="11"/>
      <c r="B515" s="496" t="s">
        <v>426</v>
      </c>
      <c r="C515" s="23" t="s">
        <v>422</v>
      </c>
      <c r="D515" s="10" t="s">
        <v>224</v>
      </c>
      <c r="E515" s="10" t="s">
        <v>37</v>
      </c>
      <c r="F515" s="689" t="s">
        <v>81</v>
      </c>
      <c r="G515" s="690" t="s">
        <v>89</v>
      </c>
      <c r="H515" s="690" t="s">
        <v>37</v>
      </c>
      <c r="I515" s="691" t="s">
        <v>427</v>
      </c>
      <c r="J515" s="10"/>
      <c r="K515" s="24">
        <f t="shared" ref="K515:M515" si="86">K516</f>
        <v>628.29999999999995</v>
      </c>
      <c r="L515" s="24">
        <f t="shared" si="86"/>
        <v>0</v>
      </c>
      <c r="M515" s="24">
        <f t="shared" si="86"/>
        <v>628.29999999999995</v>
      </c>
    </row>
    <row r="516" spans="1:13" s="115" customFormat="1" ht="54" customHeight="1" x14ac:dyDescent="0.35">
      <c r="A516" s="11"/>
      <c r="B516" s="496" t="s">
        <v>76</v>
      </c>
      <c r="C516" s="23" t="s">
        <v>422</v>
      </c>
      <c r="D516" s="10" t="s">
        <v>224</v>
      </c>
      <c r="E516" s="10" t="s">
        <v>37</v>
      </c>
      <c r="F516" s="689" t="s">
        <v>81</v>
      </c>
      <c r="G516" s="690" t="s">
        <v>89</v>
      </c>
      <c r="H516" s="690" t="s">
        <v>37</v>
      </c>
      <c r="I516" s="691" t="s">
        <v>427</v>
      </c>
      <c r="J516" s="10" t="s">
        <v>77</v>
      </c>
      <c r="K516" s="24">
        <v>628.29999999999995</v>
      </c>
      <c r="L516" s="24">
        <f>M516-K516</f>
        <v>0</v>
      </c>
      <c r="M516" s="24">
        <v>628.29999999999995</v>
      </c>
    </row>
    <row r="517" spans="1:13" s="115" customFormat="1" ht="18" customHeight="1" x14ac:dyDescent="0.35">
      <c r="A517" s="11"/>
      <c r="B517" s="496" t="s">
        <v>183</v>
      </c>
      <c r="C517" s="23" t="s">
        <v>422</v>
      </c>
      <c r="D517" s="10" t="s">
        <v>224</v>
      </c>
      <c r="E517" s="10" t="s">
        <v>39</v>
      </c>
      <c r="F517" s="689"/>
      <c r="G517" s="690"/>
      <c r="H517" s="690"/>
      <c r="I517" s="691"/>
      <c r="J517" s="10"/>
      <c r="K517" s="24">
        <f>K518</f>
        <v>875971.78830000001</v>
      </c>
      <c r="L517" s="24">
        <f>L518</f>
        <v>10707.000000000035</v>
      </c>
      <c r="M517" s="24">
        <f>M518</f>
        <v>886678.78830000013</v>
      </c>
    </row>
    <row r="518" spans="1:13" s="115" customFormat="1" ht="54" customHeight="1" x14ac:dyDescent="0.35">
      <c r="A518" s="11"/>
      <c r="B518" s="496" t="s">
        <v>205</v>
      </c>
      <c r="C518" s="23" t="s">
        <v>422</v>
      </c>
      <c r="D518" s="10" t="s">
        <v>224</v>
      </c>
      <c r="E518" s="10" t="s">
        <v>39</v>
      </c>
      <c r="F518" s="689" t="s">
        <v>39</v>
      </c>
      <c r="G518" s="690" t="s">
        <v>42</v>
      </c>
      <c r="H518" s="690" t="s">
        <v>43</v>
      </c>
      <c r="I518" s="691" t="s">
        <v>44</v>
      </c>
      <c r="J518" s="10"/>
      <c r="K518" s="24">
        <f>K519+K573</f>
        <v>875971.78830000001</v>
      </c>
      <c r="L518" s="24">
        <f>L519+L573</f>
        <v>10707.000000000035</v>
      </c>
      <c r="M518" s="24">
        <f>M519+M573</f>
        <v>886678.78830000013</v>
      </c>
    </row>
    <row r="519" spans="1:13" s="115" customFormat="1" ht="36" customHeight="1" x14ac:dyDescent="0.35">
      <c r="A519" s="11"/>
      <c r="B519" s="496" t="s">
        <v>206</v>
      </c>
      <c r="C519" s="23" t="s">
        <v>422</v>
      </c>
      <c r="D519" s="10" t="s">
        <v>224</v>
      </c>
      <c r="E519" s="10" t="s">
        <v>39</v>
      </c>
      <c r="F519" s="689" t="s">
        <v>39</v>
      </c>
      <c r="G519" s="690" t="s">
        <v>45</v>
      </c>
      <c r="H519" s="690" t="s">
        <v>43</v>
      </c>
      <c r="I519" s="691" t="s">
        <v>44</v>
      </c>
      <c r="J519" s="10"/>
      <c r="K519" s="24">
        <f>K520+K567</f>
        <v>873749.58830000006</v>
      </c>
      <c r="L519" s="24">
        <f>L520+L567</f>
        <v>10707.000000000035</v>
      </c>
      <c r="M519" s="24">
        <f>M520+M567</f>
        <v>884456.58830000018</v>
      </c>
    </row>
    <row r="520" spans="1:13" s="115" customFormat="1" ht="18" customHeight="1" x14ac:dyDescent="0.35">
      <c r="A520" s="11"/>
      <c r="B520" s="496" t="s">
        <v>271</v>
      </c>
      <c r="C520" s="23" t="s">
        <v>422</v>
      </c>
      <c r="D520" s="10" t="s">
        <v>224</v>
      </c>
      <c r="E520" s="10" t="s">
        <v>39</v>
      </c>
      <c r="F520" s="689" t="s">
        <v>39</v>
      </c>
      <c r="G520" s="690" t="s">
        <v>45</v>
      </c>
      <c r="H520" s="690" t="s">
        <v>39</v>
      </c>
      <c r="I520" s="691" t="s">
        <v>44</v>
      </c>
      <c r="J520" s="10"/>
      <c r="K520" s="24">
        <f>K529+K532+K542+K546+K550+K521+K526+K558+K539+K537+K563+K555+K561+K553</f>
        <v>868092.68830000004</v>
      </c>
      <c r="L520" s="24">
        <f>L529+L532+L542+L546+L550+L521+L526+L558+L539+L537+L563+L555+L561+L553</f>
        <v>10439.400000000034</v>
      </c>
      <c r="M520" s="24">
        <f>M529+M532+M542+M546+M550+M521+M526+M558+M539+M537+M563+M555+M561+M553</f>
        <v>878532.08830000018</v>
      </c>
    </row>
    <row r="521" spans="1:13" s="111" customFormat="1" ht="36" customHeight="1" x14ac:dyDescent="0.35">
      <c r="A521" s="11"/>
      <c r="B521" s="529" t="s">
        <v>461</v>
      </c>
      <c r="C521" s="23" t="s">
        <v>422</v>
      </c>
      <c r="D521" s="10" t="s">
        <v>224</v>
      </c>
      <c r="E521" s="10" t="s">
        <v>39</v>
      </c>
      <c r="F521" s="689" t="s">
        <v>39</v>
      </c>
      <c r="G521" s="690" t="s">
        <v>45</v>
      </c>
      <c r="H521" s="690" t="s">
        <v>39</v>
      </c>
      <c r="I521" s="691" t="s">
        <v>91</v>
      </c>
      <c r="J521" s="10"/>
      <c r="K521" s="24">
        <f>K524+K525+K523+K522</f>
        <v>84435.939999999988</v>
      </c>
      <c r="L521" s="24">
        <f>L524+L525+L523+L522</f>
        <v>0</v>
      </c>
      <c r="M521" s="24">
        <f>M524+M525+M523+M522</f>
        <v>84435.939999999988</v>
      </c>
    </row>
    <row r="522" spans="1:13" s="111" customFormat="1" ht="108" customHeight="1" x14ac:dyDescent="0.35">
      <c r="A522" s="11"/>
      <c r="B522" s="496" t="s">
        <v>49</v>
      </c>
      <c r="C522" s="23" t="s">
        <v>422</v>
      </c>
      <c r="D522" s="10" t="s">
        <v>224</v>
      </c>
      <c r="E522" s="10" t="s">
        <v>39</v>
      </c>
      <c r="F522" s="689" t="s">
        <v>39</v>
      </c>
      <c r="G522" s="690" t="s">
        <v>45</v>
      </c>
      <c r="H522" s="690" t="s">
        <v>39</v>
      </c>
      <c r="I522" s="691" t="s">
        <v>91</v>
      </c>
      <c r="J522" s="10" t="s">
        <v>50</v>
      </c>
      <c r="K522" s="24">
        <v>361.1</v>
      </c>
      <c r="L522" s="24">
        <f>M522-K522</f>
        <v>0</v>
      </c>
      <c r="M522" s="24">
        <v>361.1</v>
      </c>
    </row>
    <row r="523" spans="1:13" s="111" customFormat="1" ht="54" customHeight="1" x14ac:dyDescent="0.35">
      <c r="A523" s="11"/>
      <c r="B523" s="496" t="s">
        <v>55</v>
      </c>
      <c r="C523" s="23" t="s">
        <v>422</v>
      </c>
      <c r="D523" s="10" t="s">
        <v>224</v>
      </c>
      <c r="E523" s="10" t="s">
        <v>39</v>
      </c>
      <c r="F523" s="689" t="s">
        <v>39</v>
      </c>
      <c r="G523" s="690" t="s">
        <v>45</v>
      </c>
      <c r="H523" s="690" t="s">
        <v>39</v>
      </c>
      <c r="I523" s="691" t="s">
        <v>91</v>
      </c>
      <c r="J523" s="10" t="s">
        <v>56</v>
      </c>
      <c r="K523" s="24">
        <f>7042.1+141+187.14-100+100+893.6+549</f>
        <v>8812.84</v>
      </c>
      <c r="L523" s="24">
        <f>M523-K523</f>
        <v>0</v>
      </c>
      <c r="M523" s="24">
        <f>7042.1+141+187.14-100+100+893.6+549</f>
        <v>8812.84</v>
      </c>
    </row>
    <row r="524" spans="1:13" s="111" customFormat="1" ht="54" customHeight="1" x14ac:dyDescent="0.35">
      <c r="A524" s="11"/>
      <c r="B524" s="496" t="s">
        <v>76</v>
      </c>
      <c r="C524" s="23" t="s">
        <v>422</v>
      </c>
      <c r="D524" s="10" t="s">
        <v>224</v>
      </c>
      <c r="E524" s="10" t="s">
        <v>39</v>
      </c>
      <c r="F524" s="689" t="s">
        <v>39</v>
      </c>
      <c r="G524" s="690" t="s">
        <v>45</v>
      </c>
      <c r="H524" s="690" t="s">
        <v>39</v>
      </c>
      <c r="I524" s="691" t="s">
        <v>91</v>
      </c>
      <c r="J524" s="10" t="s">
        <v>77</v>
      </c>
      <c r="K524" s="24">
        <f>68725.9+510.4+1514.5+411.7+3601</f>
        <v>74763.499999999985</v>
      </c>
      <c r="L524" s="24">
        <f>M524-K524</f>
        <v>0</v>
      </c>
      <c r="M524" s="24">
        <f>68725.9+510.4+1514.5+411.7+3601</f>
        <v>74763.499999999985</v>
      </c>
    </row>
    <row r="525" spans="1:13" s="111" customFormat="1" ht="18" customHeight="1" x14ac:dyDescent="0.35">
      <c r="A525" s="11"/>
      <c r="B525" s="496" t="s">
        <v>57</v>
      </c>
      <c r="C525" s="23" t="s">
        <v>422</v>
      </c>
      <c r="D525" s="10" t="s">
        <v>224</v>
      </c>
      <c r="E525" s="10" t="s">
        <v>39</v>
      </c>
      <c r="F525" s="689" t="s">
        <v>39</v>
      </c>
      <c r="G525" s="690" t="s">
        <v>45</v>
      </c>
      <c r="H525" s="690" t="s">
        <v>39</v>
      </c>
      <c r="I525" s="691" t="s">
        <v>91</v>
      </c>
      <c r="J525" s="10" t="s">
        <v>58</v>
      </c>
      <c r="K525" s="24">
        <f>398.5+100</f>
        <v>498.5</v>
      </c>
      <c r="L525" s="24">
        <f>M525-K525</f>
        <v>0</v>
      </c>
      <c r="M525" s="24">
        <f>398.5+100</f>
        <v>498.5</v>
      </c>
    </row>
    <row r="526" spans="1:13" s="111" customFormat="1" ht="18" customHeight="1" x14ac:dyDescent="0.35">
      <c r="A526" s="11"/>
      <c r="B526" s="496" t="s">
        <v>462</v>
      </c>
      <c r="C526" s="23" t="s">
        <v>422</v>
      </c>
      <c r="D526" s="10" t="s">
        <v>224</v>
      </c>
      <c r="E526" s="10" t="s">
        <v>39</v>
      </c>
      <c r="F526" s="689" t="s">
        <v>39</v>
      </c>
      <c r="G526" s="690" t="s">
        <v>45</v>
      </c>
      <c r="H526" s="690" t="s">
        <v>39</v>
      </c>
      <c r="I526" s="691" t="s">
        <v>379</v>
      </c>
      <c r="J526" s="10"/>
      <c r="K526" s="24">
        <f>K528+K527</f>
        <v>23390.248299999996</v>
      </c>
      <c r="L526" s="24">
        <f>L528+L527</f>
        <v>0</v>
      </c>
      <c r="M526" s="24">
        <f>M528+M527</f>
        <v>23390.248299999996</v>
      </c>
    </row>
    <row r="527" spans="1:13" s="111" customFormat="1" ht="54" customHeight="1" x14ac:dyDescent="0.35">
      <c r="A527" s="11"/>
      <c r="B527" s="496" t="s">
        <v>55</v>
      </c>
      <c r="C527" s="23" t="s">
        <v>422</v>
      </c>
      <c r="D527" s="10" t="s">
        <v>224</v>
      </c>
      <c r="E527" s="10" t="s">
        <v>39</v>
      </c>
      <c r="F527" s="689" t="s">
        <v>39</v>
      </c>
      <c r="G527" s="690" t="s">
        <v>45</v>
      </c>
      <c r="H527" s="690" t="s">
        <v>39</v>
      </c>
      <c r="I527" s="691" t="s">
        <v>379</v>
      </c>
      <c r="J527" s="10" t="s">
        <v>56</v>
      </c>
      <c r="K527" s="24">
        <f>5086.49016+300+68.3-776.91686</f>
        <v>4677.8733000000002</v>
      </c>
      <c r="L527" s="24">
        <f>M527-K527</f>
        <v>0</v>
      </c>
      <c r="M527" s="24">
        <f>5086.49016+300+68.3-776.91686</f>
        <v>4677.8733000000002</v>
      </c>
    </row>
    <row r="528" spans="1:13" s="111" customFormat="1" ht="54" customHeight="1" x14ac:dyDescent="0.35">
      <c r="A528" s="11"/>
      <c r="B528" s="496" t="s">
        <v>76</v>
      </c>
      <c r="C528" s="23" t="s">
        <v>422</v>
      </c>
      <c r="D528" s="10" t="s">
        <v>224</v>
      </c>
      <c r="E528" s="10" t="s">
        <v>39</v>
      </c>
      <c r="F528" s="689" t="s">
        <v>39</v>
      </c>
      <c r="G528" s="690" t="s">
        <v>45</v>
      </c>
      <c r="H528" s="690" t="s">
        <v>39</v>
      </c>
      <c r="I528" s="691" t="s">
        <v>379</v>
      </c>
      <c r="J528" s="10" t="s">
        <v>77</v>
      </c>
      <c r="K528" s="24">
        <f>8758.9+950.4+2759.3+102.89+247.598+255.56+261.552+195.6+228.154+240.551+341.23+240.04+1183.5+353.5+119.2+298.2+959.5+438.3+400.3+153.6-297+230.3-176.8+513.4-45.4</f>
        <v>18712.374999999996</v>
      </c>
      <c r="L528" s="24">
        <f>M528-K528</f>
        <v>0</v>
      </c>
      <c r="M528" s="24">
        <f>8758.9+950.4+2759.3+102.89+247.598+255.56+261.552+195.6+228.154+240.551+341.23+240.04+1183.5+353.5+119.2+298.2+959.5+438.3+400.3+153.6-297+230.3-176.8+513.4-45.4</f>
        <v>18712.374999999996</v>
      </c>
    </row>
    <row r="529" spans="1:13" s="115" customFormat="1" ht="54" customHeight="1" x14ac:dyDescent="0.35">
      <c r="A529" s="11"/>
      <c r="B529" s="496" t="s">
        <v>207</v>
      </c>
      <c r="C529" s="23" t="s">
        <v>422</v>
      </c>
      <c r="D529" s="10" t="s">
        <v>224</v>
      </c>
      <c r="E529" s="10" t="s">
        <v>39</v>
      </c>
      <c r="F529" s="689" t="s">
        <v>39</v>
      </c>
      <c r="G529" s="690" t="s">
        <v>45</v>
      </c>
      <c r="H529" s="690" t="s">
        <v>39</v>
      </c>
      <c r="I529" s="691" t="s">
        <v>272</v>
      </c>
      <c r="J529" s="10"/>
      <c r="K529" s="24">
        <f>SUM(K530:K531)</f>
        <v>31093.599999999999</v>
      </c>
      <c r="L529" s="24">
        <f>SUM(L530:L531)</f>
        <v>0</v>
      </c>
      <c r="M529" s="24">
        <f>SUM(M530:M531)</f>
        <v>31093.599999999999</v>
      </c>
    </row>
    <row r="530" spans="1:13" s="115" customFormat="1" ht="54" customHeight="1" x14ac:dyDescent="0.35">
      <c r="A530" s="11"/>
      <c r="B530" s="496" t="s">
        <v>55</v>
      </c>
      <c r="C530" s="23" t="s">
        <v>422</v>
      </c>
      <c r="D530" s="10" t="s">
        <v>224</v>
      </c>
      <c r="E530" s="10" t="s">
        <v>39</v>
      </c>
      <c r="F530" s="689" t="s">
        <v>39</v>
      </c>
      <c r="G530" s="690" t="s">
        <v>45</v>
      </c>
      <c r="H530" s="690" t="s">
        <v>39</v>
      </c>
      <c r="I530" s="691" t="s">
        <v>272</v>
      </c>
      <c r="J530" s="10" t="s">
        <v>56</v>
      </c>
      <c r="K530" s="24">
        <f>4029.6+105.2+37.4+174.4+35.3</f>
        <v>4381.8999999999996</v>
      </c>
      <c r="L530" s="24">
        <f>M530-K530</f>
        <v>0</v>
      </c>
      <c r="M530" s="24">
        <f>4029.6+105.2+37.4+174.4+35.3</f>
        <v>4381.8999999999996</v>
      </c>
    </row>
    <row r="531" spans="1:13" s="115" customFormat="1" ht="54" customHeight="1" x14ac:dyDescent="0.35">
      <c r="A531" s="11"/>
      <c r="B531" s="496" t="s">
        <v>76</v>
      </c>
      <c r="C531" s="23" t="s">
        <v>422</v>
      </c>
      <c r="D531" s="10" t="s">
        <v>224</v>
      </c>
      <c r="E531" s="10" t="s">
        <v>39</v>
      </c>
      <c r="F531" s="689" t="s">
        <v>39</v>
      </c>
      <c r="G531" s="690" t="s">
        <v>45</v>
      </c>
      <c r="H531" s="690" t="s">
        <v>39</v>
      </c>
      <c r="I531" s="691" t="s">
        <v>272</v>
      </c>
      <c r="J531" s="10" t="s">
        <v>77</v>
      </c>
      <c r="K531" s="24">
        <f>24177.6+630.8+47+118.6+148.4+120+600+138.3+20.8+50+211.9+7+169.7+11.8+18+65+176.8</f>
        <v>26711.699999999997</v>
      </c>
      <c r="L531" s="24">
        <f>M531-K531</f>
        <v>0</v>
      </c>
      <c r="M531" s="24">
        <f>24177.6+630.8+47+118.6+148.4+120+600+138.3+20.8+50+211.9+7+169.7+11.8+18+65+176.8</f>
        <v>26711.699999999997</v>
      </c>
    </row>
    <row r="532" spans="1:13" s="115" customFormat="1" ht="36" customHeight="1" x14ac:dyDescent="0.35">
      <c r="A532" s="11"/>
      <c r="B532" s="496" t="s">
        <v>208</v>
      </c>
      <c r="C532" s="23" t="s">
        <v>422</v>
      </c>
      <c r="D532" s="10" t="s">
        <v>224</v>
      </c>
      <c r="E532" s="10" t="s">
        <v>39</v>
      </c>
      <c r="F532" s="689" t="s">
        <v>39</v>
      </c>
      <c r="G532" s="690" t="s">
        <v>45</v>
      </c>
      <c r="H532" s="690" t="s">
        <v>39</v>
      </c>
      <c r="I532" s="691" t="s">
        <v>273</v>
      </c>
      <c r="J532" s="10"/>
      <c r="K532" s="24">
        <f>SUM(K533:K536)</f>
        <v>69173.899999999994</v>
      </c>
      <c r="L532" s="24">
        <f>SUM(L533:L536)</f>
        <v>-942.79999999999927</v>
      </c>
      <c r="M532" s="24">
        <f>SUM(M533:M536)</f>
        <v>68231.100000000006</v>
      </c>
    </row>
    <row r="533" spans="1:13" s="115" customFormat="1" ht="108" customHeight="1" x14ac:dyDescent="0.35">
      <c r="A533" s="11"/>
      <c r="B533" s="496" t="s">
        <v>49</v>
      </c>
      <c r="C533" s="23" t="s">
        <v>422</v>
      </c>
      <c r="D533" s="10" t="s">
        <v>224</v>
      </c>
      <c r="E533" s="10" t="s">
        <v>39</v>
      </c>
      <c r="F533" s="689" t="s">
        <v>39</v>
      </c>
      <c r="G533" s="690" t="s">
        <v>45</v>
      </c>
      <c r="H533" s="690" t="s">
        <v>39</v>
      </c>
      <c r="I533" s="691" t="s">
        <v>273</v>
      </c>
      <c r="J533" s="10" t="s">
        <v>50</v>
      </c>
      <c r="K533" s="24">
        <v>93.8</v>
      </c>
      <c r="L533" s="24">
        <f>M533-K533</f>
        <v>0</v>
      </c>
      <c r="M533" s="24">
        <v>93.8</v>
      </c>
    </row>
    <row r="534" spans="1:13" s="115" customFormat="1" ht="54" customHeight="1" x14ac:dyDescent="0.35">
      <c r="A534" s="11"/>
      <c r="B534" s="496" t="s">
        <v>55</v>
      </c>
      <c r="C534" s="23" t="s">
        <v>422</v>
      </c>
      <c r="D534" s="10" t="s">
        <v>224</v>
      </c>
      <c r="E534" s="10" t="s">
        <v>39</v>
      </c>
      <c r="F534" s="689" t="s">
        <v>39</v>
      </c>
      <c r="G534" s="690" t="s">
        <v>45</v>
      </c>
      <c r="H534" s="690" t="s">
        <v>39</v>
      </c>
      <c r="I534" s="691" t="s">
        <v>273</v>
      </c>
      <c r="J534" s="10" t="s">
        <v>56</v>
      </c>
      <c r="K534" s="24">
        <f>546.2+142.9+20.2+25644.3633+854.54684+139.8+276.3+40.2+9601.08986</f>
        <v>37265.599999999999</v>
      </c>
      <c r="L534" s="24">
        <f>M534-K534</f>
        <v>0</v>
      </c>
      <c r="M534" s="24">
        <f>546.2+142.9+20.2+25644.3633+854.54684+139.8+276.3+40.2+9601.08986</f>
        <v>37265.599999999999</v>
      </c>
    </row>
    <row r="535" spans="1:13" s="115" customFormat="1" ht="54" customHeight="1" x14ac:dyDescent="0.35">
      <c r="A535" s="11"/>
      <c r="B535" s="540" t="s">
        <v>203</v>
      </c>
      <c r="C535" s="23" t="s">
        <v>422</v>
      </c>
      <c r="D535" s="10" t="s">
        <v>224</v>
      </c>
      <c r="E535" s="10" t="s">
        <v>39</v>
      </c>
      <c r="F535" s="689" t="s">
        <v>39</v>
      </c>
      <c r="G535" s="690" t="s">
        <v>45</v>
      </c>
      <c r="H535" s="690" t="s">
        <v>39</v>
      </c>
      <c r="I535" s="691" t="s">
        <v>273</v>
      </c>
      <c r="J535" s="10" t="s">
        <v>204</v>
      </c>
      <c r="K535" s="24">
        <f>53.4+1120-304.1-426.5-26.8</f>
        <v>416.00000000000006</v>
      </c>
      <c r="L535" s="24">
        <f>M535-K535</f>
        <v>0</v>
      </c>
      <c r="M535" s="24">
        <f>53.4+1120-304.1-426.5-26.8</f>
        <v>416.00000000000006</v>
      </c>
    </row>
    <row r="536" spans="1:13" s="115" customFormat="1" ht="54" customHeight="1" x14ac:dyDescent="0.35">
      <c r="A536" s="11"/>
      <c r="B536" s="496" t="s">
        <v>76</v>
      </c>
      <c r="C536" s="23" t="s">
        <v>422</v>
      </c>
      <c r="D536" s="10" t="s">
        <v>224</v>
      </c>
      <c r="E536" s="10" t="s">
        <v>39</v>
      </c>
      <c r="F536" s="689" t="s">
        <v>39</v>
      </c>
      <c r="G536" s="690" t="s">
        <v>45</v>
      </c>
      <c r="H536" s="690" t="s">
        <v>39</v>
      </c>
      <c r="I536" s="691" t="s">
        <v>273</v>
      </c>
      <c r="J536" s="10" t="s">
        <v>77</v>
      </c>
      <c r="K536" s="24">
        <f>16084.9+4550.5+918.9-20.2+1870.8+830+1729.9+34.8+371.4-959.5-12.2+108.6+1511.8+2990.3-40.2+297+249.8+108.2+81.3+45.4+68.2+426.5+26.8-23.5+149</f>
        <v>31398.5</v>
      </c>
      <c r="L536" s="24">
        <f>M536-K536</f>
        <v>-942.79999999999927</v>
      </c>
      <c r="M536" s="24">
        <f>16084.9+4550.5+918.9-20.2+1870.8+830+1729.9+34.8+371.4-959.5-12.2+108.6+1511.8+2990.3-40.2+297+249.8+108.2+81.3+45.4+68.2+426.5+26.8-23.5+149-942.8</f>
        <v>30455.7</v>
      </c>
    </row>
    <row r="537" spans="1:13" s="115" customFormat="1" ht="54" customHeight="1" x14ac:dyDescent="0.35">
      <c r="A537" s="11"/>
      <c r="B537" s="496" t="s">
        <v>517</v>
      </c>
      <c r="C537" s="23" t="s">
        <v>422</v>
      </c>
      <c r="D537" s="10" t="s">
        <v>224</v>
      </c>
      <c r="E537" s="10" t="s">
        <v>39</v>
      </c>
      <c r="F537" s="689" t="s">
        <v>39</v>
      </c>
      <c r="G537" s="690" t="s">
        <v>45</v>
      </c>
      <c r="H537" s="690" t="s">
        <v>39</v>
      </c>
      <c r="I537" s="691" t="s">
        <v>518</v>
      </c>
      <c r="J537" s="10"/>
      <c r="K537" s="24">
        <f>K538</f>
        <v>30</v>
      </c>
      <c r="L537" s="24">
        <f>L538</f>
        <v>0</v>
      </c>
      <c r="M537" s="24">
        <f>M538</f>
        <v>30</v>
      </c>
    </row>
    <row r="538" spans="1:13" s="115" customFormat="1" ht="54" customHeight="1" x14ac:dyDescent="0.35">
      <c r="A538" s="11"/>
      <c r="B538" s="496" t="s">
        <v>76</v>
      </c>
      <c r="C538" s="23" t="s">
        <v>422</v>
      </c>
      <c r="D538" s="10" t="s">
        <v>224</v>
      </c>
      <c r="E538" s="10" t="s">
        <v>39</v>
      </c>
      <c r="F538" s="689" t="s">
        <v>39</v>
      </c>
      <c r="G538" s="690" t="s">
        <v>45</v>
      </c>
      <c r="H538" s="690" t="s">
        <v>39</v>
      </c>
      <c r="I538" s="691" t="s">
        <v>518</v>
      </c>
      <c r="J538" s="10" t="s">
        <v>77</v>
      </c>
      <c r="K538" s="24">
        <v>30</v>
      </c>
      <c r="L538" s="24">
        <f>M538-K538</f>
        <v>0</v>
      </c>
      <c r="M538" s="24">
        <v>30</v>
      </c>
    </row>
    <row r="539" spans="1:13" s="115" customFormat="1" ht="288" customHeight="1" x14ac:dyDescent="0.35">
      <c r="A539" s="11"/>
      <c r="B539" s="496" t="s">
        <v>592</v>
      </c>
      <c r="C539" s="23" t="s">
        <v>422</v>
      </c>
      <c r="D539" s="10" t="s">
        <v>224</v>
      </c>
      <c r="E539" s="10" t="s">
        <v>39</v>
      </c>
      <c r="F539" s="689" t="s">
        <v>39</v>
      </c>
      <c r="G539" s="690" t="s">
        <v>45</v>
      </c>
      <c r="H539" s="690" t="s">
        <v>39</v>
      </c>
      <c r="I539" s="691" t="s">
        <v>519</v>
      </c>
      <c r="J539" s="10"/>
      <c r="K539" s="24">
        <f>K540+K541</f>
        <v>36976.799999999996</v>
      </c>
      <c r="L539" s="24">
        <f>L540+L541</f>
        <v>0</v>
      </c>
      <c r="M539" s="24">
        <f>M540+M541</f>
        <v>36976.799999999996</v>
      </c>
    </row>
    <row r="540" spans="1:13" s="115" customFormat="1" ht="108" customHeight="1" x14ac:dyDescent="0.35">
      <c r="A540" s="11"/>
      <c r="B540" s="496" t="s">
        <v>49</v>
      </c>
      <c r="C540" s="23" t="s">
        <v>422</v>
      </c>
      <c r="D540" s="10" t="s">
        <v>224</v>
      </c>
      <c r="E540" s="10" t="s">
        <v>39</v>
      </c>
      <c r="F540" s="689" t="s">
        <v>39</v>
      </c>
      <c r="G540" s="690" t="s">
        <v>45</v>
      </c>
      <c r="H540" s="690" t="s">
        <v>39</v>
      </c>
      <c r="I540" s="691" t="s">
        <v>519</v>
      </c>
      <c r="J540" s="10" t="s">
        <v>50</v>
      </c>
      <c r="K540" s="24">
        <v>2968.5</v>
      </c>
      <c r="L540" s="24">
        <f>M540-K540</f>
        <v>0</v>
      </c>
      <c r="M540" s="24">
        <v>2968.5</v>
      </c>
    </row>
    <row r="541" spans="1:13" s="115" customFormat="1" ht="54" customHeight="1" x14ac:dyDescent="0.35">
      <c r="A541" s="11"/>
      <c r="B541" s="496" t="s">
        <v>76</v>
      </c>
      <c r="C541" s="23" t="s">
        <v>422</v>
      </c>
      <c r="D541" s="10" t="s">
        <v>224</v>
      </c>
      <c r="E541" s="10" t="s">
        <v>39</v>
      </c>
      <c r="F541" s="689" t="s">
        <v>39</v>
      </c>
      <c r="G541" s="690" t="s">
        <v>45</v>
      </c>
      <c r="H541" s="690" t="s">
        <v>39</v>
      </c>
      <c r="I541" s="691" t="s">
        <v>519</v>
      </c>
      <c r="J541" s="10" t="s">
        <v>77</v>
      </c>
      <c r="K541" s="24">
        <f>32550.1+1458.2</f>
        <v>34008.299999999996</v>
      </c>
      <c r="L541" s="24">
        <f>M541-K541</f>
        <v>0</v>
      </c>
      <c r="M541" s="24">
        <f>32550.1+1458.2</f>
        <v>34008.299999999996</v>
      </c>
    </row>
    <row r="542" spans="1:13" s="115" customFormat="1" ht="180" customHeight="1" x14ac:dyDescent="0.35">
      <c r="A542" s="11"/>
      <c r="B542" s="496" t="s">
        <v>267</v>
      </c>
      <c r="C542" s="23" t="s">
        <v>422</v>
      </c>
      <c r="D542" s="10" t="s">
        <v>224</v>
      </c>
      <c r="E542" s="10" t="s">
        <v>39</v>
      </c>
      <c r="F542" s="689" t="s">
        <v>39</v>
      </c>
      <c r="G542" s="690" t="s">
        <v>45</v>
      </c>
      <c r="H542" s="690" t="s">
        <v>39</v>
      </c>
      <c r="I542" s="691" t="s">
        <v>268</v>
      </c>
      <c r="J542" s="10"/>
      <c r="K542" s="24">
        <f>SUM(K543:K545)</f>
        <v>1767.1999999999998</v>
      </c>
      <c r="L542" s="24">
        <f>SUM(L543:L545)</f>
        <v>0</v>
      </c>
      <c r="M542" s="24">
        <f>SUM(M543:M545)</f>
        <v>1767.1999999999998</v>
      </c>
    </row>
    <row r="543" spans="1:13" s="115" customFormat="1" ht="108" customHeight="1" x14ac:dyDescent="0.35">
      <c r="A543" s="11"/>
      <c r="B543" s="496" t="s">
        <v>49</v>
      </c>
      <c r="C543" s="23" t="s">
        <v>422</v>
      </c>
      <c r="D543" s="10" t="s">
        <v>224</v>
      </c>
      <c r="E543" s="10" t="s">
        <v>39</v>
      </c>
      <c r="F543" s="689" t="s">
        <v>39</v>
      </c>
      <c r="G543" s="690" t="s">
        <v>45</v>
      </c>
      <c r="H543" s="690" t="s">
        <v>39</v>
      </c>
      <c r="I543" s="691" t="s">
        <v>268</v>
      </c>
      <c r="J543" s="10" t="s">
        <v>50</v>
      </c>
      <c r="K543" s="24">
        <f>77.5-20.6</f>
        <v>56.9</v>
      </c>
      <c r="L543" s="24">
        <f>M543-K543</f>
        <v>0</v>
      </c>
      <c r="M543" s="24">
        <f>77.5-20.6</f>
        <v>56.9</v>
      </c>
    </row>
    <row r="544" spans="1:13" s="115" customFormat="1" ht="36" customHeight="1" x14ac:dyDescent="0.35">
      <c r="A544" s="11"/>
      <c r="B544" s="496" t="s">
        <v>120</v>
      </c>
      <c r="C544" s="23" t="s">
        <v>422</v>
      </c>
      <c r="D544" s="10" t="s">
        <v>224</v>
      </c>
      <c r="E544" s="10" t="s">
        <v>39</v>
      </c>
      <c r="F544" s="689" t="s">
        <v>39</v>
      </c>
      <c r="G544" s="690" t="s">
        <v>45</v>
      </c>
      <c r="H544" s="690" t="s">
        <v>39</v>
      </c>
      <c r="I544" s="691" t="s">
        <v>268</v>
      </c>
      <c r="J544" s="10" t="s">
        <v>121</v>
      </c>
      <c r="K544" s="24">
        <f>5.5-1.2</f>
        <v>4.3</v>
      </c>
      <c r="L544" s="24">
        <f>M544-K544</f>
        <v>0</v>
      </c>
      <c r="M544" s="24">
        <f>5.5-1.2</f>
        <v>4.3</v>
      </c>
    </row>
    <row r="545" spans="1:13" s="115" customFormat="1" ht="54" customHeight="1" x14ac:dyDescent="0.35">
      <c r="A545" s="11"/>
      <c r="B545" s="496" t="s">
        <v>76</v>
      </c>
      <c r="C545" s="23" t="s">
        <v>422</v>
      </c>
      <c r="D545" s="10" t="s">
        <v>224</v>
      </c>
      <c r="E545" s="10" t="s">
        <v>39</v>
      </c>
      <c r="F545" s="689" t="s">
        <v>39</v>
      </c>
      <c r="G545" s="690" t="s">
        <v>45</v>
      </c>
      <c r="H545" s="690" t="s">
        <v>39</v>
      </c>
      <c r="I545" s="691" t="s">
        <v>268</v>
      </c>
      <c r="J545" s="10" t="s">
        <v>77</v>
      </c>
      <c r="K545" s="24">
        <f>1455.1+229.1+21.8</f>
        <v>1705.9999999999998</v>
      </c>
      <c r="L545" s="24">
        <f>M545-K545</f>
        <v>0</v>
      </c>
      <c r="M545" s="24">
        <f>1455.1+229.1+21.8</f>
        <v>1705.9999999999998</v>
      </c>
    </row>
    <row r="546" spans="1:13" s="115" customFormat="1" ht="108" customHeight="1" x14ac:dyDescent="0.35">
      <c r="A546" s="11"/>
      <c r="B546" s="496" t="s">
        <v>343</v>
      </c>
      <c r="C546" s="23" t="s">
        <v>422</v>
      </c>
      <c r="D546" s="10" t="s">
        <v>224</v>
      </c>
      <c r="E546" s="10" t="s">
        <v>39</v>
      </c>
      <c r="F546" s="689" t="s">
        <v>39</v>
      </c>
      <c r="G546" s="690" t="s">
        <v>45</v>
      </c>
      <c r="H546" s="690" t="s">
        <v>39</v>
      </c>
      <c r="I546" s="691" t="s">
        <v>269</v>
      </c>
      <c r="J546" s="10"/>
      <c r="K546" s="24">
        <f>K547+K548+K549</f>
        <v>488710.7</v>
      </c>
      <c r="L546" s="24">
        <f>L547+L548+L549</f>
        <v>8239.4000000000342</v>
      </c>
      <c r="M546" s="24">
        <f>M547+M548+M549</f>
        <v>496950.10000000009</v>
      </c>
    </row>
    <row r="547" spans="1:13" s="115" customFormat="1" ht="108" customHeight="1" x14ac:dyDescent="0.35">
      <c r="A547" s="11"/>
      <c r="B547" s="496" t="s">
        <v>49</v>
      </c>
      <c r="C547" s="23" t="s">
        <v>422</v>
      </c>
      <c r="D547" s="10" t="s">
        <v>224</v>
      </c>
      <c r="E547" s="10" t="s">
        <v>39</v>
      </c>
      <c r="F547" s="689" t="s">
        <v>39</v>
      </c>
      <c r="G547" s="690" t="s">
        <v>45</v>
      </c>
      <c r="H547" s="690" t="s">
        <v>39</v>
      </c>
      <c r="I547" s="691" t="s">
        <v>269</v>
      </c>
      <c r="J547" s="10" t="s">
        <v>50</v>
      </c>
      <c r="K547" s="24">
        <f>30150+109.8-188+488+22.5</f>
        <v>30582.3</v>
      </c>
      <c r="L547" s="24">
        <f>M547-K547</f>
        <v>-154.70000000000073</v>
      </c>
      <c r="M547" s="24">
        <f>30150+109.8-188+488+22.5-650+495.3</f>
        <v>30427.599999999999</v>
      </c>
    </row>
    <row r="548" spans="1:13" s="115" customFormat="1" ht="54" customHeight="1" x14ac:dyDescent="0.35">
      <c r="A548" s="11"/>
      <c r="B548" s="496" t="s">
        <v>55</v>
      </c>
      <c r="C548" s="23" t="s">
        <v>422</v>
      </c>
      <c r="D548" s="10" t="s">
        <v>224</v>
      </c>
      <c r="E548" s="10" t="s">
        <v>39</v>
      </c>
      <c r="F548" s="689" t="s">
        <v>39</v>
      </c>
      <c r="G548" s="690" t="s">
        <v>45</v>
      </c>
      <c r="H548" s="690" t="s">
        <v>39</v>
      </c>
      <c r="I548" s="691" t="s">
        <v>269</v>
      </c>
      <c r="J548" s="10" t="s">
        <v>56</v>
      </c>
      <c r="K548" s="24">
        <f>1983+188+214.8</f>
        <v>2385.8000000000002</v>
      </c>
      <c r="L548" s="24">
        <f>M548-K548</f>
        <v>0</v>
      </c>
      <c r="M548" s="24">
        <f>1983+188+214.8</f>
        <v>2385.8000000000002</v>
      </c>
    </row>
    <row r="549" spans="1:13" s="115" customFormat="1" ht="54" customHeight="1" x14ac:dyDescent="0.35">
      <c r="A549" s="11"/>
      <c r="B549" s="496" t="s">
        <v>76</v>
      </c>
      <c r="C549" s="23" t="s">
        <v>422</v>
      </c>
      <c r="D549" s="10" t="s">
        <v>224</v>
      </c>
      <c r="E549" s="10" t="s">
        <v>39</v>
      </c>
      <c r="F549" s="689" t="s">
        <v>39</v>
      </c>
      <c r="G549" s="690" t="s">
        <v>45</v>
      </c>
      <c r="H549" s="690" t="s">
        <v>39</v>
      </c>
      <c r="I549" s="691" t="s">
        <v>269</v>
      </c>
      <c r="J549" s="10" t="s">
        <v>77</v>
      </c>
      <c r="K549" s="24">
        <f>425476.2+927.8-36.7+29454.7-30-30.1-7.5-11.8</f>
        <v>455742.60000000003</v>
      </c>
      <c r="L549" s="24">
        <f>M549-K549</f>
        <v>8394.1000000000349</v>
      </c>
      <c r="M549" s="24">
        <f>425476.2+927.8-36.7+29454.7-30-30.1-7.5-11.8+650+905.9+6838.2</f>
        <v>464136.70000000007</v>
      </c>
    </row>
    <row r="550" spans="1:13" s="111" customFormat="1" ht="90" customHeight="1" x14ac:dyDescent="0.35">
      <c r="A550" s="11"/>
      <c r="B550" s="496" t="s">
        <v>209</v>
      </c>
      <c r="C550" s="23" t="s">
        <v>422</v>
      </c>
      <c r="D550" s="10" t="s">
        <v>224</v>
      </c>
      <c r="E550" s="10" t="s">
        <v>39</v>
      </c>
      <c r="F550" s="689" t="s">
        <v>39</v>
      </c>
      <c r="G550" s="690" t="s">
        <v>45</v>
      </c>
      <c r="H550" s="690" t="s">
        <v>39</v>
      </c>
      <c r="I550" s="691" t="s">
        <v>274</v>
      </c>
      <c r="J550" s="10"/>
      <c r="K550" s="24">
        <f>SUM(K551:K552)</f>
        <v>2182.0999999999995</v>
      </c>
      <c r="L550" s="24">
        <f>SUM(L551:L552)</f>
        <v>0</v>
      </c>
      <c r="M550" s="24">
        <f>SUM(M551:M552)</f>
        <v>2182.0999999999995</v>
      </c>
    </row>
    <row r="551" spans="1:13" s="111" customFormat="1" ht="54" customHeight="1" x14ac:dyDescent="0.35">
      <c r="A551" s="11"/>
      <c r="B551" s="496" t="s">
        <v>55</v>
      </c>
      <c r="C551" s="23" t="s">
        <v>422</v>
      </c>
      <c r="D551" s="10" t="s">
        <v>224</v>
      </c>
      <c r="E551" s="10" t="s">
        <v>39</v>
      </c>
      <c r="F551" s="689" t="s">
        <v>39</v>
      </c>
      <c r="G551" s="690" t="s">
        <v>45</v>
      </c>
      <c r="H551" s="690" t="s">
        <v>39</v>
      </c>
      <c r="I551" s="691" t="s">
        <v>274</v>
      </c>
      <c r="J551" s="10" t="s">
        <v>56</v>
      </c>
      <c r="K551" s="24">
        <f>123.3-35.6</f>
        <v>87.699999999999989</v>
      </c>
      <c r="L551" s="24">
        <f>M551-K551</f>
        <v>0</v>
      </c>
      <c r="M551" s="24">
        <f>123.3-35.6</f>
        <v>87.699999999999989</v>
      </c>
    </row>
    <row r="552" spans="1:13" s="111" customFormat="1" ht="54" customHeight="1" x14ac:dyDescent="0.35">
      <c r="A552" s="11"/>
      <c r="B552" s="496" t="s">
        <v>76</v>
      </c>
      <c r="C552" s="23" t="s">
        <v>422</v>
      </c>
      <c r="D552" s="10" t="s">
        <v>224</v>
      </c>
      <c r="E552" s="10" t="s">
        <v>39</v>
      </c>
      <c r="F552" s="689" t="s">
        <v>39</v>
      </c>
      <c r="G552" s="690" t="s">
        <v>45</v>
      </c>
      <c r="H552" s="690" t="s">
        <v>39</v>
      </c>
      <c r="I552" s="691" t="s">
        <v>274</v>
      </c>
      <c r="J552" s="10" t="s">
        <v>77</v>
      </c>
      <c r="K552" s="24">
        <f>2361.2-266.8</f>
        <v>2094.3999999999996</v>
      </c>
      <c r="L552" s="24">
        <f>M552-K552</f>
        <v>0</v>
      </c>
      <c r="M552" s="24">
        <f>2361.2-266.8</f>
        <v>2094.3999999999996</v>
      </c>
    </row>
    <row r="553" spans="1:13" s="111" customFormat="1" ht="54" customHeight="1" x14ac:dyDescent="0.35">
      <c r="A553" s="11"/>
      <c r="B553" s="496" t="s">
        <v>681</v>
      </c>
      <c r="C553" s="23" t="s">
        <v>422</v>
      </c>
      <c r="D553" s="10" t="s">
        <v>224</v>
      </c>
      <c r="E553" s="10" t="s">
        <v>39</v>
      </c>
      <c r="F553" s="689" t="s">
        <v>39</v>
      </c>
      <c r="G553" s="690" t="s">
        <v>45</v>
      </c>
      <c r="H553" s="690" t="s">
        <v>39</v>
      </c>
      <c r="I553" s="691" t="s">
        <v>680</v>
      </c>
      <c r="J553" s="10"/>
      <c r="K553" s="24">
        <f>K554</f>
        <v>22664.799999999999</v>
      </c>
      <c r="L553" s="24">
        <f>L554</f>
        <v>0</v>
      </c>
      <c r="M553" s="24">
        <f>M554</f>
        <v>22664.799999999999</v>
      </c>
    </row>
    <row r="554" spans="1:13" s="111" customFormat="1" ht="54" customHeight="1" x14ac:dyDescent="0.35">
      <c r="A554" s="11"/>
      <c r="B554" s="496" t="s">
        <v>76</v>
      </c>
      <c r="C554" s="23" t="s">
        <v>422</v>
      </c>
      <c r="D554" s="10" t="s">
        <v>224</v>
      </c>
      <c r="E554" s="10" t="s">
        <v>39</v>
      </c>
      <c r="F554" s="689" t="s">
        <v>39</v>
      </c>
      <c r="G554" s="690" t="s">
        <v>45</v>
      </c>
      <c r="H554" s="690" t="s">
        <v>39</v>
      </c>
      <c r="I554" s="691" t="s">
        <v>680</v>
      </c>
      <c r="J554" s="10" t="s">
        <v>77</v>
      </c>
      <c r="K554" s="24">
        <f>2500+20164.8</f>
        <v>22664.799999999999</v>
      </c>
      <c r="L554" s="24">
        <f>M554-K554</f>
        <v>0</v>
      </c>
      <c r="M554" s="24">
        <f>2500+20164.8</f>
        <v>22664.799999999999</v>
      </c>
    </row>
    <row r="555" spans="1:13" s="111" customFormat="1" ht="162" customHeight="1" x14ac:dyDescent="0.35">
      <c r="A555" s="11"/>
      <c r="B555" s="496" t="s">
        <v>547</v>
      </c>
      <c r="C555" s="23" t="s">
        <v>422</v>
      </c>
      <c r="D555" s="10" t="s">
        <v>224</v>
      </c>
      <c r="E555" s="10" t="s">
        <v>39</v>
      </c>
      <c r="F555" s="689" t="s">
        <v>39</v>
      </c>
      <c r="G555" s="690" t="s">
        <v>45</v>
      </c>
      <c r="H555" s="690" t="s">
        <v>39</v>
      </c>
      <c r="I555" s="691" t="s">
        <v>546</v>
      </c>
      <c r="J555" s="10"/>
      <c r="K555" s="24">
        <f>SUM(K556:K557)</f>
        <v>1272.1999999999998</v>
      </c>
      <c r="L555" s="24">
        <f>SUM(L556:L557)</f>
        <v>0</v>
      </c>
      <c r="M555" s="24">
        <f>SUM(M556:M557)</f>
        <v>1272.1999999999998</v>
      </c>
    </row>
    <row r="556" spans="1:13" s="111" customFormat="1" ht="54" customHeight="1" x14ac:dyDescent="0.35">
      <c r="A556" s="11"/>
      <c r="B556" s="496" t="s">
        <v>55</v>
      </c>
      <c r="C556" s="23" t="s">
        <v>422</v>
      </c>
      <c r="D556" s="10" t="s">
        <v>224</v>
      </c>
      <c r="E556" s="10" t="s">
        <v>39</v>
      </c>
      <c r="F556" s="689" t="s">
        <v>39</v>
      </c>
      <c r="G556" s="690" t="s">
        <v>45</v>
      </c>
      <c r="H556" s="690" t="s">
        <v>39</v>
      </c>
      <c r="I556" s="691" t="s">
        <v>546</v>
      </c>
      <c r="J556" s="10" t="s">
        <v>56</v>
      </c>
      <c r="K556" s="24">
        <f>91.9-67</f>
        <v>24.900000000000006</v>
      </c>
      <c r="L556" s="24">
        <f>M556-K556</f>
        <v>0</v>
      </c>
      <c r="M556" s="24">
        <f>91.9-67</f>
        <v>24.900000000000006</v>
      </c>
    </row>
    <row r="557" spans="1:13" s="111" customFormat="1" ht="54" customHeight="1" x14ac:dyDescent="0.35">
      <c r="A557" s="11"/>
      <c r="B557" s="496" t="s">
        <v>76</v>
      </c>
      <c r="C557" s="23" t="s">
        <v>422</v>
      </c>
      <c r="D557" s="10" t="s">
        <v>224</v>
      </c>
      <c r="E557" s="10" t="s">
        <v>39</v>
      </c>
      <c r="F557" s="689" t="s">
        <v>39</v>
      </c>
      <c r="G557" s="690" t="s">
        <v>45</v>
      </c>
      <c r="H557" s="690" t="s">
        <v>39</v>
      </c>
      <c r="I557" s="691" t="s">
        <v>546</v>
      </c>
      <c r="J557" s="10" t="s">
        <v>77</v>
      </c>
      <c r="K557" s="24">
        <f>2152.7-905.4</f>
        <v>1247.2999999999997</v>
      </c>
      <c r="L557" s="24">
        <f>M557-K557</f>
        <v>0</v>
      </c>
      <c r="M557" s="24">
        <f>2152.7-905.4</f>
        <v>1247.2999999999997</v>
      </c>
    </row>
    <row r="558" spans="1:13" s="111" customFormat="1" ht="72" customHeight="1" x14ac:dyDescent="0.35">
      <c r="A558" s="11"/>
      <c r="B558" s="496" t="s">
        <v>453</v>
      </c>
      <c r="C558" s="23" t="s">
        <v>422</v>
      </c>
      <c r="D558" s="10" t="s">
        <v>224</v>
      </c>
      <c r="E558" s="10" t="s">
        <v>39</v>
      </c>
      <c r="F558" s="689" t="s">
        <v>39</v>
      </c>
      <c r="G558" s="690" t="s">
        <v>45</v>
      </c>
      <c r="H558" s="690" t="s">
        <v>39</v>
      </c>
      <c r="I558" s="691" t="s">
        <v>452</v>
      </c>
      <c r="J558" s="10"/>
      <c r="K558" s="24">
        <f>K559+K560</f>
        <v>50188.899999999994</v>
      </c>
      <c r="L558" s="24">
        <f>L559+L560</f>
        <v>0</v>
      </c>
      <c r="M558" s="24">
        <f>M559+M560</f>
        <v>50188.899999999994</v>
      </c>
    </row>
    <row r="559" spans="1:13" s="111" customFormat="1" ht="54" customHeight="1" x14ac:dyDescent="0.35">
      <c r="A559" s="11"/>
      <c r="B559" s="496" t="s">
        <v>55</v>
      </c>
      <c r="C559" s="23" t="s">
        <v>422</v>
      </c>
      <c r="D559" s="10" t="s">
        <v>224</v>
      </c>
      <c r="E559" s="10" t="s">
        <v>39</v>
      </c>
      <c r="F559" s="689" t="s">
        <v>39</v>
      </c>
      <c r="G559" s="690" t="s">
        <v>45</v>
      </c>
      <c r="H559" s="690" t="s">
        <v>39</v>
      </c>
      <c r="I559" s="691" t="s">
        <v>452</v>
      </c>
      <c r="J559" s="10" t="s">
        <v>56</v>
      </c>
      <c r="K559" s="24">
        <f>1516.6+427.8+55.9+4.2</f>
        <v>2004.5</v>
      </c>
      <c r="L559" s="24">
        <f>M559-K559</f>
        <v>0</v>
      </c>
      <c r="M559" s="24">
        <f>1516.6+427.8+55.9+4.2</f>
        <v>2004.5</v>
      </c>
    </row>
    <row r="560" spans="1:13" s="111" customFormat="1" ht="54" customHeight="1" x14ac:dyDescent="0.35">
      <c r="A560" s="11"/>
      <c r="B560" s="496" t="s">
        <v>76</v>
      </c>
      <c r="C560" s="23" t="s">
        <v>422</v>
      </c>
      <c r="D560" s="10" t="s">
        <v>224</v>
      </c>
      <c r="E560" s="10" t="s">
        <v>39</v>
      </c>
      <c r="F560" s="689" t="s">
        <v>39</v>
      </c>
      <c r="G560" s="690" t="s">
        <v>45</v>
      </c>
      <c r="H560" s="690" t="s">
        <v>39</v>
      </c>
      <c r="I560" s="691" t="s">
        <v>452</v>
      </c>
      <c r="J560" s="10" t="s">
        <v>77</v>
      </c>
      <c r="K560" s="24">
        <f>48791.9+13761.8+1797.7+137-12350.3-3483.4-76.7-244.6-149</f>
        <v>48184.399999999994</v>
      </c>
      <c r="L560" s="24">
        <f>M560-K560</f>
        <v>0</v>
      </c>
      <c r="M560" s="24">
        <f>48791.9+13761.8+1797.7+137-12350.3-3483.4-76.7-244.6-149</f>
        <v>48184.399999999994</v>
      </c>
    </row>
    <row r="561" spans="1:13" s="111" customFormat="1" ht="36" customHeight="1" x14ac:dyDescent="0.35">
      <c r="A561" s="11"/>
      <c r="B561" s="496" t="s">
        <v>641</v>
      </c>
      <c r="C561" s="23" t="s">
        <v>422</v>
      </c>
      <c r="D561" s="10" t="s">
        <v>224</v>
      </c>
      <c r="E561" s="10" t="s">
        <v>39</v>
      </c>
      <c r="F561" s="689" t="s">
        <v>39</v>
      </c>
      <c r="G561" s="690" t="s">
        <v>45</v>
      </c>
      <c r="H561" s="690" t="s">
        <v>39</v>
      </c>
      <c r="I561" s="691" t="s">
        <v>649</v>
      </c>
      <c r="J561" s="10"/>
      <c r="K561" s="24">
        <f>K562</f>
        <v>40386.799999999996</v>
      </c>
      <c r="L561" s="24">
        <f>L562</f>
        <v>0</v>
      </c>
      <c r="M561" s="24">
        <f>M562</f>
        <v>40386.799999999996</v>
      </c>
    </row>
    <row r="562" spans="1:13" s="111" customFormat="1" ht="54" customHeight="1" x14ac:dyDescent="0.35">
      <c r="A562" s="11"/>
      <c r="B562" s="496" t="s">
        <v>76</v>
      </c>
      <c r="C562" s="23" t="s">
        <v>422</v>
      </c>
      <c r="D562" s="10" t="s">
        <v>224</v>
      </c>
      <c r="E562" s="10" t="s">
        <v>39</v>
      </c>
      <c r="F562" s="689" t="s">
        <v>39</v>
      </c>
      <c r="G562" s="690" t="s">
        <v>45</v>
      </c>
      <c r="H562" s="690" t="s">
        <v>39</v>
      </c>
      <c r="I562" s="691" t="s">
        <v>649</v>
      </c>
      <c r="J562" s="10" t="s">
        <v>77</v>
      </c>
      <c r="K562" s="24">
        <f>39175.1+1211.7</f>
        <v>40386.799999999996</v>
      </c>
      <c r="L562" s="24">
        <f>M562-K562</f>
        <v>0</v>
      </c>
      <c r="M562" s="24">
        <f>39175.1+1211.7</f>
        <v>40386.799999999996</v>
      </c>
    </row>
    <row r="563" spans="1:13" s="111" customFormat="1" ht="90" customHeight="1" x14ac:dyDescent="0.35">
      <c r="A563" s="11"/>
      <c r="B563" s="496" t="s">
        <v>544</v>
      </c>
      <c r="C563" s="23" t="s">
        <v>422</v>
      </c>
      <c r="D563" s="10" t="s">
        <v>224</v>
      </c>
      <c r="E563" s="10" t="s">
        <v>39</v>
      </c>
      <c r="F563" s="689" t="s">
        <v>39</v>
      </c>
      <c r="G563" s="690" t="s">
        <v>45</v>
      </c>
      <c r="H563" s="690" t="s">
        <v>39</v>
      </c>
      <c r="I563" s="691" t="s">
        <v>543</v>
      </c>
      <c r="J563" s="10"/>
      <c r="K563" s="24">
        <f>SUM(K564:K566)</f>
        <v>15819.5</v>
      </c>
      <c r="L563" s="24">
        <f>SUM(L564:L566)</f>
        <v>3142.7999999999993</v>
      </c>
      <c r="M563" s="24">
        <f>SUM(M564:M566)</f>
        <v>18962.3</v>
      </c>
    </row>
    <row r="564" spans="1:13" s="111" customFormat="1" ht="54" customHeight="1" x14ac:dyDescent="0.35">
      <c r="A564" s="11"/>
      <c r="B564" s="496" t="s">
        <v>55</v>
      </c>
      <c r="C564" s="23" t="s">
        <v>422</v>
      </c>
      <c r="D564" s="10" t="s">
        <v>224</v>
      </c>
      <c r="E564" s="10" t="s">
        <v>39</v>
      </c>
      <c r="F564" s="689" t="s">
        <v>39</v>
      </c>
      <c r="G564" s="690" t="s">
        <v>45</v>
      </c>
      <c r="H564" s="690" t="s">
        <v>39</v>
      </c>
      <c r="I564" s="691" t="s">
        <v>543</v>
      </c>
      <c r="J564" s="10" t="s">
        <v>56</v>
      </c>
      <c r="K564" s="24">
        <f>115.4+58.8+25.2</f>
        <v>199.39999999999998</v>
      </c>
      <c r="L564" s="24">
        <f>M564-K564</f>
        <v>0</v>
      </c>
      <c r="M564" s="24">
        <f>115.4+58.8+25.2</f>
        <v>199.39999999999998</v>
      </c>
    </row>
    <row r="565" spans="1:13" s="111" customFormat="1" ht="36" customHeight="1" x14ac:dyDescent="0.35">
      <c r="A565" s="11"/>
      <c r="B565" s="496" t="s">
        <v>120</v>
      </c>
      <c r="C565" s="23" t="s">
        <v>422</v>
      </c>
      <c r="D565" s="10" t="s">
        <v>224</v>
      </c>
      <c r="E565" s="10" t="s">
        <v>39</v>
      </c>
      <c r="F565" s="689" t="s">
        <v>39</v>
      </c>
      <c r="G565" s="690" t="s">
        <v>45</v>
      </c>
      <c r="H565" s="690" t="s">
        <v>39</v>
      </c>
      <c r="I565" s="691" t="s">
        <v>543</v>
      </c>
      <c r="J565" s="10" t="s">
        <v>121</v>
      </c>
      <c r="K565" s="24">
        <f>102.2+27.1+11.6</f>
        <v>140.9</v>
      </c>
      <c r="L565" s="24">
        <f>M565-K565</f>
        <v>0</v>
      </c>
      <c r="M565" s="24">
        <f>102.2+27.1+11.6</f>
        <v>140.9</v>
      </c>
    </row>
    <row r="566" spans="1:13" s="111" customFormat="1" ht="54" customHeight="1" x14ac:dyDescent="0.35">
      <c r="A566" s="11"/>
      <c r="B566" s="496" t="s">
        <v>76</v>
      </c>
      <c r="C566" s="23" t="s">
        <v>422</v>
      </c>
      <c r="D566" s="10" t="s">
        <v>224</v>
      </c>
      <c r="E566" s="10" t="s">
        <v>39</v>
      </c>
      <c r="F566" s="689" t="s">
        <v>39</v>
      </c>
      <c r="G566" s="690" t="s">
        <v>45</v>
      </c>
      <c r="H566" s="690" t="s">
        <v>39</v>
      </c>
      <c r="I566" s="691" t="s">
        <v>543</v>
      </c>
      <c r="J566" s="10" t="s">
        <v>77</v>
      </c>
      <c r="K566" s="24">
        <f>15601.9-85.9-36.8</f>
        <v>15479.2</v>
      </c>
      <c r="L566" s="24">
        <f>M566-K566</f>
        <v>3142.7999999999993</v>
      </c>
      <c r="M566" s="24">
        <f>15601.9-85.9-36.8+942.8+2200</f>
        <v>18622</v>
      </c>
    </row>
    <row r="567" spans="1:13" s="111" customFormat="1" ht="36" customHeight="1" x14ac:dyDescent="0.35">
      <c r="A567" s="11"/>
      <c r="B567" s="496" t="s">
        <v>648</v>
      </c>
      <c r="C567" s="23" t="s">
        <v>422</v>
      </c>
      <c r="D567" s="10" t="s">
        <v>224</v>
      </c>
      <c r="E567" s="10" t="s">
        <v>39</v>
      </c>
      <c r="F567" s="689" t="s">
        <v>39</v>
      </c>
      <c r="G567" s="690" t="s">
        <v>45</v>
      </c>
      <c r="H567" s="690" t="s">
        <v>642</v>
      </c>
      <c r="I567" s="691" t="s">
        <v>44</v>
      </c>
      <c r="J567" s="10"/>
      <c r="K567" s="24">
        <f>K568+K571</f>
        <v>5656.9</v>
      </c>
      <c r="L567" s="24">
        <f>L568+L571</f>
        <v>267.59999999999991</v>
      </c>
      <c r="M567" s="24">
        <f>M568+M571</f>
        <v>5924.5</v>
      </c>
    </row>
    <row r="568" spans="1:13" s="111" customFormat="1" ht="90" customHeight="1" x14ac:dyDescent="0.35">
      <c r="A568" s="11"/>
      <c r="B568" s="496" t="s">
        <v>661</v>
      </c>
      <c r="C568" s="23" t="s">
        <v>422</v>
      </c>
      <c r="D568" s="10" t="s">
        <v>224</v>
      </c>
      <c r="E568" s="10" t="s">
        <v>39</v>
      </c>
      <c r="F568" s="689" t="s">
        <v>39</v>
      </c>
      <c r="G568" s="690" t="s">
        <v>45</v>
      </c>
      <c r="H568" s="690" t="s">
        <v>642</v>
      </c>
      <c r="I568" s="691" t="s">
        <v>660</v>
      </c>
      <c r="J568" s="10"/>
      <c r="K568" s="24">
        <f>K569+K570</f>
        <v>5560</v>
      </c>
      <c r="L568" s="24">
        <f>L569+L570</f>
        <v>267.59999999999991</v>
      </c>
      <c r="M568" s="24">
        <f>M569+M570</f>
        <v>5827.6</v>
      </c>
    </row>
    <row r="569" spans="1:13" s="111" customFormat="1" ht="108" customHeight="1" x14ac:dyDescent="0.35">
      <c r="A569" s="11"/>
      <c r="B569" s="496" t="s">
        <v>49</v>
      </c>
      <c r="C569" s="23" t="s">
        <v>422</v>
      </c>
      <c r="D569" s="10" t="s">
        <v>224</v>
      </c>
      <c r="E569" s="10" t="s">
        <v>39</v>
      </c>
      <c r="F569" s="689" t="s">
        <v>39</v>
      </c>
      <c r="G569" s="690" t="s">
        <v>45</v>
      </c>
      <c r="H569" s="690" t="s">
        <v>642</v>
      </c>
      <c r="I569" s="691" t="s">
        <v>660</v>
      </c>
      <c r="J569" s="10" t="s">
        <v>50</v>
      </c>
      <c r="K569" s="24">
        <v>406.82925</v>
      </c>
      <c r="L569" s="24">
        <f t="shared" ref="L569:L570" si="87">M569-K569</f>
        <v>19.602300000000014</v>
      </c>
      <c r="M569" s="24">
        <f>406.82925+19.6023</f>
        <v>426.43155000000002</v>
      </c>
    </row>
    <row r="570" spans="1:13" s="111" customFormat="1" ht="54" customHeight="1" x14ac:dyDescent="0.35">
      <c r="A570" s="11"/>
      <c r="B570" s="496" t="s">
        <v>76</v>
      </c>
      <c r="C570" s="23" t="s">
        <v>422</v>
      </c>
      <c r="D570" s="10" t="s">
        <v>224</v>
      </c>
      <c r="E570" s="10" t="s">
        <v>39</v>
      </c>
      <c r="F570" s="689" t="s">
        <v>39</v>
      </c>
      <c r="G570" s="690" t="s">
        <v>45</v>
      </c>
      <c r="H570" s="690" t="s">
        <v>642</v>
      </c>
      <c r="I570" s="691" t="s">
        <v>660</v>
      </c>
      <c r="J570" s="10" t="s">
        <v>77</v>
      </c>
      <c r="K570" s="24">
        <v>5153.1707500000002</v>
      </c>
      <c r="L570" s="24">
        <f t="shared" si="87"/>
        <v>247.9976999999999</v>
      </c>
      <c r="M570" s="24">
        <f>5153.17075+247.9977</f>
        <v>5401.1684500000001</v>
      </c>
    </row>
    <row r="571" spans="1:13" s="111" customFormat="1" ht="108" customHeight="1" x14ac:dyDescent="0.35">
      <c r="A571" s="11"/>
      <c r="B571" s="496" t="s">
        <v>644</v>
      </c>
      <c r="C571" s="23" t="s">
        <v>422</v>
      </c>
      <c r="D571" s="10" t="s">
        <v>224</v>
      </c>
      <c r="E571" s="10" t="s">
        <v>39</v>
      </c>
      <c r="F571" s="689" t="s">
        <v>39</v>
      </c>
      <c r="G571" s="690" t="s">
        <v>45</v>
      </c>
      <c r="H571" s="690" t="s">
        <v>642</v>
      </c>
      <c r="I571" s="691" t="s">
        <v>643</v>
      </c>
      <c r="J571" s="10"/>
      <c r="K571" s="24">
        <f t="shared" ref="K571:M571" si="88">K572</f>
        <v>96.9</v>
      </c>
      <c r="L571" s="24">
        <f t="shared" si="88"/>
        <v>0</v>
      </c>
      <c r="M571" s="24">
        <f t="shared" si="88"/>
        <v>96.9</v>
      </c>
    </row>
    <row r="572" spans="1:13" s="111" customFormat="1" ht="54" customHeight="1" x14ac:dyDescent="0.35">
      <c r="A572" s="11"/>
      <c r="B572" s="496" t="s">
        <v>76</v>
      </c>
      <c r="C572" s="23" t="s">
        <v>422</v>
      </c>
      <c r="D572" s="10" t="s">
        <v>224</v>
      </c>
      <c r="E572" s="10" t="s">
        <v>39</v>
      </c>
      <c r="F572" s="689" t="s">
        <v>39</v>
      </c>
      <c r="G572" s="690" t="s">
        <v>45</v>
      </c>
      <c r="H572" s="690" t="s">
        <v>642</v>
      </c>
      <c r="I572" s="691" t="s">
        <v>643</v>
      </c>
      <c r="J572" s="10" t="s">
        <v>77</v>
      </c>
      <c r="K572" s="24">
        <f>93.9+3</f>
        <v>96.9</v>
      </c>
      <c r="L572" s="24">
        <f>M572-K572</f>
        <v>0</v>
      </c>
      <c r="M572" s="24">
        <f>93.9+3</f>
        <v>96.9</v>
      </c>
    </row>
    <row r="573" spans="1:13" s="115" customFormat="1" ht="54" customHeight="1" x14ac:dyDescent="0.35">
      <c r="A573" s="11"/>
      <c r="B573" s="496" t="s">
        <v>212</v>
      </c>
      <c r="C573" s="23" t="s">
        <v>422</v>
      </c>
      <c r="D573" s="10" t="s">
        <v>224</v>
      </c>
      <c r="E573" s="10" t="s">
        <v>39</v>
      </c>
      <c r="F573" s="689" t="s">
        <v>39</v>
      </c>
      <c r="G573" s="690" t="s">
        <v>30</v>
      </c>
      <c r="H573" s="690" t="s">
        <v>43</v>
      </c>
      <c r="I573" s="691" t="s">
        <v>44</v>
      </c>
      <c r="J573" s="10"/>
      <c r="K573" s="24">
        <f t="shared" ref="K573:M574" si="89">K574</f>
        <v>2222.1999999999998</v>
      </c>
      <c r="L573" s="24">
        <f t="shared" si="89"/>
        <v>0</v>
      </c>
      <c r="M573" s="24">
        <f t="shared" si="89"/>
        <v>2222.1999999999998</v>
      </c>
    </row>
    <row r="574" spans="1:13" s="115" customFormat="1" ht="36" customHeight="1" x14ac:dyDescent="0.35">
      <c r="A574" s="11"/>
      <c r="B574" s="496" t="s">
        <v>281</v>
      </c>
      <c r="C574" s="23" t="s">
        <v>422</v>
      </c>
      <c r="D574" s="10" t="s">
        <v>224</v>
      </c>
      <c r="E574" s="10" t="s">
        <v>39</v>
      </c>
      <c r="F574" s="689" t="s">
        <v>39</v>
      </c>
      <c r="G574" s="690" t="s">
        <v>30</v>
      </c>
      <c r="H574" s="690" t="s">
        <v>37</v>
      </c>
      <c r="I574" s="691" t="s">
        <v>44</v>
      </c>
      <c r="J574" s="10"/>
      <c r="K574" s="24">
        <f t="shared" si="89"/>
        <v>2222.1999999999998</v>
      </c>
      <c r="L574" s="24">
        <f t="shared" si="89"/>
        <v>0</v>
      </c>
      <c r="M574" s="24">
        <f t="shared" si="89"/>
        <v>2222.1999999999998</v>
      </c>
    </row>
    <row r="575" spans="1:13" s="115" customFormat="1" ht="252" customHeight="1" x14ac:dyDescent="0.35">
      <c r="A575" s="11"/>
      <c r="B575" s="496" t="s">
        <v>431</v>
      </c>
      <c r="C575" s="23" t="s">
        <v>422</v>
      </c>
      <c r="D575" s="10" t="s">
        <v>224</v>
      </c>
      <c r="E575" s="10" t="s">
        <v>39</v>
      </c>
      <c r="F575" s="689" t="s">
        <v>39</v>
      </c>
      <c r="G575" s="690" t="s">
        <v>30</v>
      </c>
      <c r="H575" s="690" t="s">
        <v>37</v>
      </c>
      <c r="I575" s="691" t="s">
        <v>344</v>
      </c>
      <c r="J575" s="10"/>
      <c r="K575" s="24">
        <f>K576</f>
        <v>2222.1999999999998</v>
      </c>
      <c r="L575" s="24">
        <f>L576</f>
        <v>0</v>
      </c>
      <c r="M575" s="24">
        <f>M576</f>
        <v>2222.1999999999998</v>
      </c>
    </row>
    <row r="576" spans="1:13" s="115" customFormat="1" ht="54" customHeight="1" x14ac:dyDescent="0.35">
      <c r="A576" s="11"/>
      <c r="B576" s="496" t="s">
        <v>76</v>
      </c>
      <c r="C576" s="23" t="s">
        <v>422</v>
      </c>
      <c r="D576" s="10" t="s">
        <v>224</v>
      </c>
      <c r="E576" s="10" t="s">
        <v>39</v>
      </c>
      <c r="F576" s="689" t="s">
        <v>39</v>
      </c>
      <c r="G576" s="690" t="s">
        <v>30</v>
      </c>
      <c r="H576" s="690" t="s">
        <v>37</v>
      </c>
      <c r="I576" s="691" t="s">
        <v>344</v>
      </c>
      <c r="J576" s="10" t="s">
        <v>77</v>
      </c>
      <c r="K576" s="24">
        <f>2214+8.2</f>
        <v>2222.1999999999998</v>
      </c>
      <c r="L576" s="24">
        <f>M576-K576</f>
        <v>0</v>
      </c>
      <c r="M576" s="24">
        <f>2214+8.2</f>
        <v>2222.1999999999998</v>
      </c>
    </row>
    <row r="577" spans="1:15" s="115" customFormat="1" ht="18" customHeight="1" x14ac:dyDescent="0.35">
      <c r="A577" s="11"/>
      <c r="B577" s="496" t="s">
        <v>347</v>
      </c>
      <c r="C577" s="23" t="s">
        <v>422</v>
      </c>
      <c r="D577" s="10" t="s">
        <v>224</v>
      </c>
      <c r="E577" s="10" t="s">
        <v>63</v>
      </c>
      <c r="F577" s="689"/>
      <c r="G577" s="690"/>
      <c r="H577" s="690"/>
      <c r="I577" s="691"/>
      <c r="J577" s="10"/>
      <c r="K577" s="24">
        <f>K578+K604</f>
        <v>83095.947</v>
      </c>
      <c r="L577" s="24">
        <f>L578+L604</f>
        <v>0</v>
      </c>
      <c r="M577" s="24">
        <f>M578+M604+0.01</f>
        <v>83095.956999999995</v>
      </c>
      <c r="O577" s="115">
        <v>0.01</v>
      </c>
    </row>
    <row r="578" spans="1:15" s="115" customFormat="1" ht="54" customHeight="1" x14ac:dyDescent="0.35">
      <c r="A578" s="11"/>
      <c r="B578" s="565" t="s">
        <v>205</v>
      </c>
      <c r="C578" s="23" t="s">
        <v>422</v>
      </c>
      <c r="D578" s="10" t="s">
        <v>224</v>
      </c>
      <c r="E578" s="10" t="s">
        <v>63</v>
      </c>
      <c r="F578" s="689" t="s">
        <v>39</v>
      </c>
      <c r="G578" s="690" t="s">
        <v>42</v>
      </c>
      <c r="H578" s="690" t="s">
        <v>43</v>
      </c>
      <c r="I578" s="691" t="s">
        <v>44</v>
      </c>
      <c r="J578" s="10"/>
      <c r="K578" s="24">
        <f t="shared" ref="K578:M579" si="90">K579</f>
        <v>82524.346999999994</v>
      </c>
      <c r="L578" s="24">
        <f t="shared" si="90"/>
        <v>0</v>
      </c>
      <c r="M578" s="24">
        <f t="shared" si="90"/>
        <v>82524.346999999994</v>
      </c>
    </row>
    <row r="579" spans="1:15" s="115" customFormat="1" ht="18" customHeight="1" x14ac:dyDescent="0.35">
      <c r="A579" s="11"/>
      <c r="B579" s="496" t="s">
        <v>210</v>
      </c>
      <c r="C579" s="23" t="s">
        <v>422</v>
      </c>
      <c r="D579" s="10" t="s">
        <v>224</v>
      </c>
      <c r="E579" s="10" t="s">
        <v>63</v>
      </c>
      <c r="F579" s="689" t="s">
        <v>39</v>
      </c>
      <c r="G579" s="690" t="s">
        <v>89</v>
      </c>
      <c r="H579" s="690" t="s">
        <v>43</v>
      </c>
      <c r="I579" s="691" t="s">
        <v>44</v>
      </c>
      <c r="J579" s="10"/>
      <c r="K579" s="24">
        <f t="shared" si="90"/>
        <v>82524.346999999994</v>
      </c>
      <c r="L579" s="24">
        <f t="shared" si="90"/>
        <v>0</v>
      </c>
      <c r="M579" s="24">
        <f t="shared" si="90"/>
        <v>82524.346999999994</v>
      </c>
    </row>
    <row r="580" spans="1:15" s="115" customFormat="1" ht="36" customHeight="1" x14ac:dyDescent="0.35">
      <c r="A580" s="11"/>
      <c r="B580" s="496" t="s">
        <v>275</v>
      </c>
      <c r="C580" s="23" t="s">
        <v>422</v>
      </c>
      <c r="D580" s="10" t="s">
        <v>224</v>
      </c>
      <c r="E580" s="10" t="s">
        <v>63</v>
      </c>
      <c r="F580" s="689" t="s">
        <v>39</v>
      </c>
      <c r="G580" s="690" t="s">
        <v>89</v>
      </c>
      <c r="H580" s="690" t="s">
        <v>37</v>
      </c>
      <c r="I580" s="691" t="s">
        <v>44</v>
      </c>
      <c r="J580" s="10"/>
      <c r="K580" s="24">
        <f>K581+K596+K588+K598+K591+K593+K601+K586</f>
        <v>82524.346999999994</v>
      </c>
      <c r="L580" s="24">
        <f>L581+L596+L588+L598+L591+L593+L601+L586</f>
        <v>0</v>
      </c>
      <c r="M580" s="24">
        <f>M581+M596+M588+M598+M591+M593+M601+M586</f>
        <v>82524.346999999994</v>
      </c>
    </row>
    <row r="581" spans="1:15" s="115" customFormat="1" ht="36" customHeight="1" x14ac:dyDescent="0.35">
      <c r="A581" s="11"/>
      <c r="B581" s="529" t="s">
        <v>461</v>
      </c>
      <c r="C581" s="23" t="s">
        <v>422</v>
      </c>
      <c r="D581" s="10" t="s">
        <v>224</v>
      </c>
      <c r="E581" s="10" t="s">
        <v>63</v>
      </c>
      <c r="F581" s="689" t="s">
        <v>39</v>
      </c>
      <c r="G581" s="690" t="s">
        <v>89</v>
      </c>
      <c r="H581" s="690" t="s">
        <v>37</v>
      </c>
      <c r="I581" s="691" t="s">
        <v>91</v>
      </c>
      <c r="J581" s="10"/>
      <c r="K581" s="24">
        <f>SUM(K582:K585)</f>
        <v>55381.146999999997</v>
      </c>
      <c r="L581" s="24">
        <f>SUM(L582:L585)</f>
        <v>0</v>
      </c>
      <c r="M581" s="24">
        <f>SUM(M582:M585)</f>
        <v>55381.146999999997</v>
      </c>
    </row>
    <row r="582" spans="1:15" s="115" customFormat="1" ht="108" customHeight="1" x14ac:dyDescent="0.35">
      <c r="A582" s="11"/>
      <c r="B582" s="496" t="s">
        <v>49</v>
      </c>
      <c r="C582" s="23" t="s">
        <v>422</v>
      </c>
      <c r="D582" s="10" t="s">
        <v>224</v>
      </c>
      <c r="E582" s="10" t="s">
        <v>63</v>
      </c>
      <c r="F582" s="689" t="s">
        <v>39</v>
      </c>
      <c r="G582" s="690" t="s">
        <v>89</v>
      </c>
      <c r="H582" s="690" t="s">
        <v>37</v>
      </c>
      <c r="I582" s="691" t="s">
        <v>91</v>
      </c>
      <c r="J582" s="10" t="s">
        <v>50</v>
      </c>
      <c r="K582" s="24">
        <f>21555.1+591.8-6302.3-100+1000</f>
        <v>16744.599999999999</v>
      </c>
      <c r="L582" s="24">
        <f>M582-K582</f>
        <v>139.59999999999854</v>
      </c>
      <c r="M582" s="24">
        <f>21555.1+591.8-6302.3-100+1000+139.6</f>
        <v>16884.199999999997</v>
      </c>
    </row>
    <row r="583" spans="1:15" s="115" customFormat="1" ht="54" customHeight="1" x14ac:dyDescent="0.35">
      <c r="A583" s="11"/>
      <c r="B583" s="496" t="s">
        <v>55</v>
      </c>
      <c r="C583" s="23" t="s">
        <v>422</v>
      </c>
      <c r="D583" s="10" t="s">
        <v>224</v>
      </c>
      <c r="E583" s="10" t="s">
        <v>63</v>
      </c>
      <c r="F583" s="689" t="s">
        <v>39</v>
      </c>
      <c r="G583" s="690" t="s">
        <v>89</v>
      </c>
      <c r="H583" s="690" t="s">
        <v>37</v>
      </c>
      <c r="I583" s="691" t="s">
        <v>91</v>
      </c>
      <c r="J583" s="10" t="s">
        <v>56</v>
      </c>
      <c r="K583" s="24">
        <f>2892.5+0.547-1154.92093-0.1+76+100+225.4-23+0.1+169.8+76.7</f>
        <v>2363.0260699999999</v>
      </c>
      <c r="L583" s="24">
        <f>M583-K583</f>
        <v>0</v>
      </c>
      <c r="M583" s="24">
        <f>2892.5+0.547-1154.92093-0.1+76+100+225.4-23+0.1+169.8+76.7</f>
        <v>2363.0260699999999</v>
      </c>
    </row>
    <row r="584" spans="1:15" s="115" customFormat="1" ht="54" customHeight="1" x14ac:dyDescent="0.35">
      <c r="A584" s="11"/>
      <c r="B584" s="496" t="s">
        <v>76</v>
      </c>
      <c r="C584" s="23" t="s">
        <v>422</v>
      </c>
      <c r="D584" s="10" t="s">
        <v>224</v>
      </c>
      <c r="E584" s="10" t="s">
        <v>63</v>
      </c>
      <c r="F584" s="689" t="s">
        <v>39</v>
      </c>
      <c r="G584" s="690" t="s">
        <v>89</v>
      </c>
      <c r="H584" s="690" t="s">
        <v>37</v>
      </c>
      <c r="I584" s="691" t="s">
        <v>91</v>
      </c>
      <c r="J584" s="10" t="s">
        <v>77</v>
      </c>
      <c r="K584" s="24">
        <f>24622.4+1273.5+7524.42093+238.1+70+580.4+1448+310</f>
        <v>36066.820930000002</v>
      </c>
      <c r="L584" s="24">
        <f>M584-K584</f>
        <v>-139.59999999999854</v>
      </c>
      <c r="M584" s="24">
        <f>24622.4+1273.5+7524.42093+238.1+70+580.4+1448+310-139.6</f>
        <v>35927.220930000003</v>
      </c>
    </row>
    <row r="585" spans="1:15" s="115" customFormat="1" ht="18" customHeight="1" x14ac:dyDescent="0.35">
      <c r="A585" s="11"/>
      <c r="B585" s="496" t="s">
        <v>57</v>
      </c>
      <c r="C585" s="23" t="s">
        <v>422</v>
      </c>
      <c r="D585" s="10" t="s">
        <v>224</v>
      </c>
      <c r="E585" s="10" t="s">
        <v>63</v>
      </c>
      <c r="F585" s="689" t="s">
        <v>39</v>
      </c>
      <c r="G585" s="690" t="s">
        <v>89</v>
      </c>
      <c r="H585" s="690" t="s">
        <v>37</v>
      </c>
      <c r="I585" s="691" t="s">
        <v>91</v>
      </c>
      <c r="J585" s="10" t="s">
        <v>58</v>
      </c>
      <c r="K585" s="24">
        <f>112-67.2+0.1+157+4.8</f>
        <v>206.70000000000002</v>
      </c>
      <c r="L585" s="24">
        <f>M585-K585</f>
        <v>0</v>
      </c>
      <c r="M585" s="24">
        <f>112-67.2+0.1+157+4.8</f>
        <v>206.70000000000002</v>
      </c>
    </row>
    <row r="586" spans="1:15" s="115" customFormat="1" ht="18" customHeight="1" x14ac:dyDescent="0.35">
      <c r="A586" s="11"/>
      <c r="B586" s="496" t="s">
        <v>462</v>
      </c>
      <c r="C586" s="23" t="s">
        <v>422</v>
      </c>
      <c r="D586" s="10" t="s">
        <v>224</v>
      </c>
      <c r="E586" s="10" t="s">
        <v>63</v>
      </c>
      <c r="F586" s="689" t="s">
        <v>39</v>
      </c>
      <c r="G586" s="690" t="s">
        <v>89</v>
      </c>
      <c r="H586" s="690" t="s">
        <v>37</v>
      </c>
      <c r="I586" s="691" t="s">
        <v>379</v>
      </c>
      <c r="J586" s="10"/>
      <c r="K586" s="24">
        <f>K587</f>
        <v>498</v>
      </c>
      <c r="L586" s="24">
        <f>L587</f>
        <v>0</v>
      </c>
      <c r="M586" s="24">
        <f>M587</f>
        <v>498</v>
      </c>
    </row>
    <row r="587" spans="1:15" s="115" customFormat="1" ht="54" customHeight="1" x14ac:dyDescent="0.35">
      <c r="A587" s="11"/>
      <c r="B587" s="496" t="s">
        <v>76</v>
      </c>
      <c r="C587" s="23" t="s">
        <v>422</v>
      </c>
      <c r="D587" s="10" t="s">
        <v>224</v>
      </c>
      <c r="E587" s="10" t="s">
        <v>63</v>
      </c>
      <c r="F587" s="689" t="s">
        <v>39</v>
      </c>
      <c r="G587" s="690" t="s">
        <v>89</v>
      </c>
      <c r="H587" s="690" t="s">
        <v>37</v>
      </c>
      <c r="I587" s="691" t="s">
        <v>379</v>
      </c>
      <c r="J587" s="10" t="s">
        <v>77</v>
      </c>
      <c r="K587" s="24">
        <f>222.9+275.1</f>
        <v>498</v>
      </c>
      <c r="L587" s="24">
        <f>M587-K587</f>
        <v>0</v>
      </c>
      <c r="M587" s="24">
        <f>222.9+275.1</f>
        <v>498</v>
      </c>
    </row>
    <row r="588" spans="1:15" s="115" customFormat="1" ht="54" customHeight="1" x14ac:dyDescent="0.35">
      <c r="A588" s="11"/>
      <c r="B588" s="496" t="s">
        <v>207</v>
      </c>
      <c r="C588" s="23" t="s">
        <v>422</v>
      </c>
      <c r="D588" s="10" t="s">
        <v>224</v>
      </c>
      <c r="E588" s="10" t="s">
        <v>63</v>
      </c>
      <c r="F588" s="689" t="s">
        <v>39</v>
      </c>
      <c r="G588" s="690" t="s">
        <v>89</v>
      </c>
      <c r="H588" s="690" t="s">
        <v>37</v>
      </c>
      <c r="I588" s="691" t="s">
        <v>272</v>
      </c>
      <c r="J588" s="10"/>
      <c r="K588" s="24">
        <f>K590+K589</f>
        <v>5841.0000000000009</v>
      </c>
      <c r="L588" s="24">
        <f>L590+L589</f>
        <v>0</v>
      </c>
      <c r="M588" s="24">
        <f>M590+M589</f>
        <v>5841.0000000000009</v>
      </c>
    </row>
    <row r="589" spans="1:15" s="115" customFormat="1" ht="54" customHeight="1" x14ac:dyDescent="0.35">
      <c r="A589" s="11"/>
      <c r="B589" s="496" t="s">
        <v>55</v>
      </c>
      <c r="C589" s="23" t="s">
        <v>422</v>
      </c>
      <c r="D589" s="10" t="s">
        <v>224</v>
      </c>
      <c r="E589" s="10" t="s">
        <v>63</v>
      </c>
      <c r="F589" s="689" t="s">
        <v>39</v>
      </c>
      <c r="G589" s="690" t="s">
        <v>89</v>
      </c>
      <c r="H589" s="690" t="s">
        <v>37</v>
      </c>
      <c r="I589" s="691" t="s">
        <v>272</v>
      </c>
      <c r="J589" s="10" t="s">
        <v>56</v>
      </c>
      <c r="K589" s="24">
        <f>2014.8+52.6-1033.7+8.9+601.1-0.1</f>
        <v>1643.6000000000004</v>
      </c>
      <c r="L589" s="24">
        <f>M589-K589</f>
        <v>0</v>
      </c>
      <c r="M589" s="24">
        <f>2014.8+52.6-1033.7+8.9+601.1-0.1</f>
        <v>1643.6000000000004</v>
      </c>
    </row>
    <row r="590" spans="1:15" s="115" customFormat="1" ht="54" customHeight="1" x14ac:dyDescent="0.35">
      <c r="A590" s="11"/>
      <c r="B590" s="565" t="s">
        <v>76</v>
      </c>
      <c r="C590" s="23" t="s">
        <v>422</v>
      </c>
      <c r="D590" s="10" t="s">
        <v>224</v>
      </c>
      <c r="E590" s="10" t="s">
        <v>63</v>
      </c>
      <c r="F590" s="689" t="s">
        <v>39</v>
      </c>
      <c r="G590" s="690" t="s">
        <v>89</v>
      </c>
      <c r="H590" s="690" t="s">
        <v>37</v>
      </c>
      <c r="I590" s="691" t="s">
        <v>272</v>
      </c>
      <c r="J590" s="10" t="s">
        <v>77</v>
      </c>
      <c r="K590" s="24">
        <f>3022.2+78.9+1033.7+27.3+35.3</f>
        <v>4197.4000000000005</v>
      </c>
      <c r="L590" s="24">
        <f>M590-K590</f>
        <v>0</v>
      </c>
      <c r="M590" s="24">
        <f>3022.2+78.9+1033.7+27.3+35.3</f>
        <v>4197.4000000000005</v>
      </c>
    </row>
    <row r="591" spans="1:15" s="115" customFormat="1" ht="36" customHeight="1" x14ac:dyDescent="0.35">
      <c r="A591" s="11"/>
      <c r="B591" s="496" t="s">
        <v>208</v>
      </c>
      <c r="C591" s="23" t="s">
        <v>422</v>
      </c>
      <c r="D591" s="10" t="s">
        <v>224</v>
      </c>
      <c r="E591" s="10" t="s">
        <v>63</v>
      </c>
      <c r="F591" s="689" t="s">
        <v>39</v>
      </c>
      <c r="G591" s="690" t="s">
        <v>89</v>
      </c>
      <c r="H591" s="690" t="s">
        <v>37</v>
      </c>
      <c r="I591" s="691" t="s">
        <v>273</v>
      </c>
      <c r="J591" s="10"/>
      <c r="K591" s="24">
        <f>K592</f>
        <v>1124.4000000000001</v>
      </c>
      <c r="L591" s="24">
        <f>L592</f>
        <v>0</v>
      </c>
      <c r="M591" s="24">
        <f>M592</f>
        <v>1124.4000000000001</v>
      </c>
    </row>
    <row r="592" spans="1:15" s="115" customFormat="1" ht="54" customHeight="1" x14ac:dyDescent="0.35">
      <c r="A592" s="11"/>
      <c r="B592" s="565" t="s">
        <v>76</v>
      </c>
      <c r="C592" s="23" t="s">
        <v>422</v>
      </c>
      <c r="D592" s="10" t="s">
        <v>224</v>
      </c>
      <c r="E592" s="10" t="s">
        <v>63</v>
      </c>
      <c r="F592" s="689" t="s">
        <v>39</v>
      </c>
      <c r="G592" s="690" t="s">
        <v>89</v>
      </c>
      <c r="H592" s="690" t="s">
        <v>37</v>
      </c>
      <c r="I592" s="691" t="s">
        <v>273</v>
      </c>
      <c r="J592" s="10" t="s">
        <v>77</v>
      </c>
      <c r="K592" s="24">
        <f>17+90+323.3+207.4+15+44.7+403.5+23.5</f>
        <v>1124.4000000000001</v>
      </c>
      <c r="L592" s="24">
        <f>M592-K592</f>
        <v>0</v>
      </c>
      <c r="M592" s="24">
        <f>17+90+323.3+207.4+15+44.7+403.5+23.5</f>
        <v>1124.4000000000001</v>
      </c>
    </row>
    <row r="593" spans="1:13" s="115" customFormat="1" ht="54" customHeight="1" x14ac:dyDescent="0.35">
      <c r="A593" s="11"/>
      <c r="B593" s="565" t="s">
        <v>525</v>
      </c>
      <c r="C593" s="23" t="s">
        <v>422</v>
      </c>
      <c r="D593" s="10" t="s">
        <v>224</v>
      </c>
      <c r="E593" s="10" t="s">
        <v>63</v>
      </c>
      <c r="F593" s="689" t="s">
        <v>39</v>
      </c>
      <c r="G593" s="690" t="s">
        <v>89</v>
      </c>
      <c r="H593" s="690" t="s">
        <v>37</v>
      </c>
      <c r="I593" s="691" t="s">
        <v>524</v>
      </c>
      <c r="J593" s="10"/>
      <c r="K593" s="24">
        <f>SUM(K594:K595)</f>
        <v>6127.5</v>
      </c>
      <c r="L593" s="24">
        <f>SUM(L594:L595)</f>
        <v>0</v>
      </c>
      <c r="M593" s="24">
        <f>SUM(M594:M595)</f>
        <v>6127.5</v>
      </c>
    </row>
    <row r="594" spans="1:13" s="115" customFormat="1" ht="54" customHeight="1" x14ac:dyDescent="0.35">
      <c r="A594" s="11"/>
      <c r="B594" s="565" t="s">
        <v>76</v>
      </c>
      <c r="C594" s="23" t="s">
        <v>422</v>
      </c>
      <c r="D594" s="10" t="s">
        <v>224</v>
      </c>
      <c r="E594" s="10" t="s">
        <v>63</v>
      </c>
      <c r="F594" s="689" t="s">
        <v>39</v>
      </c>
      <c r="G594" s="690" t="s">
        <v>89</v>
      </c>
      <c r="H594" s="690" t="s">
        <v>37</v>
      </c>
      <c r="I594" s="691" t="s">
        <v>524</v>
      </c>
      <c r="J594" s="10" t="s">
        <v>77</v>
      </c>
      <c r="K594" s="24">
        <f>5775.1+297.5</f>
        <v>6072.6</v>
      </c>
      <c r="L594" s="24">
        <f>M594-K594</f>
        <v>0</v>
      </c>
      <c r="M594" s="24">
        <f>5775.1+297.5</f>
        <v>6072.6</v>
      </c>
    </row>
    <row r="595" spans="1:13" s="115" customFormat="1" ht="18" customHeight="1" x14ac:dyDescent="0.35">
      <c r="A595" s="11"/>
      <c r="B595" s="496" t="s">
        <v>57</v>
      </c>
      <c r="C595" s="23" t="s">
        <v>422</v>
      </c>
      <c r="D595" s="10" t="s">
        <v>224</v>
      </c>
      <c r="E595" s="10" t="s">
        <v>63</v>
      </c>
      <c r="F595" s="689" t="s">
        <v>39</v>
      </c>
      <c r="G595" s="690" t="s">
        <v>89</v>
      </c>
      <c r="H595" s="690" t="s">
        <v>37</v>
      </c>
      <c r="I595" s="691" t="s">
        <v>524</v>
      </c>
      <c r="J595" s="10" t="s">
        <v>58</v>
      </c>
      <c r="K595" s="24">
        <f>56-1.1</f>
        <v>54.9</v>
      </c>
      <c r="L595" s="24">
        <f>M595-K595</f>
        <v>0</v>
      </c>
      <c r="M595" s="24">
        <f>56-1.1</f>
        <v>54.9</v>
      </c>
    </row>
    <row r="596" spans="1:13" s="115" customFormat="1" ht="180" customHeight="1" x14ac:dyDescent="0.35">
      <c r="A596" s="11"/>
      <c r="B596" s="496" t="s">
        <v>267</v>
      </c>
      <c r="C596" s="23" t="s">
        <v>422</v>
      </c>
      <c r="D596" s="10" t="s">
        <v>224</v>
      </c>
      <c r="E596" s="10" t="s">
        <v>63</v>
      </c>
      <c r="F596" s="689" t="s">
        <v>39</v>
      </c>
      <c r="G596" s="690" t="s">
        <v>89</v>
      </c>
      <c r="H596" s="690" t="s">
        <v>37</v>
      </c>
      <c r="I596" s="691" t="s">
        <v>268</v>
      </c>
      <c r="J596" s="10"/>
      <c r="K596" s="24">
        <f>K597</f>
        <v>85.6</v>
      </c>
      <c r="L596" s="24">
        <f>L597</f>
        <v>0</v>
      </c>
      <c r="M596" s="24">
        <f>M597</f>
        <v>85.6</v>
      </c>
    </row>
    <row r="597" spans="1:13" s="115" customFormat="1" ht="54" customHeight="1" x14ac:dyDescent="0.35">
      <c r="A597" s="11"/>
      <c r="B597" s="496" t="s">
        <v>76</v>
      </c>
      <c r="C597" s="23" t="s">
        <v>422</v>
      </c>
      <c r="D597" s="10" t="s">
        <v>224</v>
      </c>
      <c r="E597" s="10" t="s">
        <v>63</v>
      </c>
      <c r="F597" s="689" t="s">
        <v>39</v>
      </c>
      <c r="G597" s="690" t="s">
        <v>89</v>
      </c>
      <c r="H597" s="690" t="s">
        <v>37</v>
      </c>
      <c r="I597" s="691" t="s">
        <v>268</v>
      </c>
      <c r="J597" s="10" t="s">
        <v>77</v>
      </c>
      <c r="K597" s="24">
        <v>85.6</v>
      </c>
      <c r="L597" s="24">
        <f>M597-K597</f>
        <v>0</v>
      </c>
      <c r="M597" s="24">
        <v>85.6</v>
      </c>
    </row>
    <row r="598" spans="1:13" s="115" customFormat="1" ht="108" customHeight="1" x14ac:dyDescent="0.35">
      <c r="A598" s="11"/>
      <c r="B598" s="496" t="s">
        <v>343</v>
      </c>
      <c r="C598" s="23" t="s">
        <v>422</v>
      </c>
      <c r="D598" s="10" t="s">
        <v>224</v>
      </c>
      <c r="E598" s="10" t="s">
        <v>63</v>
      </c>
      <c r="F598" s="689" t="s">
        <v>39</v>
      </c>
      <c r="G598" s="690" t="s">
        <v>89</v>
      </c>
      <c r="H598" s="690" t="s">
        <v>37</v>
      </c>
      <c r="I598" s="691" t="s">
        <v>269</v>
      </c>
      <c r="J598" s="10"/>
      <c r="K598" s="24">
        <f>K600+K599</f>
        <v>11366.699999999999</v>
      </c>
      <c r="L598" s="24">
        <f>L600+L599</f>
        <v>0</v>
      </c>
      <c r="M598" s="24">
        <f>M600+M599</f>
        <v>11366.699999999999</v>
      </c>
    </row>
    <row r="599" spans="1:13" s="115" customFormat="1" ht="108" x14ac:dyDescent="0.35">
      <c r="A599" s="11"/>
      <c r="B599" s="496" t="s">
        <v>49</v>
      </c>
      <c r="C599" s="23" t="s">
        <v>422</v>
      </c>
      <c r="D599" s="10" t="s">
        <v>224</v>
      </c>
      <c r="E599" s="10" t="s">
        <v>63</v>
      </c>
      <c r="F599" s="689" t="s">
        <v>39</v>
      </c>
      <c r="G599" s="690" t="s">
        <v>89</v>
      </c>
      <c r="H599" s="690" t="s">
        <v>37</v>
      </c>
      <c r="I599" s="691" t="s">
        <v>269</v>
      </c>
      <c r="J599" s="10" t="s">
        <v>50</v>
      </c>
      <c r="K599" s="24">
        <v>42.3</v>
      </c>
      <c r="L599" s="24">
        <f>M599-K599</f>
        <v>0</v>
      </c>
      <c r="M599" s="24">
        <v>42.3</v>
      </c>
    </row>
    <row r="600" spans="1:13" s="115" customFormat="1" ht="54" customHeight="1" x14ac:dyDescent="0.35">
      <c r="A600" s="11"/>
      <c r="B600" s="496" t="s">
        <v>76</v>
      </c>
      <c r="C600" s="23" t="s">
        <v>422</v>
      </c>
      <c r="D600" s="10" t="s">
        <v>224</v>
      </c>
      <c r="E600" s="10" t="s">
        <v>63</v>
      </c>
      <c r="F600" s="689" t="s">
        <v>39</v>
      </c>
      <c r="G600" s="690" t="s">
        <v>89</v>
      </c>
      <c r="H600" s="690" t="s">
        <v>37</v>
      </c>
      <c r="I600" s="691" t="s">
        <v>269</v>
      </c>
      <c r="J600" s="10" t="s">
        <v>77</v>
      </c>
      <c r="K600" s="24">
        <f>11000+36.7+230.8+7.5+30.1+7.5+11.8</f>
        <v>11324.4</v>
      </c>
      <c r="L600" s="24">
        <f>M600-K600</f>
        <v>0</v>
      </c>
      <c r="M600" s="24">
        <f>11000+36.7+230.8+7.5+30.1+7.5+11.8</f>
        <v>11324.4</v>
      </c>
    </row>
    <row r="601" spans="1:13" s="115" customFormat="1" ht="54" customHeight="1" x14ac:dyDescent="0.35">
      <c r="A601" s="11"/>
      <c r="B601" s="579" t="s">
        <v>681</v>
      </c>
      <c r="C601" s="23" t="s">
        <v>422</v>
      </c>
      <c r="D601" s="10" t="s">
        <v>224</v>
      </c>
      <c r="E601" s="10" t="s">
        <v>63</v>
      </c>
      <c r="F601" s="689" t="s">
        <v>39</v>
      </c>
      <c r="G601" s="690" t="s">
        <v>89</v>
      </c>
      <c r="H601" s="690" t="s">
        <v>37</v>
      </c>
      <c r="I601" s="691" t="s">
        <v>680</v>
      </c>
      <c r="J601" s="10"/>
      <c r="K601" s="24">
        <f>K602+K603</f>
        <v>2100</v>
      </c>
      <c r="L601" s="24">
        <f>L602+L603</f>
        <v>0</v>
      </c>
      <c r="M601" s="24">
        <f>M602+M603</f>
        <v>2100</v>
      </c>
    </row>
    <row r="602" spans="1:13" s="115" customFormat="1" ht="54" customHeight="1" x14ac:dyDescent="0.35">
      <c r="A602" s="11"/>
      <c r="B602" s="579" t="s">
        <v>55</v>
      </c>
      <c r="C602" s="23" t="s">
        <v>422</v>
      </c>
      <c r="D602" s="10" t="s">
        <v>224</v>
      </c>
      <c r="E602" s="10" t="s">
        <v>63</v>
      </c>
      <c r="F602" s="689" t="s">
        <v>39</v>
      </c>
      <c r="G602" s="690" t="s">
        <v>89</v>
      </c>
      <c r="H602" s="690" t="s">
        <v>37</v>
      </c>
      <c r="I602" s="691" t="s">
        <v>680</v>
      </c>
      <c r="J602" s="10" t="s">
        <v>56</v>
      </c>
      <c r="K602" s="24">
        <v>400</v>
      </c>
      <c r="L602" s="24">
        <f>M602-K602</f>
        <v>0</v>
      </c>
      <c r="M602" s="24">
        <v>400</v>
      </c>
    </row>
    <row r="603" spans="1:13" s="115" customFormat="1" ht="54" customHeight="1" x14ac:dyDescent="0.35">
      <c r="A603" s="11"/>
      <c r="B603" s="579" t="s">
        <v>76</v>
      </c>
      <c r="C603" s="23" t="s">
        <v>422</v>
      </c>
      <c r="D603" s="10" t="s">
        <v>224</v>
      </c>
      <c r="E603" s="10" t="s">
        <v>63</v>
      </c>
      <c r="F603" s="689" t="s">
        <v>39</v>
      </c>
      <c r="G603" s="690" t="s">
        <v>89</v>
      </c>
      <c r="H603" s="690" t="s">
        <v>37</v>
      </c>
      <c r="I603" s="691" t="s">
        <v>680</v>
      </c>
      <c r="J603" s="10" t="s">
        <v>77</v>
      </c>
      <c r="K603" s="24">
        <f>500+1200</f>
        <v>1700</v>
      </c>
      <c r="L603" s="24">
        <f>M603-K603</f>
        <v>0</v>
      </c>
      <c r="M603" s="24">
        <f>500+1200</f>
        <v>1700</v>
      </c>
    </row>
    <row r="604" spans="1:13" s="115" customFormat="1" ht="54" customHeight="1" x14ac:dyDescent="0.35">
      <c r="A604" s="11"/>
      <c r="B604" s="493" t="s">
        <v>80</v>
      </c>
      <c r="C604" s="214" t="s">
        <v>422</v>
      </c>
      <c r="D604" s="28" t="s">
        <v>224</v>
      </c>
      <c r="E604" s="28" t="s">
        <v>63</v>
      </c>
      <c r="F604" s="206" t="s">
        <v>81</v>
      </c>
      <c r="G604" s="207" t="s">
        <v>42</v>
      </c>
      <c r="H604" s="207" t="s">
        <v>43</v>
      </c>
      <c r="I604" s="208" t="s">
        <v>44</v>
      </c>
      <c r="J604" s="28"/>
      <c r="K604" s="209">
        <f t="shared" ref="K604:M606" si="91">K605</f>
        <v>571.6</v>
      </c>
      <c r="L604" s="209">
        <f t="shared" si="91"/>
        <v>0</v>
      </c>
      <c r="M604" s="209">
        <f t="shared" si="91"/>
        <v>571.6</v>
      </c>
    </row>
    <row r="605" spans="1:13" s="115" customFormat="1" ht="36" customHeight="1" x14ac:dyDescent="0.35">
      <c r="A605" s="11"/>
      <c r="B605" s="493" t="s">
        <v>125</v>
      </c>
      <c r="C605" s="214" t="s">
        <v>422</v>
      </c>
      <c r="D605" s="28" t="s">
        <v>224</v>
      </c>
      <c r="E605" s="28" t="s">
        <v>63</v>
      </c>
      <c r="F605" s="206" t="s">
        <v>81</v>
      </c>
      <c r="G605" s="207" t="s">
        <v>89</v>
      </c>
      <c r="H605" s="207" t="s">
        <v>43</v>
      </c>
      <c r="I605" s="208" t="s">
        <v>44</v>
      </c>
      <c r="J605" s="28"/>
      <c r="K605" s="209">
        <f t="shared" si="91"/>
        <v>571.6</v>
      </c>
      <c r="L605" s="209">
        <f t="shared" si="91"/>
        <v>0</v>
      </c>
      <c r="M605" s="209">
        <f t="shared" si="91"/>
        <v>571.6</v>
      </c>
    </row>
    <row r="606" spans="1:13" s="115" customFormat="1" ht="36" customHeight="1" x14ac:dyDescent="0.35">
      <c r="A606" s="11"/>
      <c r="B606" s="493" t="s">
        <v>270</v>
      </c>
      <c r="C606" s="214" t="s">
        <v>422</v>
      </c>
      <c r="D606" s="28" t="s">
        <v>224</v>
      </c>
      <c r="E606" s="28" t="s">
        <v>63</v>
      </c>
      <c r="F606" s="206" t="s">
        <v>81</v>
      </c>
      <c r="G606" s="207" t="s">
        <v>89</v>
      </c>
      <c r="H606" s="207" t="s">
        <v>37</v>
      </c>
      <c r="I606" s="208" t="s">
        <v>44</v>
      </c>
      <c r="J606" s="28"/>
      <c r="K606" s="209">
        <f t="shared" si="91"/>
        <v>571.6</v>
      </c>
      <c r="L606" s="209">
        <f t="shared" si="91"/>
        <v>0</v>
      </c>
      <c r="M606" s="209">
        <f t="shared" si="91"/>
        <v>571.6</v>
      </c>
    </row>
    <row r="607" spans="1:13" s="115" customFormat="1" ht="18" customHeight="1" x14ac:dyDescent="0.35">
      <c r="A607" s="11"/>
      <c r="B607" s="493" t="s">
        <v>426</v>
      </c>
      <c r="C607" s="214" t="s">
        <v>422</v>
      </c>
      <c r="D607" s="28" t="s">
        <v>224</v>
      </c>
      <c r="E607" s="28" t="s">
        <v>63</v>
      </c>
      <c r="F607" s="206" t="s">
        <v>81</v>
      </c>
      <c r="G607" s="207" t="s">
        <v>89</v>
      </c>
      <c r="H607" s="207" t="s">
        <v>37</v>
      </c>
      <c r="I607" s="208" t="s">
        <v>427</v>
      </c>
      <c r="J607" s="28"/>
      <c r="K607" s="209">
        <f>K608</f>
        <v>571.6</v>
      </c>
      <c r="L607" s="209">
        <f>L608</f>
        <v>0</v>
      </c>
      <c r="M607" s="209">
        <f>M608</f>
        <v>571.6</v>
      </c>
    </row>
    <row r="608" spans="1:13" s="115" customFormat="1" ht="54" customHeight="1" x14ac:dyDescent="0.35">
      <c r="A608" s="11"/>
      <c r="B608" s="496" t="s">
        <v>76</v>
      </c>
      <c r="C608" s="214" t="s">
        <v>422</v>
      </c>
      <c r="D608" s="28" t="s">
        <v>224</v>
      </c>
      <c r="E608" s="28" t="s">
        <v>63</v>
      </c>
      <c r="F608" s="206" t="s">
        <v>81</v>
      </c>
      <c r="G608" s="207" t="s">
        <v>89</v>
      </c>
      <c r="H608" s="207" t="s">
        <v>37</v>
      </c>
      <c r="I608" s="208" t="s">
        <v>427</v>
      </c>
      <c r="J608" s="10" t="s">
        <v>77</v>
      </c>
      <c r="K608" s="209">
        <f>543+28.6</f>
        <v>571.6</v>
      </c>
      <c r="L608" s="24">
        <f>M608-K608</f>
        <v>0</v>
      </c>
      <c r="M608" s="209">
        <f>543+28.6</f>
        <v>571.6</v>
      </c>
    </row>
    <row r="609" spans="1:13" s="115" customFormat="1" ht="54" customHeight="1" x14ac:dyDescent="0.35">
      <c r="A609" s="11"/>
      <c r="B609" s="496" t="s">
        <v>527</v>
      </c>
      <c r="C609" s="214" t="s">
        <v>422</v>
      </c>
      <c r="D609" s="28" t="s">
        <v>224</v>
      </c>
      <c r="E609" s="28" t="s">
        <v>65</v>
      </c>
      <c r="F609" s="74"/>
      <c r="G609" s="74"/>
      <c r="H609" s="74"/>
      <c r="I609" s="74"/>
      <c r="J609" s="10"/>
      <c r="K609" s="209">
        <f t="shared" ref="K609:M617" si="92">K610</f>
        <v>41</v>
      </c>
      <c r="L609" s="24">
        <f>L610</f>
        <v>0</v>
      </c>
      <c r="M609" s="209">
        <f t="shared" si="92"/>
        <v>41</v>
      </c>
    </row>
    <row r="610" spans="1:13" s="115" customFormat="1" ht="54" customHeight="1" x14ac:dyDescent="0.35">
      <c r="A610" s="11"/>
      <c r="B610" s="496" t="s">
        <v>205</v>
      </c>
      <c r="C610" s="214" t="s">
        <v>422</v>
      </c>
      <c r="D610" s="28" t="s">
        <v>224</v>
      </c>
      <c r="E610" s="28" t="s">
        <v>65</v>
      </c>
      <c r="F610" s="93" t="s">
        <v>39</v>
      </c>
      <c r="G610" s="83" t="s">
        <v>42</v>
      </c>
      <c r="H610" s="83" t="s">
        <v>43</v>
      </c>
      <c r="I610" s="84" t="s">
        <v>44</v>
      </c>
      <c r="J610" s="578"/>
      <c r="K610" s="24">
        <f>K611+K615</f>
        <v>41</v>
      </c>
      <c r="L610" s="24">
        <f>L611+L615</f>
        <v>0</v>
      </c>
      <c r="M610" s="24">
        <f>M611+M615</f>
        <v>41</v>
      </c>
    </row>
    <row r="611" spans="1:13" s="115" customFormat="1" ht="18" x14ac:dyDescent="0.35">
      <c r="A611" s="11"/>
      <c r="B611" s="492" t="s">
        <v>210</v>
      </c>
      <c r="C611" s="214" t="s">
        <v>422</v>
      </c>
      <c r="D611" s="28" t="s">
        <v>224</v>
      </c>
      <c r="E611" s="28" t="s">
        <v>65</v>
      </c>
      <c r="F611" s="93" t="s">
        <v>39</v>
      </c>
      <c r="G611" s="83" t="s">
        <v>89</v>
      </c>
      <c r="H611" s="83" t="s">
        <v>43</v>
      </c>
      <c r="I611" s="84" t="s">
        <v>44</v>
      </c>
      <c r="J611" s="578"/>
      <c r="K611" s="209">
        <f t="shared" ref="K611:M613" si="93">K612</f>
        <v>23</v>
      </c>
      <c r="L611" s="24">
        <f t="shared" si="93"/>
        <v>0</v>
      </c>
      <c r="M611" s="209">
        <f t="shared" si="93"/>
        <v>23</v>
      </c>
    </row>
    <row r="612" spans="1:13" s="115" customFormat="1" ht="36" x14ac:dyDescent="0.35">
      <c r="A612" s="11"/>
      <c r="B612" s="492" t="s">
        <v>275</v>
      </c>
      <c r="C612" s="214" t="s">
        <v>422</v>
      </c>
      <c r="D612" s="28" t="s">
        <v>224</v>
      </c>
      <c r="E612" s="28" t="s">
        <v>65</v>
      </c>
      <c r="F612" s="93" t="s">
        <v>39</v>
      </c>
      <c r="G612" s="83" t="s">
        <v>89</v>
      </c>
      <c r="H612" s="83" t="s">
        <v>37</v>
      </c>
      <c r="I612" s="84" t="s">
        <v>44</v>
      </c>
      <c r="J612" s="578"/>
      <c r="K612" s="209">
        <f t="shared" si="93"/>
        <v>23</v>
      </c>
      <c r="L612" s="24">
        <f t="shared" si="93"/>
        <v>0</v>
      </c>
      <c r="M612" s="209">
        <f t="shared" si="93"/>
        <v>23</v>
      </c>
    </row>
    <row r="613" spans="1:13" s="115" customFormat="1" ht="36" x14ac:dyDescent="0.35">
      <c r="A613" s="11"/>
      <c r="B613" s="492" t="s">
        <v>461</v>
      </c>
      <c r="C613" s="214" t="s">
        <v>422</v>
      </c>
      <c r="D613" s="28" t="s">
        <v>224</v>
      </c>
      <c r="E613" s="28" t="s">
        <v>65</v>
      </c>
      <c r="F613" s="93" t="s">
        <v>39</v>
      </c>
      <c r="G613" s="83" t="s">
        <v>89</v>
      </c>
      <c r="H613" s="83" t="s">
        <v>37</v>
      </c>
      <c r="I613" s="84" t="s">
        <v>91</v>
      </c>
      <c r="J613" s="578"/>
      <c r="K613" s="209">
        <f t="shared" si="93"/>
        <v>23</v>
      </c>
      <c r="L613" s="24">
        <f t="shared" si="93"/>
        <v>0</v>
      </c>
      <c r="M613" s="209">
        <f t="shared" si="93"/>
        <v>23</v>
      </c>
    </row>
    <row r="614" spans="1:13" s="115" customFormat="1" ht="54" customHeight="1" x14ac:dyDescent="0.35">
      <c r="A614" s="11"/>
      <c r="B614" s="496" t="s">
        <v>55</v>
      </c>
      <c r="C614" s="214" t="s">
        <v>422</v>
      </c>
      <c r="D614" s="28" t="s">
        <v>224</v>
      </c>
      <c r="E614" s="28" t="s">
        <v>65</v>
      </c>
      <c r="F614" s="93" t="s">
        <v>39</v>
      </c>
      <c r="G614" s="83" t="s">
        <v>89</v>
      </c>
      <c r="H614" s="83" t="s">
        <v>37</v>
      </c>
      <c r="I614" s="84" t="s">
        <v>91</v>
      </c>
      <c r="J614" s="578" t="s">
        <v>56</v>
      </c>
      <c r="K614" s="209">
        <v>23</v>
      </c>
      <c r="L614" s="24">
        <f>M614-K614</f>
        <v>0</v>
      </c>
      <c r="M614" s="209">
        <v>23</v>
      </c>
    </row>
    <row r="615" spans="1:13" s="115" customFormat="1" ht="54" customHeight="1" x14ac:dyDescent="0.35">
      <c r="A615" s="11"/>
      <c r="B615" s="496" t="s">
        <v>212</v>
      </c>
      <c r="C615" s="214" t="s">
        <v>422</v>
      </c>
      <c r="D615" s="28" t="s">
        <v>224</v>
      </c>
      <c r="E615" s="28" t="s">
        <v>65</v>
      </c>
      <c r="F615" s="93" t="s">
        <v>39</v>
      </c>
      <c r="G615" s="83" t="s">
        <v>30</v>
      </c>
      <c r="H615" s="83" t="s">
        <v>43</v>
      </c>
      <c r="I615" s="84" t="s">
        <v>44</v>
      </c>
      <c r="J615" s="85"/>
      <c r="K615" s="209">
        <f t="shared" si="92"/>
        <v>18</v>
      </c>
      <c r="L615" s="24">
        <f t="shared" si="92"/>
        <v>0</v>
      </c>
      <c r="M615" s="209">
        <f t="shared" si="92"/>
        <v>18</v>
      </c>
    </row>
    <row r="616" spans="1:13" s="115" customFormat="1" ht="36" x14ac:dyDescent="0.35">
      <c r="A616" s="11"/>
      <c r="B616" s="496" t="s">
        <v>281</v>
      </c>
      <c r="C616" s="214" t="s">
        <v>422</v>
      </c>
      <c r="D616" s="28" t="s">
        <v>224</v>
      </c>
      <c r="E616" s="28" t="s">
        <v>65</v>
      </c>
      <c r="F616" s="93" t="s">
        <v>39</v>
      </c>
      <c r="G616" s="83" t="s">
        <v>30</v>
      </c>
      <c r="H616" s="83" t="s">
        <v>37</v>
      </c>
      <c r="I616" s="84" t="s">
        <v>44</v>
      </c>
      <c r="J616" s="85"/>
      <c r="K616" s="209">
        <f t="shared" si="92"/>
        <v>18</v>
      </c>
      <c r="L616" s="24">
        <f t="shared" si="92"/>
        <v>0</v>
      </c>
      <c r="M616" s="209">
        <f t="shared" si="92"/>
        <v>18</v>
      </c>
    </row>
    <row r="617" spans="1:13" s="115" customFormat="1" ht="36" x14ac:dyDescent="0.35">
      <c r="A617" s="11"/>
      <c r="B617" s="529" t="s">
        <v>461</v>
      </c>
      <c r="C617" s="214" t="s">
        <v>422</v>
      </c>
      <c r="D617" s="28" t="s">
        <v>224</v>
      </c>
      <c r="E617" s="28" t="s">
        <v>65</v>
      </c>
      <c r="F617" s="93" t="s">
        <v>39</v>
      </c>
      <c r="G617" s="83" t="s">
        <v>30</v>
      </c>
      <c r="H617" s="83" t="s">
        <v>37</v>
      </c>
      <c r="I617" s="84" t="s">
        <v>91</v>
      </c>
      <c r="J617" s="85"/>
      <c r="K617" s="209">
        <f t="shared" si="92"/>
        <v>18</v>
      </c>
      <c r="L617" s="24">
        <f t="shared" si="92"/>
        <v>0</v>
      </c>
      <c r="M617" s="209">
        <f t="shared" si="92"/>
        <v>18</v>
      </c>
    </row>
    <row r="618" spans="1:13" s="115" customFormat="1" ht="54" customHeight="1" x14ac:dyDescent="0.35">
      <c r="A618" s="11"/>
      <c r="B618" s="496" t="s">
        <v>55</v>
      </c>
      <c r="C618" s="214" t="s">
        <v>422</v>
      </c>
      <c r="D618" s="28" t="s">
        <v>224</v>
      </c>
      <c r="E618" s="28" t="s">
        <v>65</v>
      </c>
      <c r="F618" s="135" t="s">
        <v>39</v>
      </c>
      <c r="G618" s="133" t="s">
        <v>30</v>
      </c>
      <c r="H618" s="133" t="s">
        <v>37</v>
      </c>
      <c r="I618" s="134" t="s">
        <v>91</v>
      </c>
      <c r="J618" s="472" t="s">
        <v>56</v>
      </c>
      <c r="K618" s="209">
        <v>18</v>
      </c>
      <c r="L618" s="24">
        <f>M618-K618</f>
        <v>0</v>
      </c>
      <c r="M618" s="209">
        <v>18</v>
      </c>
    </row>
    <row r="619" spans="1:13" s="115" customFormat="1" ht="18" customHeight="1" x14ac:dyDescent="0.35">
      <c r="A619" s="11"/>
      <c r="B619" s="496" t="s">
        <v>186</v>
      </c>
      <c r="C619" s="23" t="s">
        <v>422</v>
      </c>
      <c r="D619" s="10" t="s">
        <v>224</v>
      </c>
      <c r="E619" s="10" t="s">
        <v>79</v>
      </c>
      <c r="F619" s="689"/>
      <c r="G619" s="690"/>
      <c r="H619" s="690"/>
      <c r="I619" s="691"/>
      <c r="J619" s="10"/>
      <c r="K619" s="24">
        <f>K620</f>
        <v>89753.743000000002</v>
      </c>
      <c r="L619" s="24">
        <f>L620</f>
        <v>0</v>
      </c>
      <c r="M619" s="24">
        <f>M620</f>
        <v>89753.743000000002</v>
      </c>
    </row>
    <row r="620" spans="1:13" s="115" customFormat="1" ht="54" customHeight="1" x14ac:dyDescent="0.35">
      <c r="A620" s="11"/>
      <c r="B620" s="496" t="s">
        <v>205</v>
      </c>
      <c r="C620" s="23" t="s">
        <v>422</v>
      </c>
      <c r="D620" s="10" t="s">
        <v>224</v>
      </c>
      <c r="E620" s="10" t="s">
        <v>79</v>
      </c>
      <c r="F620" s="689" t="s">
        <v>39</v>
      </c>
      <c r="G620" s="690" t="s">
        <v>42</v>
      </c>
      <c r="H620" s="690" t="s">
        <v>43</v>
      </c>
      <c r="I620" s="691" t="s">
        <v>44</v>
      </c>
      <c r="J620" s="10"/>
      <c r="K620" s="24">
        <f>K625+K621</f>
        <v>89753.743000000002</v>
      </c>
      <c r="L620" s="24">
        <f>L625+L621</f>
        <v>0</v>
      </c>
      <c r="M620" s="24">
        <f>M625+M621</f>
        <v>89753.743000000002</v>
      </c>
    </row>
    <row r="621" spans="1:13" s="115" customFormat="1" ht="18" customHeight="1" x14ac:dyDescent="0.35">
      <c r="A621" s="11"/>
      <c r="B621" s="496" t="s">
        <v>210</v>
      </c>
      <c r="C621" s="23" t="s">
        <v>422</v>
      </c>
      <c r="D621" s="10" t="s">
        <v>224</v>
      </c>
      <c r="E621" s="10" t="s">
        <v>79</v>
      </c>
      <c r="F621" s="689" t="s">
        <v>39</v>
      </c>
      <c r="G621" s="690" t="s">
        <v>89</v>
      </c>
      <c r="H621" s="690" t="s">
        <v>43</v>
      </c>
      <c r="I621" s="691" t="s">
        <v>44</v>
      </c>
      <c r="J621" s="10"/>
      <c r="K621" s="24">
        <f t="shared" ref="K621:M623" si="94">K622</f>
        <v>108</v>
      </c>
      <c r="L621" s="24">
        <f t="shared" si="94"/>
        <v>0</v>
      </c>
      <c r="M621" s="24">
        <f t="shared" si="94"/>
        <v>108</v>
      </c>
    </row>
    <row r="622" spans="1:13" s="115" customFormat="1" ht="18" customHeight="1" x14ac:dyDescent="0.35">
      <c r="A622" s="11"/>
      <c r="B622" s="496" t="s">
        <v>276</v>
      </c>
      <c r="C622" s="23" t="s">
        <v>422</v>
      </c>
      <c r="D622" s="10" t="s">
        <v>224</v>
      </c>
      <c r="E622" s="10" t="s">
        <v>79</v>
      </c>
      <c r="F622" s="689" t="s">
        <v>39</v>
      </c>
      <c r="G622" s="690" t="s">
        <v>89</v>
      </c>
      <c r="H622" s="690" t="s">
        <v>39</v>
      </c>
      <c r="I622" s="691" t="s">
        <v>44</v>
      </c>
      <c r="J622" s="10"/>
      <c r="K622" s="24">
        <f t="shared" si="94"/>
        <v>108</v>
      </c>
      <c r="L622" s="24">
        <f t="shared" si="94"/>
        <v>0</v>
      </c>
      <c r="M622" s="24">
        <f t="shared" si="94"/>
        <v>108</v>
      </c>
    </row>
    <row r="623" spans="1:13" s="115" customFormat="1" ht="36" customHeight="1" x14ac:dyDescent="0.35">
      <c r="A623" s="11"/>
      <c r="B623" s="496" t="s">
        <v>277</v>
      </c>
      <c r="C623" s="23" t="s">
        <v>422</v>
      </c>
      <c r="D623" s="10" t="s">
        <v>224</v>
      </c>
      <c r="E623" s="10" t="s">
        <v>79</v>
      </c>
      <c r="F623" s="689" t="s">
        <v>39</v>
      </c>
      <c r="G623" s="690" t="s">
        <v>89</v>
      </c>
      <c r="H623" s="690" t="s">
        <v>39</v>
      </c>
      <c r="I623" s="691" t="s">
        <v>278</v>
      </c>
      <c r="J623" s="10"/>
      <c r="K623" s="24">
        <f t="shared" si="94"/>
        <v>108</v>
      </c>
      <c r="L623" s="24">
        <f t="shared" si="94"/>
        <v>0</v>
      </c>
      <c r="M623" s="24">
        <f t="shared" si="94"/>
        <v>108</v>
      </c>
    </row>
    <row r="624" spans="1:13" s="115" customFormat="1" ht="36" customHeight="1" x14ac:dyDescent="0.35">
      <c r="A624" s="11"/>
      <c r="B624" s="496" t="s">
        <v>120</v>
      </c>
      <c r="C624" s="23" t="s">
        <v>422</v>
      </c>
      <c r="D624" s="10" t="s">
        <v>224</v>
      </c>
      <c r="E624" s="10" t="s">
        <v>79</v>
      </c>
      <c r="F624" s="689" t="s">
        <v>39</v>
      </c>
      <c r="G624" s="690" t="s">
        <v>89</v>
      </c>
      <c r="H624" s="690" t="s">
        <v>39</v>
      </c>
      <c r="I624" s="691" t="s">
        <v>278</v>
      </c>
      <c r="J624" s="10" t="s">
        <v>121</v>
      </c>
      <c r="K624" s="24">
        <f>60+12+36</f>
        <v>108</v>
      </c>
      <c r="L624" s="24">
        <f>M624-K624</f>
        <v>0</v>
      </c>
      <c r="M624" s="24">
        <f>60+12+36</f>
        <v>108</v>
      </c>
    </row>
    <row r="625" spans="1:13" s="115" customFormat="1" ht="54" customHeight="1" x14ac:dyDescent="0.35">
      <c r="A625" s="11"/>
      <c r="B625" s="496" t="s">
        <v>212</v>
      </c>
      <c r="C625" s="23" t="s">
        <v>422</v>
      </c>
      <c r="D625" s="10" t="s">
        <v>224</v>
      </c>
      <c r="E625" s="10" t="s">
        <v>79</v>
      </c>
      <c r="F625" s="689" t="s">
        <v>39</v>
      </c>
      <c r="G625" s="690" t="s">
        <v>30</v>
      </c>
      <c r="H625" s="690" t="s">
        <v>43</v>
      </c>
      <c r="I625" s="691" t="s">
        <v>44</v>
      </c>
      <c r="J625" s="10"/>
      <c r="K625" s="24">
        <f>K626+K644</f>
        <v>89645.743000000002</v>
      </c>
      <c r="L625" s="24">
        <f>L626+L644</f>
        <v>0</v>
      </c>
      <c r="M625" s="24">
        <f>M626+M644</f>
        <v>89645.743000000002</v>
      </c>
    </row>
    <row r="626" spans="1:13" s="115" customFormat="1" ht="36" customHeight="1" x14ac:dyDescent="0.35">
      <c r="A626" s="11"/>
      <c r="B626" s="496" t="s">
        <v>281</v>
      </c>
      <c r="C626" s="23" t="s">
        <v>422</v>
      </c>
      <c r="D626" s="10" t="s">
        <v>224</v>
      </c>
      <c r="E626" s="10" t="s">
        <v>79</v>
      </c>
      <c r="F626" s="689" t="s">
        <v>39</v>
      </c>
      <c r="G626" s="690" t="s">
        <v>30</v>
      </c>
      <c r="H626" s="690" t="s">
        <v>37</v>
      </c>
      <c r="I626" s="691" t="s">
        <v>44</v>
      </c>
      <c r="J626" s="10"/>
      <c r="K626" s="24">
        <f>K627+K631+K641+K636+K639</f>
        <v>81914.043000000005</v>
      </c>
      <c r="L626" s="24">
        <f>L627+L631+L641+L636+L639</f>
        <v>0</v>
      </c>
      <c r="M626" s="24">
        <f>M627+M631+M641+M636+M639</f>
        <v>81914.043000000005</v>
      </c>
    </row>
    <row r="627" spans="1:13" s="115" customFormat="1" ht="36" customHeight="1" x14ac:dyDescent="0.35">
      <c r="A627" s="11"/>
      <c r="B627" s="496" t="s">
        <v>47</v>
      </c>
      <c r="C627" s="23" t="s">
        <v>422</v>
      </c>
      <c r="D627" s="10" t="s">
        <v>224</v>
      </c>
      <c r="E627" s="10" t="s">
        <v>79</v>
      </c>
      <c r="F627" s="689" t="s">
        <v>39</v>
      </c>
      <c r="G627" s="690" t="s">
        <v>30</v>
      </c>
      <c r="H627" s="690" t="s">
        <v>37</v>
      </c>
      <c r="I627" s="691" t="s">
        <v>48</v>
      </c>
      <c r="J627" s="10"/>
      <c r="K627" s="24">
        <f>K628+K629+K630</f>
        <v>12417.831</v>
      </c>
      <c r="L627" s="24">
        <f>L628+L629+L630</f>
        <v>0</v>
      </c>
      <c r="M627" s="24">
        <f>M628+M629+M630</f>
        <v>12417.831</v>
      </c>
    </row>
    <row r="628" spans="1:13" s="115" customFormat="1" ht="108" customHeight="1" x14ac:dyDescent="0.35">
      <c r="A628" s="11"/>
      <c r="B628" s="496" t="s">
        <v>49</v>
      </c>
      <c r="C628" s="23" t="s">
        <v>422</v>
      </c>
      <c r="D628" s="10" t="s">
        <v>224</v>
      </c>
      <c r="E628" s="10" t="s">
        <v>79</v>
      </c>
      <c r="F628" s="689" t="s">
        <v>39</v>
      </c>
      <c r="G628" s="690" t="s">
        <v>30</v>
      </c>
      <c r="H628" s="690" t="s">
        <v>37</v>
      </c>
      <c r="I628" s="691" t="s">
        <v>48</v>
      </c>
      <c r="J628" s="10" t="s">
        <v>50</v>
      </c>
      <c r="K628" s="24">
        <f>11475.4-2926.6+2926.6</f>
        <v>11475.4</v>
      </c>
      <c r="L628" s="24">
        <f>M628-K628</f>
        <v>0</v>
      </c>
      <c r="M628" s="24">
        <f>11475.4-2926.6+2926.6</f>
        <v>11475.4</v>
      </c>
    </row>
    <row r="629" spans="1:13" s="115" customFormat="1" ht="54" customHeight="1" x14ac:dyDescent="0.35">
      <c r="A629" s="11"/>
      <c r="B629" s="496" t="s">
        <v>55</v>
      </c>
      <c r="C629" s="23" t="s">
        <v>422</v>
      </c>
      <c r="D629" s="10" t="s">
        <v>224</v>
      </c>
      <c r="E629" s="10" t="s">
        <v>79</v>
      </c>
      <c r="F629" s="689" t="s">
        <v>39</v>
      </c>
      <c r="G629" s="690" t="s">
        <v>30</v>
      </c>
      <c r="H629" s="690" t="s">
        <v>37</v>
      </c>
      <c r="I629" s="691" t="s">
        <v>48</v>
      </c>
      <c r="J629" s="10" t="s">
        <v>56</v>
      </c>
      <c r="K629" s="24">
        <f>923.8+1.631</f>
        <v>925.43099999999993</v>
      </c>
      <c r="L629" s="24">
        <f>M629-K629</f>
        <v>0</v>
      </c>
      <c r="M629" s="24">
        <f>923.8+1.631</f>
        <v>925.43099999999993</v>
      </c>
    </row>
    <row r="630" spans="1:13" s="115" customFormat="1" ht="18" customHeight="1" x14ac:dyDescent="0.35">
      <c r="A630" s="11"/>
      <c r="B630" s="496" t="s">
        <v>57</v>
      </c>
      <c r="C630" s="23" t="s">
        <v>422</v>
      </c>
      <c r="D630" s="10" t="s">
        <v>224</v>
      </c>
      <c r="E630" s="10" t="s">
        <v>79</v>
      </c>
      <c r="F630" s="689" t="s">
        <v>39</v>
      </c>
      <c r="G630" s="690" t="s">
        <v>30</v>
      </c>
      <c r="H630" s="690" t="s">
        <v>37</v>
      </c>
      <c r="I630" s="691" t="s">
        <v>48</v>
      </c>
      <c r="J630" s="10" t="s">
        <v>58</v>
      </c>
      <c r="K630" s="24">
        <v>17</v>
      </c>
      <c r="L630" s="24">
        <f>M630-K630</f>
        <v>0</v>
      </c>
      <c r="M630" s="24">
        <v>17</v>
      </c>
    </row>
    <row r="631" spans="1:13" s="115" customFormat="1" ht="36" customHeight="1" x14ac:dyDescent="0.35">
      <c r="A631" s="11"/>
      <c r="B631" s="529" t="s">
        <v>461</v>
      </c>
      <c r="C631" s="23" t="s">
        <v>422</v>
      </c>
      <c r="D631" s="10" t="s">
        <v>224</v>
      </c>
      <c r="E631" s="10" t="s">
        <v>79</v>
      </c>
      <c r="F631" s="689" t="s">
        <v>39</v>
      </c>
      <c r="G631" s="690" t="s">
        <v>30</v>
      </c>
      <c r="H631" s="690" t="s">
        <v>37</v>
      </c>
      <c r="I631" s="691" t="s">
        <v>91</v>
      </c>
      <c r="J631" s="10"/>
      <c r="K631" s="24">
        <f>K632+K633+K635+K634</f>
        <v>61621.212</v>
      </c>
      <c r="L631" s="24">
        <f>L632+L633+L635+L634</f>
        <v>0</v>
      </c>
      <c r="M631" s="24">
        <f>M632+M633+M635+M634</f>
        <v>61621.212</v>
      </c>
    </row>
    <row r="632" spans="1:13" s="115" customFormat="1" ht="108" customHeight="1" x14ac:dyDescent="0.35">
      <c r="A632" s="11"/>
      <c r="B632" s="496" t="s">
        <v>49</v>
      </c>
      <c r="C632" s="23" t="s">
        <v>422</v>
      </c>
      <c r="D632" s="10" t="s">
        <v>224</v>
      </c>
      <c r="E632" s="10" t="s">
        <v>79</v>
      </c>
      <c r="F632" s="689" t="s">
        <v>39</v>
      </c>
      <c r="G632" s="690" t="s">
        <v>30</v>
      </c>
      <c r="H632" s="690" t="s">
        <v>37</v>
      </c>
      <c r="I632" s="691" t="s">
        <v>91</v>
      </c>
      <c r="J632" s="10" t="s">
        <v>50</v>
      </c>
      <c r="K632" s="24">
        <f>36731.8+619.3-209.9+209.9-7581.4+7581.4</f>
        <v>37351.100000000006</v>
      </c>
      <c r="L632" s="24">
        <f>M632-K632</f>
        <v>0</v>
      </c>
      <c r="M632" s="24">
        <f>36731.8+619.3-209.9+209.9-7581.4+7581.4</f>
        <v>37351.100000000006</v>
      </c>
    </row>
    <row r="633" spans="1:13" s="115" customFormat="1" ht="54" customHeight="1" x14ac:dyDescent="0.35">
      <c r="A633" s="11"/>
      <c r="B633" s="496" t="s">
        <v>55</v>
      </c>
      <c r="C633" s="23" t="s">
        <v>422</v>
      </c>
      <c r="D633" s="10" t="s">
        <v>224</v>
      </c>
      <c r="E633" s="10" t="s">
        <v>79</v>
      </c>
      <c r="F633" s="689" t="s">
        <v>39</v>
      </c>
      <c r="G633" s="690" t="s">
        <v>30</v>
      </c>
      <c r="H633" s="690" t="s">
        <v>37</v>
      </c>
      <c r="I633" s="691" t="s">
        <v>91</v>
      </c>
      <c r="J633" s="10" t="s">
        <v>56</v>
      </c>
      <c r="K633" s="24">
        <f>4235.7+13.612-18</f>
        <v>4231.3119999999999</v>
      </c>
      <c r="L633" s="24">
        <f>M633-K633</f>
        <v>0</v>
      </c>
      <c r="M633" s="24">
        <f>4235.7+13.612-18</f>
        <v>4231.3119999999999</v>
      </c>
    </row>
    <row r="634" spans="1:13" s="115" customFormat="1" ht="54" customHeight="1" x14ac:dyDescent="0.35">
      <c r="A634" s="11"/>
      <c r="B634" s="496" t="s">
        <v>76</v>
      </c>
      <c r="C634" s="23" t="s">
        <v>422</v>
      </c>
      <c r="D634" s="10" t="s">
        <v>224</v>
      </c>
      <c r="E634" s="10" t="s">
        <v>79</v>
      </c>
      <c r="F634" s="689" t="s">
        <v>39</v>
      </c>
      <c r="G634" s="690" t="s">
        <v>30</v>
      </c>
      <c r="H634" s="690" t="s">
        <v>37</v>
      </c>
      <c r="I634" s="691" t="s">
        <v>91</v>
      </c>
      <c r="J634" s="10" t="s">
        <v>77</v>
      </c>
      <c r="K634" s="24">
        <f>20085.9-52.8</f>
        <v>20033.100000000002</v>
      </c>
      <c r="L634" s="24">
        <f>M634-K634</f>
        <v>0</v>
      </c>
      <c r="M634" s="24">
        <f>20085.9-52.8</f>
        <v>20033.100000000002</v>
      </c>
    </row>
    <row r="635" spans="1:13" s="115" customFormat="1" ht="18" customHeight="1" x14ac:dyDescent="0.35">
      <c r="A635" s="11"/>
      <c r="B635" s="496" t="s">
        <v>57</v>
      </c>
      <c r="C635" s="23" t="s">
        <v>422</v>
      </c>
      <c r="D635" s="10" t="s">
        <v>224</v>
      </c>
      <c r="E635" s="10" t="s">
        <v>79</v>
      </c>
      <c r="F635" s="689" t="s">
        <v>39</v>
      </c>
      <c r="G635" s="690" t="s">
        <v>30</v>
      </c>
      <c r="H635" s="690" t="s">
        <v>37</v>
      </c>
      <c r="I635" s="691" t="s">
        <v>91</v>
      </c>
      <c r="J635" s="10" t="s">
        <v>58</v>
      </c>
      <c r="K635" s="24">
        <v>5.7</v>
      </c>
      <c r="L635" s="24">
        <f>M635-K635</f>
        <v>0</v>
      </c>
      <c r="M635" s="24">
        <v>5.7</v>
      </c>
    </row>
    <row r="636" spans="1:13" s="115" customFormat="1" ht="36" customHeight="1" x14ac:dyDescent="0.35">
      <c r="A636" s="11"/>
      <c r="B636" s="496" t="s">
        <v>208</v>
      </c>
      <c r="C636" s="23" t="s">
        <v>422</v>
      </c>
      <c r="D636" s="10" t="s">
        <v>224</v>
      </c>
      <c r="E636" s="10" t="s">
        <v>79</v>
      </c>
      <c r="F636" s="689" t="s">
        <v>39</v>
      </c>
      <c r="G636" s="690" t="s">
        <v>30</v>
      </c>
      <c r="H636" s="690" t="s">
        <v>37</v>
      </c>
      <c r="I636" s="691" t="s">
        <v>273</v>
      </c>
      <c r="J636" s="10"/>
      <c r="K636" s="24">
        <f>K637+K638</f>
        <v>311.7</v>
      </c>
      <c r="L636" s="24">
        <f>L637+L638</f>
        <v>0</v>
      </c>
      <c r="M636" s="24">
        <f>M637+M638</f>
        <v>311.7</v>
      </c>
    </row>
    <row r="637" spans="1:13" s="115" customFormat="1" ht="54" customHeight="1" x14ac:dyDescent="0.35">
      <c r="A637" s="11"/>
      <c r="B637" s="496" t="s">
        <v>55</v>
      </c>
      <c r="C637" s="23" t="s">
        <v>422</v>
      </c>
      <c r="D637" s="10" t="s">
        <v>224</v>
      </c>
      <c r="E637" s="10" t="s">
        <v>79</v>
      </c>
      <c r="F637" s="689" t="s">
        <v>39</v>
      </c>
      <c r="G637" s="690" t="s">
        <v>30</v>
      </c>
      <c r="H637" s="690" t="s">
        <v>37</v>
      </c>
      <c r="I637" s="691" t="s">
        <v>273</v>
      </c>
      <c r="J637" s="10" t="s">
        <v>56</v>
      </c>
      <c r="K637" s="24">
        <v>10</v>
      </c>
      <c r="L637" s="24">
        <f>M637-K637</f>
        <v>0</v>
      </c>
      <c r="M637" s="24">
        <v>10</v>
      </c>
    </row>
    <row r="638" spans="1:13" s="115" customFormat="1" ht="54" customHeight="1" x14ac:dyDescent="0.35">
      <c r="A638" s="11"/>
      <c r="B638" s="496" t="s">
        <v>76</v>
      </c>
      <c r="C638" s="23" t="s">
        <v>422</v>
      </c>
      <c r="D638" s="10" t="s">
        <v>224</v>
      </c>
      <c r="E638" s="10" t="s">
        <v>79</v>
      </c>
      <c r="F638" s="689" t="s">
        <v>39</v>
      </c>
      <c r="G638" s="690" t="s">
        <v>30</v>
      </c>
      <c r="H638" s="690" t="s">
        <v>37</v>
      </c>
      <c r="I638" s="691" t="s">
        <v>273</v>
      </c>
      <c r="J638" s="10" t="s">
        <v>77</v>
      </c>
      <c r="K638" s="24">
        <f>52.8+248.9</f>
        <v>301.7</v>
      </c>
      <c r="L638" s="24">
        <f>M638-K638</f>
        <v>0</v>
      </c>
      <c r="M638" s="24">
        <f>52.8+248.9</f>
        <v>301.7</v>
      </c>
    </row>
    <row r="639" spans="1:13" s="115" customFormat="1" ht="54" customHeight="1" x14ac:dyDescent="0.35">
      <c r="A639" s="11"/>
      <c r="B639" s="496" t="s">
        <v>569</v>
      </c>
      <c r="C639" s="23" t="s">
        <v>422</v>
      </c>
      <c r="D639" s="10" t="s">
        <v>224</v>
      </c>
      <c r="E639" s="10" t="s">
        <v>79</v>
      </c>
      <c r="F639" s="689" t="s">
        <v>39</v>
      </c>
      <c r="G639" s="690" t="s">
        <v>30</v>
      </c>
      <c r="H639" s="690" t="s">
        <v>37</v>
      </c>
      <c r="I639" s="691" t="s">
        <v>568</v>
      </c>
      <c r="J639" s="10"/>
      <c r="K639" s="24">
        <f>K640</f>
        <v>518.6</v>
      </c>
      <c r="L639" s="24">
        <f>L640</f>
        <v>0</v>
      </c>
      <c r="M639" s="24">
        <f>M640</f>
        <v>518.6</v>
      </c>
    </row>
    <row r="640" spans="1:13" s="115" customFormat="1" ht="54" customHeight="1" x14ac:dyDescent="0.35">
      <c r="A640" s="11"/>
      <c r="B640" s="496" t="s">
        <v>76</v>
      </c>
      <c r="C640" s="23" t="s">
        <v>422</v>
      </c>
      <c r="D640" s="10" t="s">
        <v>224</v>
      </c>
      <c r="E640" s="10" t="s">
        <v>79</v>
      </c>
      <c r="F640" s="689" t="s">
        <v>39</v>
      </c>
      <c r="G640" s="690" t="s">
        <v>30</v>
      </c>
      <c r="H640" s="690" t="s">
        <v>37</v>
      </c>
      <c r="I640" s="691" t="s">
        <v>568</v>
      </c>
      <c r="J640" s="10" t="s">
        <v>77</v>
      </c>
      <c r="K640" s="24">
        <v>518.6</v>
      </c>
      <c r="L640" s="24">
        <f>M640-K640</f>
        <v>0</v>
      </c>
      <c r="M640" s="24">
        <v>518.6</v>
      </c>
    </row>
    <row r="641" spans="1:13" s="115" customFormat="1" ht="108" customHeight="1" x14ac:dyDescent="0.35">
      <c r="A641" s="11"/>
      <c r="B641" s="496" t="s">
        <v>343</v>
      </c>
      <c r="C641" s="23" t="s">
        <v>422</v>
      </c>
      <c r="D641" s="10" t="s">
        <v>224</v>
      </c>
      <c r="E641" s="10" t="s">
        <v>79</v>
      </c>
      <c r="F641" s="689" t="s">
        <v>39</v>
      </c>
      <c r="G641" s="690" t="s">
        <v>30</v>
      </c>
      <c r="H641" s="690" t="s">
        <v>37</v>
      </c>
      <c r="I641" s="691" t="s">
        <v>269</v>
      </c>
      <c r="J641" s="10"/>
      <c r="K641" s="24">
        <f>K642+K643</f>
        <v>7044.7000000000007</v>
      </c>
      <c r="L641" s="24">
        <f>L642+L643</f>
        <v>0</v>
      </c>
      <c r="M641" s="24">
        <f>M642+M643</f>
        <v>7044.7000000000007</v>
      </c>
    </row>
    <row r="642" spans="1:13" s="115" customFormat="1" ht="108" customHeight="1" x14ac:dyDescent="0.35">
      <c r="A642" s="11"/>
      <c r="B642" s="496" t="s">
        <v>49</v>
      </c>
      <c r="C642" s="23" t="s">
        <v>422</v>
      </c>
      <c r="D642" s="10" t="s">
        <v>224</v>
      </c>
      <c r="E642" s="10" t="s">
        <v>79</v>
      </c>
      <c r="F642" s="689" t="s">
        <v>39</v>
      </c>
      <c r="G642" s="690" t="s">
        <v>30</v>
      </c>
      <c r="H642" s="690" t="s">
        <v>37</v>
      </c>
      <c r="I642" s="691" t="s">
        <v>269</v>
      </c>
      <c r="J642" s="10" t="s">
        <v>50</v>
      </c>
      <c r="K642" s="24">
        <v>6762.6</v>
      </c>
      <c r="L642" s="24">
        <f>M642-K642</f>
        <v>0</v>
      </c>
      <c r="M642" s="24">
        <v>6762.6</v>
      </c>
    </row>
    <row r="643" spans="1:13" s="115" customFormat="1" ht="54" customHeight="1" x14ac:dyDescent="0.35">
      <c r="A643" s="11"/>
      <c r="B643" s="496" t="s">
        <v>55</v>
      </c>
      <c r="C643" s="23" t="s">
        <v>422</v>
      </c>
      <c r="D643" s="10" t="s">
        <v>224</v>
      </c>
      <c r="E643" s="10" t="s">
        <v>79</v>
      </c>
      <c r="F643" s="689" t="s">
        <v>39</v>
      </c>
      <c r="G643" s="690" t="s">
        <v>30</v>
      </c>
      <c r="H643" s="690" t="s">
        <v>37</v>
      </c>
      <c r="I643" s="691" t="s">
        <v>269</v>
      </c>
      <c r="J643" s="10" t="s">
        <v>56</v>
      </c>
      <c r="K643" s="24">
        <f>266.5+15.6</f>
        <v>282.10000000000002</v>
      </c>
      <c r="L643" s="24">
        <f>M643-K643</f>
        <v>0</v>
      </c>
      <c r="M643" s="24">
        <f>266.5+15.6</f>
        <v>282.10000000000002</v>
      </c>
    </row>
    <row r="644" spans="1:13" s="115" customFormat="1" ht="54" customHeight="1" x14ac:dyDescent="0.35">
      <c r="A644" s="11"/>
      <c r="B644" s="493" t="s">
        <v>280</v>
      </c>
      <c r="C644" s="214" t="s">
        <v>422</v>
      </c>
      <c r="D644" s="28" t="s">
        <v>224</v>
      </c>
      <c r="E644" s="28" t="s">
        <v>79</v>
      </c>
      <c r="F644" s="206" t="s">
        <v>39</v>
      </c>
      <c r="G644" s="207" t="s">
        <v>30</v>
      </c>
      <c r="H644" s="207" t="s">
        <v>39</v>
      </c>
      <c r="I644" s="208" t="s">
        <v>44</v>
      </c>
      <c r="J644" s="28"/>
      <c r="K644" s="209">
        <f>K645+K647</f>
        <v>7731.7</v>
      </c>
      <c r="L644" s="209">
        <f>L645+L647</f>
        <v>0</v>
      </c>
      <c r="M644" s="209">
        <f>M645+M647</f>
        <v>7731.7</v>
      </c>
    </row>
    <row r="645" spans="1:13" s="115" customFormat="1" ht="36" customHeight="1" x14ac:dyDescent="0.35">
      <c r="A645" s="11"/>
      <c r="B645" s="493" t="s">
        <v>467</v>
      </c>
      <c r="C645" s="214" t="s">
        <v>422</v>
      </c>
      <c r="D645" s="28" t="s">
        <v>224</v>
      </c>
      <c r="E645" s="28" t="s">
        <v>79</v>
      </c>
      <c r="F645" s="206" t="s">
        <v>39</v>
      </c>
      <c r="G645" s="207" t="s">
        <v>30</v>
      </c>
      <c r="H645" s="207" t="s">
        <v>39</v>
      </c>
      <c r="I645" s="208" t="s">
        <v>466</v>
      </c>
      <c r="J645" s="28"/>
      <c r="K645" s="209">
        <f>K646</f>
        <v>2157</v>
      </c>
      <c r="L645" s="209">
        <f>L646</f>
        <v>0</v>
      </c>
      <c r="M645" s="209">
        <f>M646</f>
        <v>2157</v>
      </c>
    </row>
    <row r="646" spans="1:13" s="115" customFormat="1" ht="54" customHeight="1" x14ac:dyDescent="0.35">
      <c r="A646" s="11"/>
      <c r="B646" s="493" t="s">
        <v>76</v>
      </c>
      <c r="C646" s="214" t="s">
        <v>422</v>
      </c>
      <c r="D646" s="28" t="s">
        <v>224</v>
      </c>
      <c r="E646" s="28" t="s">
        <v>79</v>
      </c>
      <c r="F646" s="206" t="s">
        <v>39</v>
      </c>
      <c r="G646" s="207" t="s">
        <v>30</v>
      </c>
      <c r="H646" s="207" t="s">
        <v>39</v>
      </c>
      <c r="I646" s="208" t="s">
        <v>466</v>
      </c>
      <c r="J646" s="28" t="s">
        <v>77</v>
      </c>
      <c r="K646" s="209">
        <f>2107.5+49.5</f>
        <v>2157</v>
      </c>
      <c r="L646" s="24">
        <f>M646-K646</f>
        <v>0</v>
      </c>
      <c r="M646" s="209">
        <f>2107.5+49.5</f>
        <v>2157</v>
      </c>
    </row>
    <row r="647" spans="1:13" s="115" customFormat="1" ht="108" customHeight="1" x14ac:dyDescent="0.35">
      <c r="A647" s="11"/>
      <c r="B647" s="493" t="s">
        <v>437</v>
      </c>
      <c r="C647" s="214" t="s">
        <v>422</v>
      </c>
      <c r="D647" s="28" t="s">
        <v>224</v>
      </c>
      <c r="E647" s="28" t="s">
        <v>79</v>
      </c>
      <c r="F647" s="206" t="s">
        <v>39</v>
      </c>
      <c r="G647" s="207" t="s">
        <v>30</v>
      </c>
      <c r="H647" s="207" t="s">
        <v>39</v>
      </c>
      <c r="I647" s="208" t="s">
        <v>436</v>
      </c>
      <c r="J647" s="28"/>
      <c r="K647" s="209">
        <f>K648</f>
        <v>5574.7</v>
      </c>
      <c r="L647" s="209">
        <f>L648</f>
        <v>0</v>
      </c>
      <c r="M647" s="209">
        <f>M648</f>
        <v>5574.7</v>
      </c>
    </row>
    <row r="648" spans="1:13" s="115" customFormat="1" ht="54" customHeight="1" x14ac:dyDescent="0.35">
      <c r="A648" s="11"/>
      <c r="B648" s="493" t="s">
        <v>76</v>
      </c>
      <c r="C648" s="214" t="s">
        <v>422</v>
      </c>
      <c r="D648" s="28" t="s">
        <v>224</v>
      </c>
      <c r="E648" s="28" t="s">
        <v>79</v>
      </c>
      <c r="F648" s="206" t="s">
        <v>39</v>
      </c>
      <c r="G648" s="207" t="s">
        <v>30</v>
      </c>
      <c r="H648" s="207" t="s">
        <v>39</v>
      </c>
      <c r="I648" s="208" t="s">
        <v>436</v>
      </c>
      <c r="J648" s="28" t="s">
        <v>77</v>
      </c>
      <c r="K648" s="209">
        <v>5574.7</v>
      </c>
      <c r="L648" s="24">
        <f>M648-K648</f>
        <v>0</v>
      </c>
      <c r="M648" s="209">
        <v>5574.7</v>
      </c>
    </row>
    <row r="649" spans="1:13" s="115" customFormat="1" ht="18" customHeight="1" x14ac:dyDescent="0.35">
      <c r="A649" s="11"/>
      <c r="B649" s="545" t="s">
        <v>119</v>
      </c>
      <c r="C649" s="23" t="s">
        <v>422</v>
      </c>
      <c r="D649" s="10" t="s">
        <v>104</v>
      </c>
      <c r="E649" s="10"/>
      <c r="F649" s="689"/>
      <c r="G649" s="690"/>
      <c r="H649" s="690"/>
      <c r="I649" s="691"/>
      <c r="J649" s="10"/>
      <c r="K649" s="24">
        <f>K650+K656</f>
        <v>7605.2</v>
      </c>
      <c r="L649" s="24">
        <f>L650+L656</f>
        <v>0</v>
      </c>
      <c r="M649" s="24">
        <f>M650+M656</f>
        <v>7605.2</v>
      </c>
    </row>
    <row r="650" spans="1:13" s="115" customFormat="1" ht="18" x14ac:dyDescent="0.35">
      <c r="A650" s="11"/>
      <c r="B650" s="496" t="s">
        <v>719</v>
      </c>
      <c r="C650" s="23" t="s">
        <v>422</v>
      </c>
      <c r="D650" s="10" t="s">
        <v>104</v>
      </c>
      <c r="E650" s="10" t="s">
        <v>63</v>
      </c>
      <c r="F650" s="689"/>
      <c r="G650" s="690"/>
      <c r="H650" s="690"/>
      <c r="I650" s="691"/>
      <c r="J650" s="10"/>
      <c r="K650" s="24">
        <f>K651+K663</f>
        <v>920</v>
      </c>
      <c r="L650" s="24">
        <f>L651+L663</f>
        <v>0</v>
      </c>
      <c r="M650" s="24">
        <f>M651+M663</f>
        <v>920</v>
      </c>
    </row>
    <row r="651" spans="1:13" s="115" customFormat="1" ht="54" x14ac:dyDescent="0.35">
      <c r="A651" s="11"/>
      <c r="B651" s="548" t="s">
        <v>294</v>
      </c>
      <c r="C651" s="23" t="s">
        <v>422</v>
      </c>
      <c r="D651" s="10" t="s">
        <v>104</v>
      </c>
      <c r="E651" s="10" t="s">
        <v>63</v>
      </c>
      <c r="F651" s="689" t="s">
        <v>79</v>
      </c>
      <c r="G651" s="690" t="s">
        <v>42</v>
      </c>
      <c r="H651" s="690" t="s">
        <v>43</v>
      </c>
      <c r="I651" s="691" t="s">
        <v>44</v>
      </c>
      <c r="J651" s="10"/>
      <c r="K651" s="24">
        <f t="shared" ref="K651:M654" si="95">K652</f>
        <v>920</v>
      </c>
      <c r="L651" s="24">
        <f t="shared" si="95"/>
        <v>0</v>
      </c>
      <c r="M651" s="24">
        <f t="shared" si="95"/>
        <v>920</v>
      </c>
    </row>
    <row r="652" spans="1:13" s="115" customFormat="1" ht="36" x14ac:dyDescent="0.35">
      <c r="A652" s="11"/>
      <c r="B652" s="496" t="s">
        <v>337</v>
      </c>
      <c r="C652" s="23" t="s">
        <v>422</v>
      </c>
      <c r="D652" s="10" t="s">
        <v>104</v>
      </c>
      <c r="E652" s="10" t="s">
        <v>63</v>
      </c>
      <c r="F652" s="689" t="s">
        <v>79</v>
      </c>
      <c r="G652" s="690" t="s">
        <v>45</v>
      </c>
      <c r="H652" s="690" t="s">
        <v>43</v>
      </c>
      <c r="I652" s="691" t="s">
        <v>44</v>
      </c>
      <c r="J652" s="10"/>
      <c r="K652" s="24">
        <f t="shared" si="95"/>
        <v>920</v>
      </c>
      <c r="L652" s="24">
        <f t="shared" si="95"/>
        <v>0</v>
      </c>
      <c r="M652" s="24">
        <f t="shared" si="95"/>
        <v>920</v>
      </c>
    </row>
    <row r="653" spans="1:13" s="115" customFormat="1" ht="54" x14ac:dyDescent="0.35">
      <c r="A653" s="11"/>
      <c r="B653" s="496" t="s">
        <v>717</v>
      </c>
      <c r="C653" s="23" t="s">
        <v>422</v>
      </c>
      <c r="D653" s="10" t="s">
        <v>104</v>
      </c>
      <c r="E653" s="10" t="s">
        <v>63</v>
      </c>
      <c r="F653" s="689" t="s">
        <v>79</v>
      </c>
      <c r="G653" s="690" t="s">
        <v>45</v>
      </c>
      <c r="H653" s="690" t="s">
        <v>224</v>
      </c>
      <c r="I653" s="691" t="s">
        <v>44</v>
      </c>
      <c r="J653" s="10"/>
      <c r="K653" s="24">
        <f t="shared" si="95"/>
        <v>920</v>
      </c>
      <c r="L653" s="24">
        <f t="shared" si="95"/>
        <v>0</v>
      </c>
      <c r="M653" s="24">
        <f t="shared" si="95"/>
        <v>920</v>
      </c>
    </row>
    <row r="654" spans="1:13" s="115" customFormat="1" ht="72" x14ac:dyDescent="0.35">
      <c r="A654" s="11"/>
      <c r="B654" s="496" t="s">
        <v>718</v>
      </c>
      <c r="C654" s="23" t="s">
        <v>422</v>
      </c>
      <c r="D654" s="10" t="s">
        <v>104</v>
      </c>
      <c r="E654" s="10" t="s">
        <v>63</v>
      </c>
      <c r="F654" s="689" t="s">
        <v>79</v>
      </c>
      <c r="G654" s="690" t="s">
        <v>45</v>
      </c>
      <c r="H654" s="690" t="s">
        <v>224</v>
      </c>
      <c r="I654" s="691" t="s">
        <v>716</v>
      </c>
      <c r="J654" s="10"/>
      <c r="K654" s="24">
        <f t="shared" si="95"/>
        <v>920</v>
      </c>
      <c r="L654" s="24">
        <f t="shared" si="95"/>
        <v>0</v>
      </c>
      <c r="M654" s="24">
        <f t="shared" si="95"/>
        <v>920</v>
      </c>
    </row>
    <row r="655" spans="1:13" s="115" customFormat="1" ht="36" x14ac:dyDescent="0.35">
      <c r="A655" s="11"/>
      <c r="B655" s="503" t="s">
        <v>120</v>
      </c>
      <c r="C655" s="23" t="s">
        <v>422</v>
      </c>
      <c r="D655" s="10" t="s">
        <v>104</v>
      </c>
      <c r="E655" s="10" t="s">
        <v>63</v>
      </c>
      <c r="F655" s="689" t="s">
        <v>79</v>
      </c>
      <c r="G655" s="690" t="s">
        <v>45</v>
      </c>
      <c r="H655" s="690" t="s">
        <v>224</v>
      </c>
      <c r="I655" s="691" t="s">
        <v>716</v>
      </c>
      <c r="J655" s="10" t="s">
        <v>121</v>
      </c>
      <c r="K655" s="24">
        <f>591.2+98.8+230</f>
        <v>920</v>
      </c>
      <c r="L655" s="24">
        <f>M655-K655</f>
        <v>0</v>
      </c>
      <c r="M655" s="24">
        <f>591.2+98.8+230</f>
        <v>920</v>
      </c>
    </row>
    <row r="656" spans="1:13" s="115" customFormat="1" ht="18" x14ac:dyDescent="0.35">
      <c r="A656" s="11"/>
      <c r="B656" s="545" t="s">
        <v>193</v>
      </c>
      <c r="C656" s="23" t="s">
        <v>422</v>
      </c>
      <c r="D656" s="10" t="s">
        <v>104</v>
      </c>
      <c r="E656" s="10" t="s">
        <v>52</v>
      </c>
      <c r="F656" s="689"/>
      <c r="G656" s="690"/>
      <c r="H656" s="690"/>
      <c r="I656" s="691"/>
      <c r="J656" s="10"/>
      <c r="K656" s="24">
        <f t="shared" ref="K656:M656" si="96">K657</f>
        <v>6685.2</v>
      </c>
      <c r="L656" s="24">
        <f t="shared" si="96"/>
        <v>0</v>
      </c>
      <c r="M656" s="24">
        <f t="shared" si="96"/>
        <v>6685.2</v>
      </c>
    </row>
    <row r="657" spans="1:13" s="115" customFormat="1" ht="54" customHeight="1" x14ac:dyDescent="0.35">
      <c r="A657" s="11"/>
      <c r="B657" s="496" t="s">
        <v>205</v>
      </c>
      <c r="C657" s="23" t="s">
        <v>422</v>
      </c>
      <c r="D657" s="10" t="s">
        <v>104</v>
      </c>
      <c r="E657" s="10" t="s">
        <v>52</v>
      </c>
      <c r="F657" s="689" t="s">
        <v>39</v>
      </c>
      <c r="G657" s="690" t="s">
        <v>42</v>
      </c>
      <c r="H657" s="690" t="s">
        <v>43</v>
      </c>
      <c r="I657" s="691" t="s">
        <v>44</v>
      </c>
      <c r="J657" s="10"/>
      <c r="K657" s="24">
        <f t="shared" ref="K657:M659" si="97">K658</f>
        <v>6685.2</v>
      </c>
      <c r="L657" s="24">
        <f t="shared" si="97"/>
        <v>0</v>
      </c>
      <c r="M657" s="24">
        <f t="shared" si="97"/>
        <v>6685.2</v>
      </c>
    </row>
    <row r="658" spans="1:13" s="115" customFormat="1" ht="36" customHeight="1" x14ac:dyDescent="0.35">
      <c r="A658" s="11"/>
      <c r="B658" s="496" t="s">
        <v>206</v>
      </c>
      <c r="C658" s="23" t="s">
        <v>422</v>
      </c>
      <c r="D658" s="10" t="s">
        <v>104</v>
      </c>
      <c r="E658" s="10" t="s">
        <v>52</v>
      </c>
      <c r="F658" s="689" t="s">
        <v>39</v>
      </c>
      <c r="G658" s="690" t="s">
        <v>45</v>
      </c>
      <c r="H658" s="690" t="s">
        <v>43</v>
      </c>
      <c r="I658" s="691" t="s">
        <v>44</v>
      </c>
      <c r="J658" s="10"/>
      <c r="K658" s="24">
        <f t="shared" si="97"/>
        <v>6685.2</v>
      </c>
      <c r="L658" s="24">
        <f t="shared" si="97"/>
        <v>0</v>
      </c>
      <c r="M658" s="24">
        <f t="shared" si="97"/>
        <v>6685.2</v>
      </c>
    </row>
    <row r="659" spans="1:13" s="115" customFormat="1" ht="36" customHeight="1" x14ac:dyDescent="0.35">
      <c r="A659" s="11"/>
      <c r="B659" s="496" t="s">
        <v>266</v>
      </c>
      <c r="C659" s="23" t="s">
        <v>422</v>
      </c>
      <c r="D659" s="10" t="s">
        <v>104</v>
      </c>
      <c r="E659" s="10" t="s">
        <v>52</v>
      </c>
      <c r="F659" s="689" t="s">
        <v>39</v>
      </c>
      <c r="G659" s="690" t="s">
        <v>45</v>
      </c>
      <c r="H659" s="690" t="s">
        <v>37</v>
      </c>
      <c r="I659" s="691" t="s">
        <v>44</v>
      </c>
      <c r="J659" s="10"/>
      <c r="K659" s="24">
        <f t="shared" si="97"/>
        <v>6685.2</v>
      </c>
      <c r="L659" s="24">
        <f t="shared" si="97"/>
        <v>0</v>
      </c>
      <c r="M659" s="24">
        <f t="shared" si="97"/>
        <v>6685.2</v>
      </c>
    </row>
    <row r="660" spans="1:13" s="115" customFormat="1" ht="126" customHeight="1" x14ac:dyDescent="0.35">
      <c r="A660" s="11"/>
      <c r="B660" s="496" t="s">
        <v>282</v>
      </c>
      <c r="C660" s="23" t="s">
        <v>422</v>
      </c>
      <c r="D660" s="10" t="s">
        <v>104</v>
      </c>
      <c r="E660" s="10" t="s">
        <v>52</v>
      </c>
      <c r="F660" s="689" t="s">
        <v>39</v>
      </c>
      <c r="G660" s="690" t="s">
        <v>45</v>
      </c>
      <c r="H660" s="690" t="s">
        <v>37</v>
      </c>
      <c r="I660" s="691" t="s">
        <v>283</v>
      </c>
      <c r="J660" s="10"/>
      <c r="K660" s="24">
        <f>K661+K662</f>
        <v>6685.2</v>
      </c>
      <c r="L660" s="24">
        <f>L661+L662</f>
        <v>0</v>
      </c>
      <c r="M660" s="24">
        <f>M661+M662</f>
        <v>6685.2</v>
      </c>
    </row>
    <row r="661" spans="1:13" s="115" customFormat="1" ht="54" customHeight="1" x14ac:dyDescent="0.35">
      <c r="A661" s="11"/>
      <c r="B661" s="496" t="s">
        <v>55</v>
      </c>
      <c r="C661" s="23" t="s">
        <v>422</v>
      </c>
      <c r="D661" s="10" t="s">
        <v>104</v>
      </c>
      <c r="E661" s="10" t="s">
        <v>52</v>
      </c>
      <c r="F661" s="689" t="s">
        <v>39</v>
      </c>
      <c r="G661" s="690" t="s">
        <v>45</v>
      </c>
      <c r="H661" s="690" t="s">
        <v>37</v>
      </c>
      <c r="I661" s="691" t="s">
        <v>283</v>
      </c>
      <c r="J661" s="10" t="s">
        <v>56</v>
      </c>
      <c r="K661" s="24">
        <f>92.9+5.8</f>
        <v>98.7</v>
      </c>
      <c r="L661" s="24">
        <f>M661-K661</f>
        <v>0</v>
      </c>
      <c r="M661" s="24">
        <f>92.9+5.8</f>
        <v>98.7</v>
      </c>
    </row>
    <row r="662" spans="1:13" s="115" customFormat="1" ht="36" customHeight="1" x14ac:dyDescent="0.35">
      <c r="A662" s="11"/>
      <c r="B662" s="503" t="s">
        <v>120</v>
      </c>
      <c r="C662" s="23" t="s">
        <v>422</v>
      </c>
      <c r="D662" s="10" t="s">
        <v>104</v>
      </c>
      <c r="E662" s="10" t="s">
        <v>52</v>
      </c>
      <c r="F662" s="689" t="s">
        <v>39</v>
      </c>
      <c r="G662" s="690" t="s">
        <v>45</v>
      </c>
      <c r="H662" s="690" t="s">
        <v>37</v>
      </c>
      <c r="I662" s="691" t="s">
        <v>283</v>
      </c>
      <c r="J662" s="10" t="s">
        <v>121</v>
      </c>
      <c r="K662" s="24">
        <f>6200+386.5</f>
        <v>6586.5</v>
      </c>
      <c r="L662" s="24">
        <f>M662-K662</f>
        <v>0</v>
      </c>
      <c r="M662" s="24">
        <f>6200+386.5</f>
        <v>6586.5</v>
      </c>
    </row>
    <row r="663" spans="1:13" s="131" customFormat="1" ht="18" customHeight="1" x14ac:dyDescent="0.35">
      <c r="A663" s="614"/>
      <c r="B663" s="540"/>
      <c r="C663" s="154"/>
      <c r="D663" s="155"/>
      <c r="E663" s="155"/>
      <c r="F663" s="156"/>
      <c r="G663" s="157"/>
      <c r="H663" s="157"/>
      <c r="I663" s="158"/>
      <c r="J663" s="155"/>
      <c r="K663" s="130"/>
      <c r="L663" s="130"/>
      <c r="M663" s="130"/>
    </row>
    <row r="664" spans="1:13" s="111" customFormat="1" ht="52.2" customHeight="1" x14ac:dyDescent="0.3">
      <c r="A664" s="110">
        <v>6</v>
      </c>
      <c r="B664" s="566" t="s">
        <v>9</v>
      </c>
      <c r="C664" s="18" t="s">
        <v>312</v>
      </c>
      <c r="D664" s="19"/>
      <c r="E664" s="19"/>
      <c r="F664" s="20"/>
      <c r="G664" s="21"/>
      <c r="H664" s="21"/>
      <c r="I664" s="22"/>
      <c r="J664" s="19"/>
      <c r="K664" s="32">
        <f>K672+K694+K665</f>
        <v>144875.80000000002</v>
      </c>
      <c r="L664" s="32">
        <f>L672+L694+L665</f>
        <v>673.99999999999977</v>
      </c>
      <c r="M664" s="32">
        <f>M672+M694+M665</f>
        <v>145549.80000000002</v>
      </c>
    </row>
    <row r="665" spans="1:13" s="111" customFormat="1" ht="18" customHeight="1" x14ac:dyDescent="0.35">
      <c r="A665" s="110"/>
      <c r="B665" s="496" t="s">
        <v>36</v>
      </c>
      <c r="C665" s="23" t="s">
        <v>312</v>
      </c>
      <c r="D665" s="28" t="s">
        <v>37</v>
      </c>
      <c r="E665" s="19"/>
      <c r="F665" s="20"/>
      <c r="G665" s="21"/>
      <c r="H665" s="21"/>
      <c r="I665" s="22"/>
      <c r="J665" s="19"/>
      <c r="K665" s="209">
        <f>K666</f>
        <v>54.1</v>
      </c>
      <c r="L665" s="209">
        <f>L666</f>
        <v>0</v>
      </c>
      <c r="M665" s="209">
        <f>M666</f>
        <v>54.1</v>
      </c>
    </row>
    <row r="666" spans="1:13" s="111" customFormat="1" ht="18" customHeight="1" x14ac:dyDescent="0.35">
      <c r="A666" s="110"/>
      <c r="B666" s="496" t="s">
        <v>70</v>
      </c>
      <c r="C666" s="23" t="s">
        <v>312</v>
      </c>
      <c r="D666" s="28" t="s">
        <v>37</v>
      </c>
      <c r="E666" s="28" t="s">
        <v>71</v>
      </c>
      <c r="F666" s="20"/>
      <c r="G666" s="21"/>
      <c r="H666" s="21"/>
      <c r="I666" s="22"/>
      <c r="J666" s="19"/>
      <c r="K666" s="209">
        <f>K668</f>
        <v>54.1</v>
      </c>
      <c r="L666" s="209">
        <f>L668</f>
        <v>0</v>
      </c>
      <c r="M666" s="209">
        <f>M668</f>
        <v>54.1</v>
      </c>
    </row>
    <row r="667" spans="1:13" s="111" customFormat="1" ht="54" customHeight="1" x14ac:dyDescent="0.35">
      <c r="A667" s="110"/>
      <c r="B667" s="546" t="s">
        <v>213</v>
      </c>
      <c r="C667" s="23" t="s">
        <v>312</v>
      </c>
      <c r="D667" s="10" t="s">
        <v>37</v>
      </c>
      <c r="E667" s="10" t="s">
        <v>71</v>
      </c>
      <c r="F667" s="689" t="s">
        <v>63</v>
      </c>
      <c r="G667" s="690" t="s">
        <v>42</v>
      </c>
      <c r="H667" s="690" t="s">
        <v>43</v>
      </c>
      <c r="I667" s="691" t="s">
        <v>44</v>
      </c>
      <c r="J667" s="19"/>
      <c r="K667" s="209">
        <f t="shared" ref="K667:M668" si="98">K668</f>
        <v>54.1</v>
      </c>
      <c r="L667" s="209">
        <f t="shared" si="98"/>
        <v>0</v>
      </c>
      <c r="M667" s="209">
        <f t="shared" si="98"/>
        <v>54.1</v>
      </c>
    </row>
    <row r="668" spans="1:13" s="111" customFormat="1" ht="54" customHeight="1" x14ac:dyDescent="0.35">
      <c r="A668" s="110"/>
      <c r="B668" s="496" t="s">
        <v>216</v>
      </c>
      <c r="C668" s="23" t="s">
        <v>312</v>
      </c>
      <c r="D668" s="28" t="s">
        <v>37</v>
      </c>
      <c r="E668" s="28" t="s">
        <v>71</v>
      </c>
      <c r="F668" s="206" t="s">
        <v>63</v>
      </c>
      <c r="G668" s="207" t="s">
        <v>30</v>
      </c>
      <c r="H668" s="207" t="s">
        <v>43</v>
      </c>
      <c r="I668" s="208" t="s">
        <v>44</v>
      </c>
      <c r="J668" s="19"/>
      <c r="K668" s="209">
        <f t="shared" si="98"/>
        <v>54.1</v>
      </c>
      <c r="L668" s="209">
        <f t="shared" si="98"/>
        <v>0</v>
      </c>
      <c r="M668" s="209">
        <f t="shared" si="98"/>
        <v>54.1</v>
      </c>
    </row>
    <row r="669" spans="1:13" s="111" customFormat="1" ht="36" customHeight="1" x14ac:dyDescent="0.35">
      <c r="A669" s="110"/>
      <c r="B669" s="496" t="s">
        <v>349</v>
      </c>
      <c r="C669" s="23" t="s">
        <v>312</v>
      </c>
      <c r="D669" s="28" t="s">
        <v>37</v>
      </c>
      <c r="E669" s="28" t="s">
        <v>71</v>
      </c>
      <c r="F669" s="206" t="s">
        <v>63</v>
      </c>
      <c r="G669" s="207" t="s">
        <v>30</v>
      </c>
      <c r="H669" s="207" t="s">
        <v>39</v>
      </c>
      <c r="I669" s="208" t="s">
        <v>44</v>
      </c>
      <c r="J669" s="19"/>
      <c r="K669" s="209">
        <f t="shared" ref="K669:M670" si="99">K670</f>
        <v>54.1</v>
      </c>
      <c r="L669" s="209">
        <f t="shared" si="99"/>
        <v>0</v>
      </c>
      <c r="M669" s="209">
        <f t="shared" si="99"/>
        <v>54.1</v>
      </c>
    </row>
    <row r="670" spans="1:13" s="111" customFormat="1" ht="54" customHeight="1" x14ac:dyDescent="0.35">
      <c r="A670" s="110"/>
      <c r="B670" s="496" t="s">
        <v>350</v>
      </c>
      <c r="C670" s="23" t="s">
        <v>312</v>
      </c>
      <c r="D670" s="28" t="s">
        <v>37</v>
      </c>
      <c r="E670" s="28" t="s">
        <v>71</v>
      </c>
      <c r="F670" s="206" t="s">
        <v>63</v>
      </c>
      <c r="G670" s="207" t="s">
        <v>30</v>
      </c>
      <c r="H670" s="207" t="s">
        <v>39</v>
      </c>
      <c r="I670" s="208" t="s">
        <v>105</v>
      </c>
      <c r="J670" s="19"/>
      <c r="K670" s="209">
        <f t="shared" si="99"/>
        <v>54.1</v>
      </c>
      <c r="L670" s="209">
        <f t="shared" si="99"/>
        <v>0</v>
      </c>
      <c r="M670" s="209">
        <f t="shared" si="99"/>
        <v>54.1</v>
      </c>
    </row>
    <row r="671" spans="1:13" s="111" customFormat="1" ht="54" customHeight="1" x14ac:dyDescent="0.35">
      <c r="A671" s="110"/>
      <c r="B671" s="496" t="s">
        <v>55</v>
      </c>
      <c r="C671" s="23" t="s">
        <v>312</v>
      </c>
      <c r="D671" s="28" t="s">
        <v>37</v>
      </c>
      <c r="E671" s="28" t="s">
        <v>71</v>
      </c>
      <c r="F671" s="206" t="s">
        <v>63</v>
      </c>
      <c r="G671" s="207" t="s">
        <v>30</v>
      </c>
      <c r="H671" s="207" t="s">
        <v>39</v>
      </c>
      <c r="I671" s="208" t="s">
        <v>105</v>
      </c>
      <c r="J671" s="28" t="s">
        <v>56</v>
      </c>
      <c r="K671" s="209">
        <v>54.1</v>
      </c>
      <c r="L671" s="24">
        <f>M671-K671</f>
        <v>0</v>
      </c>
      <c r="M671" s="209">
        <v>54.1</v>
      </c>
    </row>
    <row r="672" spans="1:13" s="7" customFormat="1" ht="18" customHeight="1" x14ac:dyDescent="0.35">
      <c r="A672" s="11"/>
      <c r="B672" s="546" t="s">
        <v>179</v>
      </c>
      <c r="C672" s="23" t="s">
        <v>312</v>
      </c>
      <c r="D672" s="10" t="s">
        <v>224</v>
      </c>
      <c r="E672" s="10"/>
      <c r="F672" s="689"/>
      <c r="G672" s="690"/>
      <c r="H672" s="690"/>
      <c r="I672" s="691"/>
      <c r="J672" s="10"/>
      <c r="K672" s="24">
        <f>K673+K685</f>
        <v>77441.700000000012</v>
      </c>
      <c r="L672" s="24">
        <f>L673+L685</f>
        <v>0</v>
      </c>
      <c r="M672" s="24">
        <f>M673+M685</f>
        <v>77441.700000000012</v>
      </c>
    </row>
    <row r="673" spans="1:13" s="111" customFormat="1" ht="18" customHeight="1" x14ac:dyDescent="0.35">
      <c r="A673" s="11"/>
      <c r="B673" s="546" t="s">
        <v>347</v>
      </c>
      <c r="C673" s="23" t="s">
        <v>312</v>
      </c>
      <c r="D673" s="10" t="s">
        <v>224</v>
      </c>
      <c r="E673" s="10" t="s">
        <v>63</v>
      </c>
      <c r="F673" s="689"/>
      <c r="G673" s="690"/>
      <c r="H673" s="690"/>
      <c r="I673" s="691"/>
      <c r="J673" s="10"/>
      <c r="K673" s="24">
        <f t="shared" ref="K673:M674" si="100">K674</f>
        <v>76691.100000000006</v>
      </c>
      <c r="L673" s="24">
        <f t="shared" si="100"/>
        <v>0</v>
      </c>
      <c r="M673" s="24">
        <f t="shared" si="100"/>
        <v>76691.100000000006</v>
      </c>
    </row>
    <row r="674" spans="1:13" s="111" customFormat="1" ht="54" customHeight="1" x14ac:dyDescent="0.35">
      <c r="A674" s="11"/>
      <c r="B674" s="546" t="s">
        <v>213</v>
      </c>
      <c r="C674" s="23" t="s">
        <v>312</v>
      </c>
      <c r="D674" s="10" t="s">
        <v>224</v>
      </c>
      <c r="E674" s="10" t="s">
        <v>63</v>
      </c>
      <c r="F674" s="689" t="s">
        <v>63</v>
      </c>
      <c r="G674" s="690" t="s">
        <v>42</v>
      </c>
      <c r="H674" s="690" t="s">
        <v>43</v>
      </c>
      <c r="I674" s="691" t="s">
        <v>44</v>
      </c>
      <c r="J674" s="10"/>
      <c r="K674" s="24">
        <f t="shared" si="100"/>
        <v>76691.100000000006</v>
      </c>
      <c r="L674" s="24">
        <f t="shared" si="100"/>
        <v>0</v>
      </c>
      <c r="M674" s="24">
        <f t="shared" si="100"/>
        <v>76691.100000000006</v>
      </c>
    </row>
    <row r="675" spans="1:13" s="111" customFormat="1" ht="72" customHeight="1" x14ac:dyDescent="0.35">
      <c r="A675" s="11"/>
      <c r="B675" s="546" t="s">
        <v>214</v>
      </c>
      <c r="C675" s="23" t="s">
        <v>312</v>
      </c>
      <c r="D675" s="10" t="s">
        <v>224</v>
      </c>
      <c r="E675" s="10" t="s">
        <v>63</v>
      </c>
      <c r="F675" s="689" t="s">
        <v>63</v>
      </c>
      <c r="G675" s="690" t="s">
        <v>45</v>
      </c>
      <c r="H675" s="690" t="s">
        <v>43</v>
      </c>
      <c r="I675" s="691" t="s">
        <v>44</v>
      </c>
      <c r="J675" s="10"/>
      <c r="K675" s="24">
        <f>K676</f>
        <v>76691.100000000006</v>
      </c>
      <c r="L675" s="24">
        <f>L676</f>
        <v>0</v>
      </c>
      <c r="M675" s="24">
        <f>M676</f>
        <v>76691.100000000006</v>
      </c>
    </row>
    <row r="676" spans="1:13" s="111" customFormat="1" ht="36" customHeight="1" x14ac:dyDescent="0.35">
      <c r="A676" s="11"/>
      <c r="B676" s="546" t="s">
        <v>275</v>
      </c>
      <c r="C676" s="23" t="s">
        <v>312</v>
      </c>
      <c r="D676" s="10" t="s">
        <v>224</v>
      </c>
      <c r="E676" s="10" t="s">
        <v>63</v>
      </c>
      <c r="F676" s="689" t="s">
        <v>63</v>
      </c>
      <c r="G676" s="690" t="s">
        <v>45</v>
      </c>
      <c r="H676" s="690" t="s">
        <v>37</v>
      </c>
      <c r="I676" s="691" t="s">
        <v>44</v>
      </c>
      <c r="J676" s="10"/>
      <c r="K676" s="24">
        <f>K677+K681+K679+K683</f>
        <v>76691.100000000006</v>
      </c>
      <c r="L676" s="24">
        <f>L677+L681+L679+L683</f>
        <v>0</v>
      </c>
      <c r="M676" s="24">
        <f>M677+M681+M679+M683</f>
        <v>76691.100000000006</v>
      </c>
    </row>
    <row r="677" spans="1:13" s="111" customFormat="1" ht="36" customHeight="1" x14ac:dyDescent="0.35">
      <c r="A677" s="11"/>
      <c r="B677" s="529" t="s">
        <v>461</v>
      </c>
      <c r="C677" s="23" t="s">
        <v>312</v>
      </c>
      <c r="D677" s="10" t="s">
        <v>224</v>
      </c>
      <c r="E677" s="10" t="s">
        <v>63</v>
      </c>
      <c r="F677" s="689" t="s">
        <v>63</v>
      </c>
      <c r="G677" s="690" t="s">
        <v>45</v>
      </c>
      <c r="H677" s="690" t="s">
        <v>37</v>
      </c>
      <c r="I677" s="691" t="s">
        <v>91</v>
      </c>
      <c r="J677" s="10"/>
      <c r="K677" s="24">
        <f>K678</f>
        <v>60082</v>
      </c>
      <c r="L677" s="24">
        <f>L678</f>
        <v>0</v>
      </c>
      <c r="M677" s="24">
        <f>M678</f>
        <v>60082</v>
      </c>
    </row>
    <row r="678" spans="1:13" s="7" customFormat="1" ht="54" customHeight="1" x14ac:dyDescent="0.35">
      <c r="A678" s="11"/>
      <c r="B678" s="503" t="s">
        <v>76</v>
      </c>
      <c r="C678" s="23" t="s">
        <v>312</v>
      </c>
      <c r="D678" s="10" t="s">
        <v>224</v>
      </c>
      <c r="E678" s="10" t="s">
        <v>63</v>
      </c>
      <c r="F678" s="689" t="s">
        <v>63</v>
      </c>
      <c r="G678" s="690" t="s">
        <v>45</v>
      </c>
      <c r="H678" s="690" t="s">
        <v>37</v>
      </c>
      <c r="I678" s="691" t="s">
        <v>91</v>
      </c>
      <c r="J678" s="10" t="s">
        <v>77</v>
      </c>
      <c r="K678" s="24">
        <f>56997.1+186.2+126.9+1050.4+292.9+88+504.2+836.3</f>
        <v>60082</v>
      </c>
      <c r="L678" s="24">
        <f>M678-K678</f>
        <v>0</v>
      </c>
      <c r="M678" s="24">
        <f>56997.1+186.2+126.9+1050.4+292.9+88+504.2+836.3</f>
        <v>60082</v>
      </c>
    </row>
    <row r="679" spans="1:13" s="7" customFormat="1" ht="18" customHeight="1" x14ac:dyDescent="0.35">
      <c r="A679" s="11"/>
      <c r="B679" s="503" t="s">
        <v>462</v>
      </c>
      <c r="C679" s="23" t="s">
        <v>312</v>
      </c>
      <c r="D679" s="10" t="s">
        <v>224</v>
      </c>
      <c r="E679" s="10" t="s">
        <v>63</v>
      </c>
      <c r="F679" s="689" t="s">
        <v>63</v>
      </c>
      <c r="G679" s="690" t="s">
        <v>45</v>
      </c>
      <c r="H679" s="690" t="s">
        <v>37</v>
      </c>
      <c r="I679" s="691" t="s">
        <v>379</v>
      </c>
      <c r="J679" s="10"/>
      <c r="K679" s="24">
        <f>K680</f>
        <v>6165</v>
      </c>
      <c r="L679" s="24">
        <f>L680</f>
        <v>0</v>
      </c>
      <c r="M679" s="24">
        <f>M680</f>
        <v>6165</v>
      </c>
    </row>
    <row r="680" spans="1:13" s="7" customFormat="1" ht="54" customHeight="1" x14ac:dyDescent="0.35">
      <c r="A680" s="11"/>
      <c r="B680" s="503" t="s">
        <v>76</v>
      </c>
      <c r="C680" s="23" t="s">
        <v>312</v>
      </c>
      <c r="D680" s="10" t="s">
        <v>224</v>
      </c>
      <c r="E680" s="10" t="s">
        <v>63</v>
      </c>
      <c r="F680" s="689" t="s">
        <v>63</v>
      </c>
      <c r="G680" s="690" t="s">
        <v>45</v>
      </c>
      <c r="H680" s="690" t="s">
        <v>37</v>
      </c>
      <c r="I680" s="691" t="s">
        <v>379</v>
      </c>
      <c r="J680" s="10" t="s">
        <v>77</v>
      </c>
      <c r="K680" s="24">
        <f>3380.6+28.4+2046.7+127.1-318.5+1470.7-119-147-121.2-182.8</f>
        <v>6165</v>
      </c>
      <c r="L680" s="24">
        <f>M680-K680</f>
        <v>0</v>
      </c>
      <c r="M680" s="24">
        <f>3380.6+28.4+2046.7+127.1-318.5+1470.7-119-147-121.2-182.8</f>
        <v>6165</v>
      </c>
    </row>
    <row r="681" spans="1:13" s="7" customFormat="1" ht="36" customHeight="1" x14ac:dyDescent="0.35">
      <c r="A681" s="11"/>
      <c r="B681" s="503" t="s">
        <v>313</v>
      </c>
      <c r="C681" s="23" t="s">
        <v>312</v>
      </c>
      <c r="D681" s="10" t="s">
        <v>224</v>
      </c>
      <c r="E681" s="10" t="s">
        <v>63</v>
      </c>
      <c r="F681" s="689" t="s">
        <v>63</v>
      </c>
      <c r="G681" s="690" t="s">
        <v>45</v>
      </c>
      <c r="H681" s="690" t="s">
        <v>37</v>
      </c>
      <c r="I681" s="691" t="s">
        <v>314</v>
      </c>
      <c r="J681" s="10"/>
      <c r="K681" s="24">
        <f>K682</f>
        <v>7149.5</v>
      </c>
      <c r="L681" s="24">
        <f>L682</f>
        <v>0</v>
      </c>
      <c r="M681" s="24">
        <f>M682</f>
        <v>7149.5</v>
      </c>
    </row>
    <row r="682" spans="1:13" s="7" customFormat="1" ht="54" customHeight="1" x14ac:dyDescent="0.35">
      <c r="A682" s="11"/>
      <c r="B682" s="503" t="s">
        <v>76</v>
      </c>
      <c r="C682" s="23" t="s">
        <v>312</v>
      </c>
      <c r="D682" s="10" t="s">
        <v>224</v>
      </c>
      <c r="E682" s="10" t="s">
        <v>63</v>
      </c>
      <c r="F682" s="689" t="s">
        <v>63</v>
      </c>
      <c r="G682" s="690" t="s">
        <v>45</v>
      </c>
      <c r="H682" s="690" t="s">
        <v>37</v>
      </c>
      <c r="I682" s="691" t="s">
        <v>314</v>
      </c>
      <c r="J682" s="10" t="s">
        <v>77</v>
      </c>
      <c r="K682" s="24">
        <f>5517+600+12.6+131.4+318.5+55.9+63.1+147+55.8+65.4+182.8</f>
        <v>7149.5</v>
      </c>
      <c r="L682" s="24">
        <f>M682-K682</f>
        <v>0</v>
      </c>
      <c r="M682" s="24">
        <f>5517+600+12.6+131.4+318.5+55.9+63.1+147+55.8+65.4+182.8</f>
        <v>7149.5</v>
      </c>
    </row>
    <row r="683" spans="1:13" s="7" customFormat="1" ht="54" customHeight="1" x14ac:dyDescent="0.35">
      <c r="A683" s="11"/>
      <c r="B683" s="579" t="s">
        <v>681</v>
      </c>
      <c r="C683" s="23" t="s">
        <v>312</v>
      </c>
      <c r="D683" s="10" t="s">
        <v>224</v>
      </c>
      <c r="E683" s="10" t="s">
        <v>63</v>
      </c>
      <c r="F683" s="689" t="s">
        <v>63</v>
      </c>
      <c r="G683" s="690" t="s">
        <v>45</v>
      </c>
      <c r="H683" s="690" t="s">
        <v>37</v>
      </c>
      <c r="I683" s="691" t="s">
        <v>680</v>
      </c>
      <c r="J683" s="10"/>
      <c r="K683" s="24">
        <f>K684</f>
        <v>3294.6</v>
      </c>
      <c r="L683" s="24">
        <f>L684</f>
        <v>0</v>
      </c>
      <c r="M683" s="24">
        <f>M684</f>
        <v>3294.6</v>
      </c>
    </row>
    <row r="684" spans="1:13" s="7" customFormat="1" ht="54" customHeight="1" x14ac:dyDescent="0.35">
      <c r="A684" s="11"/>
      <c r="B684" s="503" t="s">
        <v>76</v>
      </c>
      <c r="C684" s="23" t="s">
        <v>312</v>
      </c>
      <c r="D684" s="10" t="s">
        <v>224</v>
      </c>
      <c r="E684" s="10" t="s">
        <v>63</v>
      </c>
      <c r="F684" s="689" t="s">
        <v>63</v>
      </c>
      <c r="G684" s="690" t="s">
        <v>45</v>
      </c>
      <c r="H684" s="690" t="s">
        <v>37</v>
      </c>
      <c r="I684" s="691" t="s">
        <v>680</v>
      </c>
      <c r="J684" s="10" t="s">
        <v>77</v>
      </c>
      <c r="K684" s="24">
        <f>750+2544.6</f>
        <v>3294.6</v>
      </c>
      <c r="L684" s="24">
        <f>M684-K684</f>
        <v>0</v>
      </c>
      <c r="M684" s="24">
        <f>750+2544.6</f>
        <v>3294.6</v>
      </c>
    </row>
    <row r="685" spans="1:13" s="7" customFormat="1" ht="18" customHeight="1" x14ac:dyDescent="0.35">
      <c r="A685" s="11"/>
      <c r="B685" s="496" t="s">
        <v>186</v>
      </c>
      <c r="C685" s="23" t="s">
        <v>312</v>
      </c>
      <c r="D685" s="10" t="s">
        <v>224</v>
      </c>
      <c r="E685" s="10" t="s">
        <v>79</v>
      </c>
      <c r="F685" s="689"/>
      <c r="G685" s="690"/>
      <c r="H685" s="690"/>
      <c r="I685" s="691"/>
      <c r="J685" s="10"/>
      <c r="K685" s="24">
        <f t="shared" ref="K685:M689" si="101">K686</f>
        <v>750.6</v>
      </c>
      <c r="L685" s="24">
        <f t="shared" si="101"/>
        <v>0</v>
      </c>
      <c r="M685" s="24">
        <f t="shared" si="101"/>
        <v>750.6</v>
      </c>
    </row>
    <row r="686" spans="1:13" s="7" customFormat="1" ht="54" customHeight="1" x14ac:dyDescent="0.35">
      <c r="A686" s="11"/>
      <c r="B686" s="546" t="s">
        <v>213</v>
      </c>
      <c r="C686" s="23" t="s">
        <v>312</v>
      </c>
      <c r="D686" s="10" t="s">
        <v>224</v>
      </c>
      <c r="E686" s="10" t="s">
        <v>79</v>
      </c>
      <c r="F686" s="689" t="s">
        <v>63</v>
      </c>
      <c r="G686" s="690" t="s">
        <v>42</v>
      </c>
      <c r="H686" s="690" t="s">
        <v>43</v>
      </c>
      <c r="I686" s="691" t="s">
        <v>44</v>
      </c>
      <c r="J686" s="10"/>
      <c r="K686" s="24">
        <f t="shared" si="101"/>
        <v>750.6</v>
      </c>
      <c r="L686" s="24">
        <f t="shared" si="101"/>
        <v>0</v>
      </c>
      <c r="M686" s="24">
        <f t="shared" si="101"/>
        <v>750.6</v>
      </c>
    </row>
    <row r="687" spans="1:13" s="7" customFormat="1" ht="72" customHeight="1" x14ac:dyDescent="0.35">
      <c r="A687" s="11"/>
      <c r="B687" s="546" t="s">
        <v>214</v>
      </c>
      <c r="C687" s="23" t="s">
        <v>312</v>
      </c>
      <c r="D687" s="10" t="s">
        <v>224</v>
      </c>
      <c r="E687" s="10" t="s">
        <v>79</v>
      </c>
      <c r="F687" s="689" t="s">
        <v>63</v>
      </c>
      <c r="G687" s="690" t="s">
        <v>45</v>
      </c>
      <c r="H687" s="690" t="s">
        <v>43</v>
      </c>
      <c r="I687" s="691" t="s">
        <v>44</v>
      </c>
      <c r="J687" s="10"/>
      <c r="K687" s="24">
        <f>K688+K691</f>
        <v>750.6</v>
      </c>
      <c r="L687" s="24">
        <f>L688+L691</f>
        <v>0</v>
      </c>
      <c r="M687" s="24">
        <f>M688+M691</f>
        <v>750.6</v>
      </c>
    </row>
    <row r="688" spans="1:13" s="7" customFormat="1" ht="18" customHeight="1" x14ac:dyDescent="0.35">
      <c r="A688" s="11"/>
      <c r="B688" s="503" t="s">
        <v>276</v>
      </c>
      <c r="C688" s="23" t="s">
        <v>312</v>
      </c>
      <c r="D688" s="10" t="s">
        <v>224</v>
      </c>
      <c r="E688" s="10" t="s">
        <v>79</v>
      </c>
      <c r="F688" s="689" t="s">
        <v>63</v>
      </c>
      <c r="G688" s="690" t="s">
        <v>45</v>
      </c>
      <c r="H688" s="690" t="s">
        <v>39</v>
      </c>
      <c r="I688" s="691" t="s">
        <v>44</v>
      </c>
      <c r="J688" s="10"/>
      <c r="K688" s="24">
        <f t="shared" si="101"/>
        <v>450</v>
      </c>
      <c r="L688" s="24">
        <f t="shared" si="101"/>
        <v>0</v>
      </c>
      <c r="M688" s="24">
        <f t="shared" si="101"/>
        <v>450</v>
      </c>
    </row>
    <row r="689" spans="1:13" s="7" customFormat="1" ht="36" customHeight="1" x14ac:dyDescent="0.35">
      <c r="A689" s="11"/>
      <c r="B689" s="503" t="s">
        <v>211</v>
      </c>
      <c r="C689" s="23" t="s">
        <v>312</v>
      </c>
      <c r="D689" s="10" t="s">
        <v>224</v>
      </c>
      <c r="E689" s="10" t="s">
        <v>79</v>
      </c>
      <c r="F689" s="689" t="s">
        <v>63</v>
      </c>
      <c r="G689" s="690" t="s">
        <v>45</v>
      </c>
      <c r="H689" s="690" t="s">
        <v>39</v>
      </c>
      <c r="I689" s="691" t="s">
        <v>278</v>
      </c>
      <c r="J689" s="10"/>
      <c r="K689" s="24">
        <f t="shared" si="101"/>
        <v>450</v>
      </c>
      <c r="L689" s="24">
        <f t="shared" si="101"/>
        <v>0</v>
      </c>
      <c r="M689" s="24">
        <f t="shared" si="101"/>
        <v>450</v>
      </c>
    </row>
    <row r="690" spans="1:13" s="7" customFormat="1" ht="36" customHeight="1" x14ac:dyDescent="0.35">
      <c r="A690" s="11"/>
      <c r="B690" s="503" t="s">
        <v>120</v>
      </c>
      <c r="C690" s="23" t="s">
        <v>312</v>
      </c>
      <c r="D690" s="10" t="s">
        <v>224</v>
      </c>
      <c r="E690" s="10" t="s">
        <v>79</v>
      </c>
      <c r="F690" s="689" t="s">
        <v>63</v>
      </c>
      <c r="G690" s="690" t="s">
        <v>45</v>
      </c>
      <c r="H690" s="690" t="s">
        <v>39</v>
      </c>
      <c r="I690" s="691" t="s">
        <v>278</v>
      </c>
      <c r="J690" s="10" t="s">
        <v>121</v>
      </c>
      <c r="K690" s="24">
        <f>375+75</f>
        <v>450</v>
      </c>
      <c r="L690" s="24">
        <f>M690-K690</f>
        <v>0</v>
      </c>
      <c r="M690" s="24">
        <f>375+75</f>
        <v>450</v>
      </c>
    </row>
    <row r="691" spans="1:13" s="7" customFormat="1" ht="54" customHeight="1" x14ac:dyDescent="0.35">
      <c r="A691" s="11"/>
      <c r="B691" s="503" t="s">
        <v>280</v>
      </c>
      <c r="C691" s="23" t="s">
        <v>312</v>
      </c>
      <c r="D691" s="10" t="s">
        <v>224</v>
      </c>
      <c r="E691" s="10" t="s">
        <v>79</v>
      </c>
      <c r="F691" s="689" t="s">
        <v>63</v>
      </c>
      <c r="G691" s="690" t="s">
        <v>45</v>
      </c>
      <c r="H691" s="690" t="s">
        <v>65</v>
      </c>
      <c r="I691" s="691" t="s">
        <v>44</v>
      </c>
      <c r="J691" s="10"/>
      <c r="K691" s="24">
        <f t="shared" ref="K691:M692" si="102">K692</f>
        <v>300.60000000000002</v>
      </c>
      <c r="L691" s="24">
        <f t="shared" si="102"/>
        <v>0</v>
      </c>
      <c r="M691" s="24">
        <f t="shared" si="102"/>
        <v>300.60000000000002</v>
      </c>
    </row>
    <row r="692" spans="1:13" s="7" customFormat="1" ht="36" customHeight="1" x14ac:dyDescent="0.35">
      <c r="A692" s="11"/>
      <c r="B692" s="503" t="s">
        <v>467</v>
      </c>
      <c r="C692" s="23" t="s">
        <v>312</v>
      </c>
      <c r="D692" s="10" t="s">
        <v>224</v>
      </c>
      <c r="E692" s="10" t="s">
        <v>79</v>
      </c>
      <c r="F692" s="689" t="s">
        <v>63</v>
      </c>
      <c r="G692" s="690" t="s">
        <v>45</v>
      </c>
      <c r="H692" s="690" t="s">
        <v>65</v>
      </c>
      <c r="I692" s="691" t="s">
        <v>466</v>
      </c>
      <c r="J692" s="10"/>
      <c r="K692" s="24">
        <f t="shared" si="102"/>
        <v>300.60000000000002</v>
      </c>
      <c r="L692" s="24">
        <f t="shared" si="102"/>
        <v>0</v>
      </c>
      <c r="M692" s="24">
        <f t="shared" si="102"/>
        <v>300.60000000000002</v>
      </c>
    </row>
    <row r="693" spans="1:13" s="7" customFormat="1" ht="54" customHeight="1" x14ac:dyDescent="0.35">
      <c r="A693" s="11"/>
      <c r="B693" s="503" t="s">
        <v>76</v>
      </c>
      <c r="C693" s="23" t="s">
        <v>312</v>
      </c>
      <c r="D693" s="10" t="s">
        <v>224</v>
      </c>
      <c r="E693" s="10" t="s">
        <v>79</v>
      </c>
      <c r="F693" s="689" t="s">
        <v>63</v>
      </c>
      <c r="G693" s="690" t="s">
        <v>45</v>
      </c>
      <c r="H693" s="690" t="s">
        <v>65</v>
      </c>
      <c r="I693" s="691" t="s">
        <v>466</v>
      </c>
      <c r="J693" s="10" t="s">
        <v>77</v>
      </c>
      <c r="K693" s="24">
        <v>300.60000000000002</v>
      </c>
      <c r="L693" s="24">
        <f>M693-K693</f>
        <v>0</v>
      </c>
      <c r="M693" s="24">
        <v>300.60000000000002</v>
      </c>
    </row>
    <row r="694" spans="1:13" s="7" customFormat="1" ht="18" customHeight="1" x14ac:dyDescent="0.35">
      <c r="A694" s="11"/>
      <c r="B694" s="496" t="s">
        <v>188</v>
      </c>
      <c r="C694" s="23" t="s">
        <v>312</v>
      </c>
      <c r="D694" s="10" t="s">
        <v>226</v>
      </c>
      <c r="E694" s="10"/>
      <c r="F694" s="689"/>
      <c r="G694" s="690"/>
      <c r="H694" s="690"/>
      <c r="I694" s="691"/>
      <c r="J694" s="10"/>
      <c r="K694" s="24">
        <f>K695+K730</f>
        <v>67380</v>
      </c>
      <c r="L694" s="24">
        <f>L695+L730</f>
        <v>673.99999999999977</v>
      </c>
      <c r="M694" s="24">
        <f>M695+M730</f>
        <v>68054</v>
      </c>
    </row>
    <row r="695" spans="1:13" s="7" customFormat="1" ht="18" customHeight="1" x14ac:dyDescent="0.35">
      <c r="A695" s="11"/>
      <c r="B695" s="496" t="s">
        <v>190</v>
      </c>
      <c r="C695" s="23" t="s">
        <v>312</v>
      </c>
      <c r="D695" s="10" t="s">
        <v>226</v>
      </c>
      <c r="E695" s="10" t="s">
        <v>37</v>
      </c>
      <c r="F695" s="689"/>
      <c r="G695" s="690"/>
      <c r="H695" s="690"/>
      <c r="I695" s="691"/>
      <c r="J695" s="10"/>
      <c r="K695" s="24">
        <f>K696</f>
        <v>54957.999999999993</v>
      </c>
      <c r="L695" s="24">
        <f>L696</f>
        <v>673.99999999999977</v>
      </c>
      <c r="M695" s="24">
        <f>M696</f>
        <v>55631.999999999993</v>
      </c>
    </row>
    <row r="696" spans="1:13" s="7" customFormat="1" ht="54" customHeight="1" x14ac:dyDescent="0.35">
      <c r="A696" s="11"/>
      <c r="B696" s="546" t="s">
        <v>213</v>
      </c>
      <c r="C696" s="23" t="s">
        <v>312</v>
      </c>
      <c r="D696" s="10" t="s">
        <v>226</v>
      </c>
      <c r="E696" s="10" t="s">
        <v>37</v>
      </c>
      <c r="F696" s="689" t="s">
        <v>63</v>
      </c>
      <c r="G696" s="690" t="s">
        <v>42</v>
      </c>
      <c r="H696" s="690" t="s">
        <v>43</v>
      </c>
      <c r="I696" s="691" t="s">
        <v>44</v>
      </c>
      <c r="J696" s="10"/>
      <c r="K696" s="24">
        <f>K697+K723</f>
        <v>54957.999999999993</v>
      </c>
      <c r="L696" s="24">
        <f>L697+L723</f>
        <v>673.99999999999977</v>
      </c>
      <c r="M696" s="24">
        <f>M697+M723</f>
        <v>55631.999999999993</v>
      </c>
    </row>
    <row r="697" spans="1:13" s="7" customFormat="1" ht="72" customHeight="1" x14ac:dyDescent="0.35">
      <c r="A697" s="11"/>
      <c r="B697" s="546" t="s">
        <v>214</v>
      </c>
      <c r="C697" s="23" t="s">
        <v>312</v>
      </c>
      <c r="D697" s="10" t="s">
        <v>226</v>
      </c>
      <c r="E697" s="10" t="s">
        <v>37</v>
      </c>
      <c r="F697" s="27" t="s">
        <v>63</v>
      </c>
      <c r="G697" s="89" t="s">
        <v>45</v>
      </c>
      <c r="H697" s="89" t="s">
        <v>43</v>
      </c>
      <c r="I697" s="90" t="s">
        <v>44</v>
      </c>
      <c r="J697" s="91"/>
      <c r="K697" s="24">
        <f>K698+K711</f>
        <v>53094.799999999996</v>
      </c>
      <c r="L697" s="24">
        <f>L698+L711</f>
        <v>0</v>
      </c>
      <c r="M697" s="24">
        <f>M698+M711</f>
        <v>53094.799999999996</v>
      </c>
    </row>
    <row r="698" spans="1:13" s="7" customFormat="1" ht="18" customHeight="1" x14ac:dyDescent="0.35">
      <c r="A698" s="11"/>
      <c r="B698" s="496" t="s">
        <v>315</v>
      </c>
      <c r="C698" s="23" t="s">
        <v>312</v>
      </c>
      <c r="D698" s="10" t="s">
        <v>226</v>
      </c>
      <c r="E698" s="10" t="s">
        <v>37</v>
      </c>
      <c r="F698" s="27" t="s">
        <v>63</v>
      </c>
      <c r="G698" s="89" t="s">
        <v>45</v>
      </c>
      <c r="H698" s="89" t="s">
        <v>63</v>
      </c>
      <c r="I698" s="90" t="s">
        <v>44</v>
      </c>
      <c r="J698" s="91"/>
      <c r="K698" s="24">
        <f>K699+K701+K703+K705+K709+K707</f>
        <v>15615</v>
      </c>
      <c r="L698" s="24">
        <f>L699+L701+L703+L705+L709+L707</f>
        <v>0</v>
      </c>
      <c r="M698" s="24">
        <f>M699+M701+M703+M705+M709+M707</f>
        <v>15615</v>
      </c>
    </row>
    <row r="699" spans="1:13" s="7" customFormat="1" ht="36" customHeight="1" x14ac:dyDescent="0.35">
      <c r="A699" s="11"/>
      <c r="B699" s="529" t="s">
        <v>461</v>
      </c>
      <c r="C699" s="23" t="s">
        <v>312</v>
      </c>
      <c r="D699" s="10" t="s">
        <v>226</v>
      </c>
      <c r="E699" s="10" t="s">
        <v>37</v>
      </c>
      <c r="F699" s="27" t="s">
        <v>63</v>
      </c>
      <c r="G699" s="89" t="s">
        <v>45</v>
      </c>
      <c r="H699" s="89" t="s">
        <v>63</v>
      </c>
      <c r="I699" s="90" t="s">
        <v>91</v>
      </c>
      <c r="J699" s="91"/>
      <c r="K699" s="24">
        <f>K700</f>
        <v>13184.900000000001</v>
      </c>
      <c r="L699" s="24">
        <f>L700</f>
        <v>0</v>
      </c>
      <c r="M699" s="24">
        <f>M700</f>
        <v>13184.900000000001</v>
      </c>
    </row>
    <row r="700" spans="1:13" s="7" customFormat="1" ht="54" customHeight="1" x14ac:dyDescent="0.35">
      <c r="A700" s="11"/>
      <c r="B700" s="503" t="s">
        <v>76</v>
      </c>
      <c r="C700" s="23" t="s">
        <v>312</v>
      </c>
      <c r="D700" s="10" t="s">
        <v>226</v>
      </c>
      <c r="E700" s="10" t="s">
        <v>37</v>
      </c>
      <c r="F700" s="689" t="s">
        <v>63</v>
      </c>
      <c r="G700" s="690" t="s">
        <v>45</v>
      </c>
      <c r="H700" s="690" t="s">
        <v>63</v>
      </c>
      <c r="I700" s="691" t="s">
        <v>91</v>
      </c>
      <c r="J700" s="10" t="s">
        <v>77</v>
      </c>
      <c r="K700" s="24">
        <f>12748.6+78.6+28+84.6+285.5+77.6+81.1-191.5-7.6</f>
        <v>13184.900000000001</v>
      </c>
      <c r="L700" s="24">
        <f>M700-K700</f>
        <v>0</v>
      </c>
      <c r="M700" s="24">
        <f>12748.6+78.6+28+84.6+285.5+77.6+81.1-191.5-7.6</f>
        <v>13184.900000000001</v>
      </c>
    </row>
    <row r="701" spans="1:13" s="7" customFormat="1" ht="18" customHeight="1" x14ac:dyDescent="0.35">
      <c r="A701" s="11"/>
      <c r="B701" s="502" t="s">
        <v>462</v>
      </c>
      <c r="C701" s="23" t="s">
        <v>312</v>
      </c>
      <c r="D701" s="10" t="s">
        <v>226</v>
      </c>
      <c r="E701" s="10" t="s">
        <v>37</v>
      </c>
      <c r="F701" s="689" t="s">
        <v>63</v>
      </c>
      <c r="G701" s="690" t="s">
        <v>45</v>
      </c>
      <c r="H701" s="690" t="s">
        <v>63</v>
      </c>
      <c r="I701" s="691" t="s">
        <v>379</v>
      </c>
      <c r="J701" s="10"/>
      <c r="K701" s="24">
        <f>K702</f>
        <v>396.3</v>
      </c>
      <c r="L701" s="24">
        <f>L702</f>
        <v>0</v>
      </c>
      <c r="M701" s="24">
        <f>M702</f>
        <v>396.3</v>
      </c>
    </row>
    <row r="702" spans="1:13" s="7" customFormat="1" ht="54" customHeight="1" x14ac:dyDescent="0.35">
      <c r="A702" s="11"/>
      <c r="B702" s="503" t="s">
        <v>76</v>
      </c>
      <c r="C702" s="23" t="s">
        <v>312</v>
      </c>
      <c r="D702" s="10" t="s">
        <v>226</v>
      </c>
      <c r="E702" s="10" t="s">
        <v>37</v>
      </c>
      <c r="F702" s="689" t="s">
        <v>63</v>
      </c>
      <c r="G702" s="690" t="s">
        <v>45</v>
      </c>
      <c r="H702" s="690" t="s">
        <v>63</v>
      </c>
      <c r="I702" s="691" t="s">
        <v>379</v>
      </c>
      <c r="J702" s="10" t="s">
        <v>77</v>
      </c>
      <c r="K702" s="24">
        <f>335+61.3</f>
        <v>396.3</v>
      </c>
      <c r="L702" s="24">
        <f>M702-K702</f>
        <v>0</v>
      </c>
      <c r="M702" s="24">
        <f>335+61.3</f>
        <v>396.3</v>
      </c>
    </row>
    <row r="703" spans="1:13" s="7" customFormat="1" ht="36" customHeight="1" x14ac:dyDescent="0.35">
      <c r="A703" s="11"/>
      <c r="B703" s="503" t="s">
        <v>313</v>
      </c>
      <c r="C703" s="23" t="s">
        <v>312</v>
      </c>
      <c r="D703" s="10" t="s">
        <v>226</v>
      </c>
      <c r="E703" s="10" t="s">
        <v>37</v>
      </c>
      <c r="F703" s="27" t="s">
        <v>63</v>
      </c>
      <c r="G703" s="89" t="s">
        <v>45</v>
      </c>
      <c r="H703" s="89" t="s">
        <v>63</v>
      </c>
      <c r="I703" s="90" t="s">
        <v>314</v>
      </c>
      <c r="J703" s="91"/>
      <c r="K703" s="24">
        <f>K704</f>
        <v>476.59999999999997</v>
      </c>
      <c r="L703" s="24">
        <f>L704</f>
        <v>0</v>
      </c>
      <c r="M703" s="24">
        <f>M704</f>
        <v>476.59999999999997</v>
      </c>
    </row>
    <row r="704" spans="1:13" s="7" customFormat="1" ht="54" customHeight="1" x14ac:dyDescent="0.35">
      <c r="A704" s="11"/>
      <c r="B704" s="503" t="s">
        <v>76</v>
      </c>
      <c r="C704" s="23" t="s">
        <v>312</v>
      </c>
      <c r="D704" s="10" t="s">
        <v>226</v>
      </c>
      <c r="E704" s="10" t="s">
        <v>37</v>
      </c>
      <c r="F704" s="27" t="s">
        <v>63</v>
      </c>
      <c r="G704" s="89" t="s">
        <v>45</v>
      </c>
      <c r="H704" s="89" t="s">
        <v>63</v>
      </c>
      <c r="I704" s="90" t="s">
        <v>314</v>
      </c>
      <c r="J704" s="91" t="s">
        <v>77</v>
      </c>
      <c r="K704" s="24">
        <f>162.2+314.4</f>
        <v>476.59999999999997</v>
      </c>
      <c r="L704" s="24">
        <f>M704-K704</f>
        <v>0</v>
      </c>
      <c r="M704" s="24">
        <f>162.2+314.4</f>
        <v>476.59999999999997</v>
      </c>
    </row>
    <row r="705" spans="1:13" s="7" customFormat="1" ht="54" customHeight="1" x14ac:dyDescent="0.35">
      <c r="A705" s="11"/>
      <c r="B705" s="503" t="s">
        <v>215</v>
      </c>
      <c r="C705" s="23" t="s">
        <v>312</v>
      </c>
      <c r="D705" s="10" t="s">
        <v>226</v>
      </c>
      <c r="E705" s="10" t="s">
        <v>37</v>
      </c>
      <c r="F705" s="689" t="s">
        <v>63</v>
      </c>
      <c r="G705" s="690" t="s">
        <v>45</v>
      </c>
      <c r="H705" s="690" t="s">
        <v>63</v>
      </c>
      <c r="I705" s="691" t="s">
        <v>316</v>
      </c>
      <c r="J705" s="10"/>
      <c r="K705" s="24">
        <f>K706</f>
        <v>512</v>
      </c>
      <c r="L705" s="24">
        <f>L706</f>
        <v>0</v>
      </c>
      <c r="M705" s="24">
        <f>M706</f>
        <v>512</v>
      </c>
    </row>
    <row r="706" spans="1:13" s="7" customFormat="1" ht="54" customHeight="1" x14ac:dyDescent="0.35">
      <c r="A706" s="11"/>
      <c r="B706" s="503" t="s">
        <v>76</v>
      </c>
      <c r="C706" s="23" t="s">
        <v>312</v>
      </c>
      <c r="D706" s="10" t="s">
        <v>226</v>
      </c>
      <c r="E706" s="10" t="s">
        <v>37</v>
      </c>
      <c r="F706" s="689" t="s">
        <v>63</v>
      </c>
      <c r="G706" s="690" t="s">
        <v>45</v>
      </c>
      <c r="H706" s="690" t="s">
        <v>63</v>
      </c>
      <c r="I706" s="691" t="s">
        <v>316</v>
      </c>
      <c r="J706" s="10" t="s">
        <v>77</v>
      </c>
      <c r="K706" s="24">
        <v>512</v>
      </c>
      <c r="L706" s="24">
        <f>M706-K706</f>
        <v>0</v>
      </c>
      <c r="M706" s="24">
        <v>512</v>
      </c>
    </row>
    <row r="707" spans="1:13" s="7" customFormat="1" ht="54" customHeight="1" x14ac:dyDescent="0.35">
      <c r="A707" s="11"/>
      <c r="B707" s="579" t="s">
        <v>681</v>
      </c>
      <c r="C707" s="23" t="s">
        <v>312</v>
      </c>
      <c r="D707" s="10" t="s">
        <v>226</v>
      </c>
      <c r="E707" s="10" t="s">
        <v>37</v>
      </c>
      <c r="F707" s="689" t="s">
        <v>63</v>
      </c>
      <c r="G707" s="690" t="s">
        <v>45</v>
      </c>
      <c r="H707" s="690" t="s">
        <v>63</v>
      </c>
      <c r="I707" s="691" t="s">
        <v>680</v>
      </c>
      <c r="J707" s="10"/>
      <c r="K707" s="24">
        <f>K708</f>
        <v>493.8</v>
      </c>
      <c r="L707" s="24">
        <f>L708</f>
        <v>0</v>
      </c>
      <c r="M707" s="24">
        <f>M708</f>
        <v>493.8</v>
      </c>
    </row>
    <row r="708" spans="1:13" s="7" customFormat="1" ht="54" customHeight="1" x14ac:dyDescent="0.35">
      <c r="A708" s="11"/>
      <c r="B708" s="503" t="s">
        <v>76</v>
      </c>
      <c r="C708" s="23" t="s">
        <v>312</v>
      </c>
      <c r="D708" s="10" t="s">
        <v>226</v>
      </c>
      <c r="E708" s="10" t="s">
        <v>37</v>
      </c>
      <c r="F708" s="689" t="s">
        <v>63</v>
      </c>
      <c r="G708" s="690" t="s">
        <v>45</v>
      </c>
      <c r="H708" s="690" t="s">
        <v>63</v>
      </c>
      <c r="I708" s="691" t="s">
        <v>680</v>
      </c>
      <c r="J708" s="10" t="s">
        <v>77</v>
      </c>
      <c r="K708" s="24">
        <v>493.8</v>
      </c>
      <c r="L708" s="24">
        <f>M708-K708</f>
        <v>0</v>
      </c>
      <c r="M708" s="24">
        <v>493.8</v>
      </c>
    </row>
    <row r="709" spans="1:13" s="7" customFormat="1" ht="18" customHeight="1" x14ac:dyDescent="0.35">
      <c r="A709" s="11"/>
      <c r="B709" s="503" t="s">
        <v>558</v>
      </c>
      <c r="C709" s="23" t="s">
        <v>312</v>
      </c>
      <c r="D709" s="10" t="s">
        <v>226</v>
      </c>
      <c r="E709" s="10" t="s">
        <v>37</v>
      </c>
      <c r="F709" s="689" t="s">
        <v>63</v>
      </c>
      <c r="G709" s="690" t="s">
        <v>45</v>
      </c>
      <c r="H709" s="690" t="s">
        <v>63</v>
      </c>
      <c r="I709" s="691" t="s">
        <v>557</v>
      </c>
      <c r="J709" s="10"/>
      <c r="K709" s="24">
        <f>K710</f>
        <v>551.4</v>
      </c>
      <c r="L709" s="24">
        <f>L710</f>
        <v>0</v>
      </c>
      <c r="M709" s="24">
        <f>M710</f>
        <v>551.4</v>
      </c>
    </row>
    <row r="710" spans="1:13" s="7" customFormat="1" ht="54" customHeight="1" x14ac:dyDescent="0.35">
      <c r="A710" s="11"/>
      <c r="B710" s="503" t="s">
        <v>76</v>
      </c>
      <c r="C710" s="23" t="s">
        <v>312</v>
      </c>
      <c r="D710" s="10" t="s">
        <v>226</v>
      </c>
      <c r="E710" s="10" t="s">
        <v>37</v>
      </c>
      <c r="F710" s="689" t="s">
        <v>63</v>
      </c>
      <c r="G710" s="690" t="s">
        <v>45</v>
      </c>
      <c r="H710" s="690" t="s">
        <v>63</v>
      </c>
      <c r="I710" s="691" t="s">
        <v>557</v>
      </c>
      <c r="J710" s="10" t="s">
        <v>77</v>
      </c>
      <c r="K710" s="24">
        <f>496.2+55.2</f>
        <v>551.4</v>
      </c>
      <c r="L710" s="24">
        <f>M710-K710</f>
        <v>0</v>
      </c>
      <c r="M710" s="24">
        <f>496.2+55.2</f>
        <v>551.4</v>
      </c>
    </row>
    <row r="711" spans="1:13" s="7" customFormat="1" ht="36" customHeight="1" x14ac:dyDescent="0.35">
      <c r="A711" s="11"/>
      <c r="B711" s="503" t="s">
        <v>317</v>
      </c>
      <c r="C711" s="23" t="s">
        <v>312</v>
      </c>
      <c r="D711" s="10" t="s">
        <v>226</v>
      </c>
      <c r="E711" s="10" t="s">
        <v>37</v>
      </c>
      <c r="F711" s="27" t="s">
        <v>63</v>
      </c>
      <c r="G711" s="89" t="s">
        <v>45</v>
      </c>
      <c r="H711" s="89" t="s">
        <v>52</v>
      </c>
      <c r="I711" s="691" t="s">
        <v>44</v>
      </c>
      <c r="J711" s="10"/>
      <c r="K711" s="24">
        <f>K712+K717+K721+K719</f>
        <v>37479.799999999996</v>
      </c>
      <c r="L711" s="24">
        <f>L712+L717+L721+L719</f>
        <v>0</v>
      </c>
      <c r="M711" s="24">
        <f>M712+M717+M721+M719</f>
        <v>37479.799999999996</v>
      </c>
    </row>
    <row r="712" spans="1:13" s="7" customFormat="1" ht="36" customHeight="1" x14ac:dyDescent="0.35">
      <c r="A712" s="11"/>
      <c r="B712" s="529" t="s">
        <v>461</v>
      </c>
      <c r="C712" s="23" t="s">
        <v>312</v>
      </c>
      <c r="D712" s="10" t="s">
        <v>226</v>
      </c>
      <c r="E712" s="10" t="s">
        <v>37</v>
      </c>
      <c r="F712" s="27" t="s">
        <v>63</v>
      </c>
      <c r="G712" s="89" t="s">
        <v>45</v>
      </c>
      <c r="H712" s="89" t="s">
        <v>52</v>
      </c>
      <c r="I712" s="90" t="s">
        <v>91</v>
      </c>
      <c r="J712" s="91"/>
      <c r="K712" s="24">
        <f>K713+K714+K716+K715</f>
        <v>16890.3</v>
      </c>
      <c r="L712" s="24">
        <f>L713+L714+L716+L715</f>
        <v>0</v>
      </c>
      <c r="M712" s="24">
        <f>M713+M714+M716+M715</f>
        <v>16890.3</v>
      </c>
    </row>
    <row r="713" spans="1:13" s="7" customFormat="1" ht="108" customHeight="1" x14ac:dyDescent="0.35">
      <c r="A713" s="11"/>
      <c r="B713" s="496" t="s">
        <v>49</v>
      </c>
      <c r="C713" s="23" t="s">
        <v>312</v>
      </c>
      <c r="D713" s="10" t="s">
        <v>226</v>
      </c>
      <c r="E713" s="10" t="s">
        <v>37</v>
      </c>
      <c r="F713" s="689" t="s">
        <v>63</v>
      </c>
      <c r="G713" s="690" t="s">
        <v>45</v>
      </c>
      <c r="H713" s="690" t="s">
        <v>52</v>
      </c>
      <c r="I713" s="691" t="s">
        <v>91</v>
      </c>
      <c r="J713" s="10" t="s">
        <v>50</v>
      </c>
      <c r="K713" s="24">
        <f>12177.3+92.1+526.4+959.3+1863.1-1.57182</f>
        <v>15616.62818</v>
      </c>
      <c r="L713" s="24">
        <f>M713-K713</f>
        <v>0</v>
      </c>
      <c r="M713" s="24">
        <f>12177.3+92.1+526.4+959.3+1863.1-1.57182</f>
        <v>15616.62818</v>
      </c>
    </row>
    <row r="714" spans="1:13" s="7" customFormat="1" ht="54" customHeight="1" x14ac:dyDescent="0.35">
      <c r="A714" s="11"/>
      <c r="B714" s="496" t="s">
        <v>55</v>
      </c>
      <c r="C714" s="23" t="s">
        <v>312</v>
      </c>
      <c r="D714" s="10" t="s">
        <v>226</v>
      </c>
      <c r="E714" s="10" t="s">
        <v>37</v>
      </c>
      <c r="F714" s="689" t="s">
        <v>63</v>
      </c>
      <c r="G714" s="690" t="s">
        <v>45</v>
      </c>
      <c r="H714" s="690" t="s">
        <v>52</v>
      </c>
      <c r="I714" s="691" t="s">
        <v>91</v>
      </c>
      <c r="J714" s="10" t="s">
        <v>56</v>
      </c>
      <c r="K714" s="24">
        <f>1106.6-6.8+125.3</f>
        <v>1225.0999999999999</v>
      </c>
      <c r="L714" s="24">
        <f>M714-K714</f>
        <v>0</v>
      </c>
      <c r="M714" s="24">
        <f>1106.6-6.8+125.3</f>
        <v>1225.0999999999999</v>
      </c>
    </row>
    <row r="715" spans="1:13" s="7" customFormat="1" ht="36" x14ac:dyDescent="0.35">
      <c r="A715" s="11"/>
      <c r="B715" s="503" t="s">
        <v>120</v>
      </c>
      <c r="C715" s="23" t="s">
        <v>312</v>
      </c>
      <c r="D715" s="10" t="s">
        <v>226</v>
      </c>
      <c r="E715" s="10" t="s">
        <v>37</v>
      </c>
      <c r="F715" s="689" t="s">
        <v>63</v>
      </c>
      <c r="G715" s="690" t="s">
        <v>45</v>
      </c>
      <c r="H715" s="690" t="s">
        <v>52</v>
      </c>
      <c r="I715" s="691" t="s">
        <v>91</v>
      </c>
      <c r="J715" s="10" t="s">
        <v>121</v>
      </c>
      <c r="K715" s="24">
        <v>1.57182</v>
      </c>
      <c r="L715" s="24">
        <f>M715-K715</f>
        <v>0</v>
      </c>
      <c r="M715" s="24">
        <v>1.57182</v>
      </c>
    </row>
    <row r="716" spans="1:13" s="7" customFormat="1" ht="18" customHeight="1" x14ac:dyDescent="0.35">
      <c r="A716" s="11"/>
      <c r="B716" s="496" t="s">
        <v>57</v>
      </c>
      <c r="C716" s="23" t="s">
        <v>312</v>
      </c>
      <c r="D716" s="10" t="s">
        <v>226</v>
      </c>
      <c r="E716" s="10" t="s">
        <v>37</v>
      </c>
      <c r="F716" s="689" t="s">
        <v>63</v>
      </c>
      <c r="G716" s="690" t="s">
        <v>45</v>
      </c>
      <c r="H716" s="690" t="s">
        <v>52</v>
      </c>
      <c r="I716" s="691" t="s">
        <v>91</v>
      </c>
      <c r="J716" s="10" t="s">
        <v>58</v>
      </c>
      <c r="K716" s="24">
        <f>40.2+6.8</f>
        <v>47</v>
      </c>
      <c r="L716" s="24">
        <f>M716-K716</f>
        <v>0</v>
      </c>
      <c r="M716" s="24">
        <f>40.2+6.8</f>
        <v>47</v>
      </c>
    </row>
    <row r="717" spans="1:13" s="7" customFormat="1" ht="54" customHeight="1" x14ac:dyDescent="0.35">
      <c r="A717" s="11"/>
      <c r="B717" s="503" t="s">
        <v>76</v>
      </c>
      <c r="C717" s="23" t="s">
        <v>312</v>
      </c>
      <c r="D717" s="10" t="s">
        <v>226</v>
      </c>
      <c r="E717" s="10" t="s">
        <v>37</v>
      </c>
      <c r="F717" s="689" t="s">
        <v>63</v>
      </c>
      <c r="G717" s="690" t="s">
        <v>45</v>
      </c>
      <c r="H717" s="690" t="s">
        <v>52</v>
      </c>
      <c r="I717" s="691" t="s">
        <v>379</v>
      </c>
      <c r="J717" s="10"/>
      <c r="K717" s="24">
        <f>K718</f>
        <v>833.3</v>
      </c>
      <c r="L717" s="24">
        <f>L718</f>
        <v>0</v>
      </c>
      <c r="M717" s="24">
        <f>M718</f>
        <v>833.3</v>
      </c>
    </row>
    <row r="718" spans="1:13" s="7" customFormat="1" ht="54" customHeight="1" x14ac:dyDescent="0.35">
      <c r="A718" s="11"/>
      <c r="B718" s="496" t="s">
        <v>55</v>
      </c>
      <c r="C718" s="23" t="s">
        <v>312</v>
      </c>
      <c r="D718" s="10" t="s">
        <v>226</v>
      </c>
      <c r="E718" s="10" t="s">
        <v>37</v>
      </c>
      <c r="F718" s="689" t="s">
        <v>63</v>
      </c>
      <c r="G718" s="690" t="s">
        <v>45</v>
      </c>
      <c r="H718" s="690" t="s">
        <v>52</v>
      </c>
      <c r="I718" s="691" t="s">
        <v>379</v>
      </c>
      <c r="J718" s="10" t="s">
        <v>56</v>
      </c>
      <c r="K718" s="24">
        <f>735.8+97.5</f>
        <v>833.3</v>
      </c>
      <c r="L718" s="24">
        <f>M718-K718</f>
        <v>0</v>
      </c>
      <c r="M718" s="24">
        <f>735.8+97.5</f>
        <v>833.3</v>
      </c>
    </row>
    <row r="719" spans="1:13" s="7" customFormat="1" ht="54" customHeight="1" x14ac:dyDescent="0.35">
      <c r="A719" s="11"/>
      <c r="B719" s="579" t="s">
        <v>681</v>
      </c>
      <c r="C719" s="23" t="s">
        <v>312</v>
      </c>
      <c r="D719" s="10" t="s">
        <v>226</v>
      </c>
      <c r="E719" s="10" t="s">
        <v>37</v>
      </c>
      <c r="F719" s="689" t="s">
        <v>63</v>
      </c>
      <c r="G719" s="690" t="s">
        <v>45</v>
      </c>
      <c r="H719" s="690" t="s">
        <v>52</v>
      </c>
      <c r="I719" s="691" t="s">
        <v>680</v>
      </c>
      <c r="J719" s="10"/>
      <c r="K719" s="24">
        <f>K720</f>
        <v>1656.2</v>
      </c>
      <c r="L719" s="24">
        <f>L720</f>
        <v>0</v>
      </c>
      <c r="M719" s="24">
        <f>M720</f>
        <v>1656.2</v>
      </c>
    </row>
    <row r="720" spans="1:13" s="7" customFormat="1" ht="54" customHeight="1" x14ac:dyDescent="0.35">
      <c r="A720" s="11"/>
      <c r="B720" s="496" t="s">
        <v>55</v>
      </c>
      <c r="C720" s="23" t="s">
        <v>312</v>
      </c>
      <c r="D720" s="10" t="s">
        <v>226</v>
      </c>
      <c r="E720" s="10" t="s">
        <v>37</v>
      </c>
      <c r="F720" s="689" t="s">
        <v>63</v>
      </c>
      <c r="G720" s="690" t="s">
        <v>45</v>
      </c>
      <c r="H720" s="690" t="s">
        <v>52</v>
      </c>
      <c r="I720" s="691" t="s">
        <v>680</v>
      </c>
      <c r="J720" s="10" t="s">
        <v>56</v>
      </c>
      <c r="K720" s="24">
        <f>856.2+800</f>
        <v>1656.2</v>
      </c>
      <c r="L720" s="24">
        <f>M720-K720</f>
        <v>0</v>
      </c>
      <c r="M720" s="24">
        <f>856.2+800</f>
        <v>1656.2</v>
      </c>
    </row>
    <row r="721" spans="1:13" s="7" customFormat="1" ht="90" customHeight="1" x14ac:dyDescent="0.35">
      <c r="A721" s="11"/>
      <c r="B721" s="579" t="s">
        <v>613</v>
      </c>
      <c r="C721" s="23" t="s">
        <v>312</v>
      </c>
      <c r="D721" s="10" t="s">
        <v>226</v>
      </c>
      <c r="E721" s="10" t="s">
        <v>37</v>
      </c>
      <c r="F721" s="689" t="s">
        <v>63</v>
      </c>
      <c r="G721" s="690" t="s">
        <v>45</v>
      </c>
      <c r="H721" s="690" t="s">
        <v>52</v>
      </c>
      <c r="I721" s="691" t="s">
        <v>614</v>
      </c>
      <c r="J721" s="10"/>
      <c r="K721" s="24">
        <f>K722</f>
        <v>18100</v>
      </c>
      <c r="L721" s="24">
        <f>L722</f>
        <v>0</v>
      </c>
      <c r="M721" s="24">
        <f>M722</f>
        <v>18100</v>
      </c>
    </row>
    <row r="722" spans="1:13" s="7" customFormat="1" ht="54" customHeight="1" x14ac:dyDescent="0.35">
      <c r="A722" s="11"/>
      <c r="B722" s="579" t="s">
        <v>55</v>
      </c>
      <c r="C722" s="23" t="s">
        <v>312</v>
      </c>
      <c r="D722" s="10" t="s">
        <v>226</v>
      </c>
      <c r="E722" s="10" t="s">
        <v>37</v>
      </c>
      <c r="F722" s="689" t="s">
        <v>63</v>
      </c>
      <c r="G722" s="690" t="s">
        <v>45</v>
      </c>
      <c r="H722" s="690" t="s">
        <v>52</v>
      </c>
      <c r="I722" s="691" t="s">
        <v>614</v>
      </c>
      <c r="J722" s="10" t="s">
        <v>56</v>
      </c>
      <c r="K722" s="24">
        <f>16290+1810</f>
        <v>18100</v>
      </c>
      <c r="L722" s="24">
        <f>M722-K722</f>
        <v>0</v>
      </c>
      <c r="M722" s="24">
        <f>16290+1810</f>
        <v>18100</v>
      </c>
    </row>
    <row r="723" spans="1:13" s="7" customFormat="1" ht="54" customHeight="1" x14ac:dyDescent="0.35">
      <c r="A723" s="11"/>
      <c r="B723" s="496" t="s">
        <v>325</v>
      </c>
      <c r="C723" s="23" t="s">
        <v>312</v>
      </c>
      <c r="D723" s="10" t="s">
        <v>226</v>
      </c>
      <c r="E723" s="10" t="s">
        <v>37</v>
      </c>
      <c r="F723" s="27" t="s">
        <v>63</v>
      </c>
      <c r="G723" s="89" t="s">
        <v>89</v>
      </c>
      <c r="H723" s="89" t="s">
        <v>43</v>
      </c>
      <c r="I723" s="691" t="s">
        <v>44</v>
      </c>
      <c r="J723" s="10"/>
      <c r="K723" s="24">
        <f>K724</f>
        <v>1863.2</v>
      </c>
      <c r="L723" s="24">
        <f>L724</f>
        <v>673.99999999999977</v>
      </c>
      <c r="M723" s="24">
        <f>M724</f>
        <v>2537.2000000000003</v>
      </c>
    </row>
    <row r="724" spans="1:13" s="7" customFormat="1" ht="90" customHeight="1" x14ac:dyDescent="0.35">
      <c r="A724" s="11"/>
      <c r="B724" s="503" t="s">
        <v>318</v>
      </c>
      <c r="C724" s="23" t="s">
        <v>312</v>
      </c>
      <c r="D724" s="10" t="s">
        <v>226</v>
      </c>
      <c r="E724" s="10" t="s">
        <v>37</v>
      </c>
      <c r="F724" s="27" t="s">
        <v>63</v>
      </c>
      <c r="G724" s="89" t="s">
        <v>89</v>
      </c>
      <c r="H724" s="89" t="s">
        <v>63</v>
      </c>
      <c r="I724" s="691" t="s">
        <v>44</v>
      </c>
      <c r="J724" s="10"/>
      <c r="K724" s="24">
        <f>K725+K728</f>
        <v>1863.2</v>
      </c>
      <c r="L724" s="24">
        <f>L725+L728</f>
        <v>673.99999999999977</v>
      </c>
      <c r="M724" s="24">
        <f>M725+M728</f>
        <v>2537.2000000000003</v>
      </c>
    </row>
    <row r="725" spans="1:13" s="7" customFormat="1" ht="36" customHeight="1" x14ac:dyDescent="0.35">
      <c r="A725" s="11"/>
      <c r="B725" s="503" t="s">
        <v>313</v>
      </c>
      <c r="C725" s="23" t="s">
        <v>312</v>
      </c>
      <c r="D725" s="10" t="s">
        <v>226</v>
      </c>
      <c r="E725" s="10" t="s">
        <v>37</v>
      </c>
      <c r="F725" s="27" t="s">
        <v>63</v>
      </c>
      <c r="G725" s="89" t="s">
        <v>89</v>
      </c>
      <c r="H725" s="89" t="s">
        <v>63</v>
      </c>
      <c r="I725" s="90" t="s">
        <v>314</v>
      </c>
      <c r="J725" s="91"/>
      <c r="K725" s="24">
        <f>K727+K726</f>
        <v>1821.0940000000001</v>
      </c>
      <c r="L725" s="24">
        <f>L727+L726</f>
        <v>673.99999999999977</v>
      </c>
      <c r="M725" s="24">
        <f>M727+M726</f>
        <v>2495.0940000000001</v>
      </c>
    </row>
    <row r="726" spans="1:13" s="7" customFormat="1" ht="54" customHeight="1" x14ac:dyDescent="0.35">
      <c r="A726" s="11"/>
      <c r="B726" s="503" t="s">
        <v>55</v>
      </c>
      <c r="C726" s="23" t="s">
        <v>312</v>
      </c>
      <c r="D726" s="10" t="s">
        <v>226</v>
      </c>
      <c r="E726" s="10" t="s">
        <v>37</v>
      </c>
      <c r="F726" s="27" t="s">
        <v>63</v>
      </c>
      <c r="G726" s="89" t="s">
        <v>89</v>
      </c>
      <c r="H726" s="89" t="s">
        <v>63</v>
      </c>
      <c r="I726" s="90" t="s">
        <v>314</v>
      </c>
      <c r="J726" s="91" t="s">
        <v>56</v>
      </c>
      <c r="K726" s="24">
        <f>377.8+9.9+854+360-227</f>
        <v>1374.7</v>
      </c>
      <c r="L726" s="24">
        <f>M726-K726</f>
        <v>673.99999999999977</v>
      </c>
      <c r="M726" s="24">
        <f>377.8+9.9+854+360-227+475+199</f>
        <v>2048.6999999999998</v>
      </c>
    </row>
    <row r="727" spans="1:13" s="7" customFormat="1" ht="54" customHeight="1" x14ac:dyDescent="0.35">
      <c r="A727" s="11"/>
      <c r="B727" s="503" t="s">
        <v>76</v>
      </c>
      <c r="C727" s="23" t="s">
        <v>312</v>
      </c>
      <c r="D727" s="10" t="s">
        <v>226</v>
      </c>
      <c r="E727" s="10" t="s">
        <v>37</v>
      </c>
      <c r="F727" s="689" t="s">
        <v>63</v>
      </c>
      <c r="G727" s="690" t="s">
        <v>89</v>
      </c>
      <c r="H727" s="690" t="s">
        <v>63</v>
      </c>
      <c r="I727" s="691" t="s">
        <v>314</v>
      </c>
      <c r="J727" s="10" t="s">
        <v>77</v>
      </c>
      <c r="K727" s="24">
        <f>17.9-0.006+428.5</f>
        <v>446.39400000000001</v>
      </c>
      <c r="L727" s="24">
        <f>M727-K727</f>
        <v>0</v>
      </c>
      <c r="M727" s="24">
        <f>17.9-0.006+428.5</f>
        <v>446.39400000000001</v>
      </c>
    </row>
    <row r="728" spans="1:13" s="7" customFormat="1" ht="54" customHeight="1" x14ac:dyDescent="0.35">
      <c r="A728" s="11"/>
      <c r="B728" s="503" t="s">
        <v>410</v>
      </c>
      <c r="C728" s="23" t="s">
        <v>312</v>
      </c>
      <c r="D728" s="10" t="s">
        <v>226</v>
      </c>
      <c r="E728" s="10" t="s">
        <v>37</v>
      </c>
      <c r="F728" s="689" t="s">
        <v>63</v>
      </c>
      <c r="G728" s="690" t="s">
        <v>89</v>
      </c>
      <c r="H728" s="690" t="s">
        <v>63</v>
      </c>
      <c r="I728" s="691" t="s">
        <v>411</v>
      </c>
      <c r="J728" s="10"/>
      <c r="K728" s="24">
        <f>K729</f>
        <v>42.106000000000002</v>
      </c>
      <c r="L728" s="24">
        <f>L729</f>
        <v>0</v>
      </c>
      <c r="M728" s="24">
        <f>M729</f>
        <v>42.106000000000002</v>
      </c>
    </row>
    <row r="729" spans="1:13" s="7" customFormat="1" ht="54" customHeight="1" x14ac:dyDescent="0.35">
      <c r="A729" s="11"/>
      <c r="B729" s="503" t="s">
        <v>76</v>
      </c>
      <c r="C729" s="23" t="s">
        <v>312</v>
      </c>
      <c r="D729" s="10" t="s">
        <v>226</v>
      </c>
      <c r="E729" s="10" t="s">
        <v>37</v>
      </c>
      <c r="F729" s="689" t="s">
        <v>63</v>
      </c>
      <c r="G729" s="690" t="s">
        <v>89</v>
      </c>
      <c r="H729" s="690" t="s">
        <v>63</v>
      </c>
      <c r="I729" s="691" t="s">
        <v>411</v>
      </c>
      <c r="J729" s="10" t="s">
        <v>77</v>
      </c>
      <c r="K729" s="24">
        <f>40+2.1+0.006</f>
        <v>42.106000000000002</v>
      </c>
      <c r="L729" s="24">
        <f>M729-K729</f>
        <v>0</v>
      </c>
      <c r="M729" s="24">
        <f>40+2.1+0.006</f>
        <v>42.106000000000002</v>
      </c>
    </row>
    <row r="730" spans="1:13" s="7" customFormat="1" ht="36" customHeight="1" x14ac:dyDescent="0.35">
      <c r="A730" s="11"/>
      <c r="B730" s="496" t="s">
        <v>319</v>
      </c>
      <c r="C730" s="23" t="s">
        <v>312</v>
      </c>
      <c r="D730" s="10" t="s">
        <v>226</v>
      </c>
      <c r="E730" s="10" t="s">
        <v>52</v>
      </c>
      <c r="F730" s="27"/>
      <c r="G730" s="89"/>
      <c r="H730" s="89"/>
      <c r="I730" s="90"/>
      <c r="J730" s="91"/>
      <c r="K730" s="24">
        <f>K731</f>
        <v>12422</v>
      </c>
      <c r="L730" s="24">
        <f>L731</f>
        <v>0</v>
      </c>
      <c r="M730" s="24">
        <f>M731</f>
        <v>12422</v>
      </c>
    </row>
    <row r="731" spans="1:13" s="7" customFormat="1" ht="54" customHeight="1" x14ac:dyDescent="0.35">
      <c r="A731" s="11"/>
      <c r="B731" s="546" t="s">
        <v>213</v>
      </c>
      <c r="C731" s="23" t="s">
        <v>312</v>
      </c>
      <c r="D731" s="10" t="s">
        <v>226</v>
      </c>
      <c r="E731" s="10" t="s">
        <v>52</v>
      </c>
      <c r="F731" s="27" t="s">
        <v>63</v>
      </c>
      <c r="G731" s="89" t="s">
        <v>42</v>
      </c>
      <c r="H731" s="89" t="s">
        <v>43</v>
      </c>
      <c r="I731" s="90" t="s">
        <v>44</v>
      </c>
      <c r="J731" s="91"/>
      <c r="K731" s="24">
        <f>K736+K732</f>
        <v>12422</v>
      </c>
      <c r="L731" s="24">
        <f>L736+L732</f>
        <v>0</v>
      </c>
      <c r="M731" s="24">
        <f>M736+M732</f>
        <v>12422</v>
      </c>
    </row>
    <row r="732" spans="1:13" s="7" customFormat="1" ht="54" customHeight="1" x14ac:dyDescent="0.35">
      <c r="A732" s="11"/>
      <c r="B732" s="496" t="s">
        <v>325</v>
      </c>
      <c r="C732" s="23" t="s">
        <v>312</v>
      </c>
      <c r="D732" s="10" t="s">
        <v>226</v>
      </c>
      <c r="E732" s="10" t="s">
        <v>52</v>
      </c>
      <c r="F732" s="689" t="s">
        <v>63</v>
      </c>
      <c r="G732" s="690" t="s">
        <v>89</v>
      </c>
      <c r="H732" s="690" t="s">
        <v>43</v>
      </c>
      <c r="I732" s="691" t="s">
        <v>44</v>
      </c>
      <c r="J732" s="10"/>
      <c r="K732" s="24">
        <f t="shared" ref="K732:M734" si="103">K733</f>
        <v>900.3</v>
      </c>
      <c r="L732" s="24">
        <f t="shared" si="103"/>
        <v>0</v>
      </c>
      <c r="M732" s="24">
        <f t="shared" si="103"/>
        <v>900.3</v>
      </c>
    </row>
    <row r="733" spans="1:13" s="7" customFormat="1" ht="90" customHeight="1" x14ac:dyDescent="0.35">
      <c r="A733" s="11"/>
      <c r="B733" s="567" t="s">
        <v>318</v>
      </c>
      <c r="C733" s="23" t="s">
        <v>312</v>
      </c>
      <c r="D733" s="10" t="s">
        <v>226</v>
      </c>
      <c r="E733" s="10" t="s">
        <v>52</v>
      </c>
      <c r="F733" s="689" t="s">
        <v>63</v>
      </c>
      <c r="G733" s="690" t="s">
        <v>89</v>
      </c>
      <c r="H733" s="690" t="s">
        <v>63</v>
      </c>
      <c r="I733" s="691" t="s">
        <v>44</v>
      </c>
      <c r="J733" s="10"/>
      <c r="K733" s="24">
        <f t="shared" si="103"/>
        <v>900.3</v>
      </c>
      <c r="L733" s="24">
        <f t="shared" si="103"/>
        <v>0</v>
      </c>
      <c r="M733" s="24">
        <f t="shared" si="103"/>
        <v>900.3</v>
      </c>
    </row>
    <row r="734" spans="1:13" s="7" customFormat="1" ht="36" customHeight="1" x14ac:dyDescent="0.35">
      <c r="A734" s="11"/>
      <c r="B734" s="503" t="s">
        <v>313</v>
      </c>
      <c r="C734" s="23" t="s">
        <v>312</v>
      </c>
      <c r="D734" s="10" t="s">
        <v>226</v>
      </c>
      <c r="E734" s="10" t="s">
        <v>52</v>
      </c>
      <c r="F734" s="689" t="s">
        <v>63</v>
      </c>
      <c r="G734" s="690" t="s">
        <v>89</v>
      </c>
      <c r="H734" s="690" t="s">
        <v>63</v>
      </c>
      <c r="I734" s="691" t="s">
        <v>314</v>
      </c>
      <c r="J734" s="10"/>
      <c r="K734" s="24">
        <f t="shared" si="103"/>
        <v>900.3</v>
      </c>
      <c r="L734" s="24">
        <f t="shared" si="103"/>
        <v>0</v>
      </c>
      <c r="M734" s="24">
        <f t="shared" si="103"/>
        <v>900.3</v>
      </c>
    </row>
    <row r="735" spans="1:13" s="7" customFormat="1" ht="54" customHeight="1" x14ac:dyDescent="0.35">
      <c r="A735" s="11"/>
      <c r="B735" s="496" t="s">
        <v>55</v>
      </c>
      <c r="C735" s="23" t="s">
        <v>312</v>
      </c>
      <c r="D735" s="10" t="s">
        <v>226</v>
      </c>
      <c r="E735" s="10" t="s">
        <v>52</v>
      </c>
      <c r="F735" s="689" t="s">
        <v>63</v>
      </c>
      <c r="G735" s="690" t="s">
        <v>89</v>
      </c>
      <c r="H735" s="690" t="s">
        <v>63</v>
      </c>
      <c r="I735" s="691" t="s">
        <v>314</v>
      </c>
      <c r="J735" s="10" t="s">
        <v>56</v>
      </c>
      <c r="K735" s="24">
        <f>769.9+0.9-97.5+227</f>
        <v>900.3</v>
      </c>
      <c r="L735" s="24">
        <f>M735-K735</f>
        <v>0</v>
      </c>
      <c r="M735" s="24">
        <f>769.9+0.9-97.5+227</f>
        <v>900.3</v>
      </c>
    </row>
    <row r="736" spans="1:13" s="7" customFormat="1" ht="54" customHeight="1" x14ac:dyDescent="0.35">
      <c r="A736" s="11"/>
      <c r="B736" s="496" t="s">
        <v>216</v>
      </c>
      <c r="C736" s="23" t="s">
        <v>312</v>
      </c>
      <c r="D736" s="10" t="s">
        <v>226</v>
      </c>
      <c r="E736" s="10" t="s">
        <v>52</v>
      </c>
      <c r="F736" s="689" t="s">
        <v>63</v>
      </c>
      <c r="G736" s="690" t="s">
        <v>30</v>
      </c>
      <c r="H736" s="690" t="s">
        <v>43</v>
      </c>
      <c r="I736" s="691" t="s">
        <v>44</v>
      </c>
      <c r="J736" s="10"/>
      <c r="K736" s="24">
        <f>K737</f>
        <v>11521.7</v>
      </c>
      <c r="L736" s="24">
        <f>L737</f>
        <v>0</v>
      </c>
      <c r="M736" s="24">
        <f>M737</f>
        <v>11521.7</v>
      </c>
    </row>
    <row r="737" spans="1:13" s="7" customFormat="1" ht="36" customHeight="1" x14ac:dyDescent="0.35">
      <c r="A737" s="11"/>
      <c r="B737" s="496" t="s">
        <v>281</v>
      </c>
      <c r="C737" s="23" t="s">
        <v>312</v>
      </c>
      <c r="D737" s="10" t="s">
        <v>226</v>
      </c>
      <c r="E737" s="10" t="s">
        <v>52</v>
      </c>
      <c r="F737" s="689" t="s">
        <v>63</v>
      </c>
      <c r="G737" s="690" t="s">
        <v>30</v>
      </c>
      <c r="H737" s="690" t="s">
        <v>37</v>
      </c>
      <c r="I737" s="691" t="s">
        <v>44</v>
      </c>
      <c r="J737" s="10"/>
      <c r="K737" s="24">
        <f>K738+K742</f>
        <v>11521.7</v>
      </c>
      <c r="L737" s="24">
        <f>L738+L742</f>
        <v>0</v>
      </c>
      <c r="M737" s="24">
        <f>M738+M742</f>
        <v>11521.7</v>
      </c>
    </row>
    <row r="738" spans="1:13" s="7" customFormat="1" ht="36" customHeight="1" x14ac:dyDescent="0.35">
      <c r="A738" s="11"/>
      <c r="B738" s="496" t="s">
        <v>47</v>
      </c>
      <c r="C738" s="23" t="s">
        <v>312</v>
      </c>
      <c r="D738" s="10" t="s">
        <v>226</v>
      </c>
      <c r="E738" s="10" t="s">
        <v>52</v>
      </c>
      <c r="F738" s="689" t="s">
        <v>63</v>
      </c>
      <c r="G738" s="690" t="s">
        <v>30</v>
      </c>
      <c r="H738" s="690" t="s">
        <v>37</v>
      </c>
      <c r="I738" s="691" t="s">
        <v>48</v>
      </c>
      <c r="J738" s="91"/>
      <c r="K738" s="24">
        <f>K739+K740+K741</f>
        <v>3487.2000000000003</v>
      </c>
      <c r="L738" s="24">
        <f>L739+L740+L741</f>
        <v>0</v>
      </c>
      <c r="M738" s="24">
        <f>M739+M740+M741</f>
        <v>3487.2000000000003</v>
      </c>
    </row>
    <row r="739" spans="1:13" s="7" customFormat="1" ht="108" customHeight="1" x14ac:dyDescent="0.35">
      <c r="A739" s="11"/>
      <c r="B739" s="496" t="s">
        <v>49</v>
      </c>
      <c r="C739" s="23" t="s">
        <v>312</v>
      </c>
      <c r="D739" s="10" t="s">
        <v>226</v>
      </c>
      <c r="E739" s="10" t="s">
        <v>52</v>
      </c>
      <c r="F739" s="689" t="s">
        <v>63</v>
      </c>
      <c r="G739" s="690" t="s">
        <v>30</v>
      </c>
      <c r="H739" s="690" t="s">
        <v>37</v>
      </c>
      <c r="I739" s="691" t="s">
        <v>48</v>
      </c>
      <c r="J739" s="91" t="s">
        <v>50</v>
      </c>
      <c r="K739" s="24">
        <f>3157.9+36</f>
        <v>3193.9</v>
      </c>
      <c r="L739" s="24">
        <f>M739-K739</f>
        <v>0</v>
      </c>
      <c r="M739" s="24">
        <f>3157.9+36</f>
        <v>3193.9</v>
      </c>
    </row>
    <row r="740" spans="1:13" s="7" customFormat="1" ht="54" customHeight="1" x14ac:dyDescent="0.35">
      <c r="A740" s="11"/>
      <c r="B740" s="496" t="s">
        <v>55</v>
      </c>
      <c r="C740" s="23" t="s">
        <v>312</v>
      </c>
      <c r="D740" s="10" t="s">
        <v>226</v>
      </c>
      <c r="E740" s="10" t="s">
        <v>52</v>
      </c>
      <c r="F740" s="689" t="s">
        <v>63</v>
      </c>
      <c r="G740" s="690" t="s">
        <v>30</v>
      </c>
      <c r="H740" s="690" t="s">
        <v>37</v>
      </c>
      <c r="I740" s="691" t="s">
        <v>48</v>
      </c>
      <c r="J740" s="91" t="s">
        <v>56</v>
      </c>
      <c r="K740" s="24">
        <f>250.2+34.6</f>
        <v>284.8</v>
      </c>
      <c r="L740" s="24">
        <f>M740-K740</f>
        <v>0</v>
      </c>
      <c r="M740" s="24">
        <f>250.2+34.6</f>
        <v>284.8</v>
      </c>
    </row>
    <row r="741" spans="1:13" s="7" customFormat="1" ht="18" customHeight="1" x14ac:dyDescent="0.35">
      <c r="A741" s="11"/>
      <c r="B741" s="496" t="s">
        <v>57</v>
      </c>
      <c r="C741" s="23" t="s">
        <v>312</v>
      </c>
      <c r="D741" s="10" t="s">
        <v>226</v>
      </c>
      <c r="E741" s="10" t="s">
        <v>52</v>
      </c>
      <c r="F741" s="689" t="s">
        <v>63</v>
      </c>
      <c r="G741" s="690" t="s">
        <v>30</v>
      </c>
      <c r="H741" s="690" t="s">
        <v>37</v>
      </c>
      <c r="I741" s="691" t="s">
        <v>48</v>
      </c>
      <c r="J741" s="10" t="s">
        <v>58</v>
      </c>
      <c r="K741" s="24">
        <v>8.5</v>
      </c>
      <c r="L741" s="24">
        <f>M741-K741</f>
        <v>0</v>
      </c>
      <c r="M741" s="24">
        <v>8.5</v>
      </c>
    </row>
    <row r="742" spans="1:13" s="7" customFormat="1" ht="36" customHeight="1" x14ac:dyDescent="0.35">
      <c r="A742" s="11"/>
      <c r="B742" s="529" t="s">
        <v>461</v>
      </c>
      <c r="C742" s="23" t="s">
        <v>312</v>
      </c>
      <c r="D742" s="10" t="s">
        <v>226</v>
      </c>
      <c r="E742" s="10" t="s">
        <v>52</v>
      </c>
      <c r="F742" s="689" t="s">
        <v>63</v>
      </c>
      <c r="G742" s="690" t="s">
        <v>30</v>
      </c>
      <c r="H742" s="690" t="s">
        <v>37</v>
      </c>
      <c r="I742" s="691" t="s">
        <v>91</v>
      </c>
      <c r="J742" s="10"/>
      <c r="K742" s="24">
        <f>K743+K744+K745</f>
        <v>8034.5000000000009</v>
      </c>
      <c r="L742" s="24">
        <f>L743+L744+L745</f>
        <v>0</v>
      </c>
      <c r="M742" s="24">
        <f>M743+M744+M745</f>
        <v>8034.5000000000009</v>
      </c>
    </row>
    <row r="743" spans="1:13" s="7" customFormat="1" ht="108" customHeight="1" x14ac:dyDescent="0.35">
      <c r="A743" s="11"/>
      <c r="B743" s="496" t="s">
        <v>49</v>
      </c>
      <c r="C743" s="143" t="s">
        <v>312</v>
      </c>
      <c r="D743" s="91" t="s">
        <v>226</v>
      </c>
      <c r="E743" s="91" t="s">
        <v>52</v>
      </c>
      <c r="F743" s="689" t="s">
        <v>63</v>
      </c>
      <c r="G743" s="690" t="s">
        <v>30</v>
      </c>
      <c r="H743" s="690" t="s">
        <v>37</v>
      </c>
      <c r="I743" s="691" t="s">
        <v>91</v>
      </c>
      <c r="J743" s="91" t="s">
        <v>50</v>
      </c>
      <c r="K743" s="24">
        <f>7283.1-1470.7+1470.7</f>
        <v>7283.1</v>
      </c>
      <c r="L743" s="24">
        <f>M743-K743</f>
        <v>0</v>
      </c>
      <c r="M743" s="24">
        <f>7283.1-1470.7+1470.7</f>
        <v>7283.1</v>
      </c>
    </row>
    <row r="744" spans="1:13" s="7" customFormat="1" ht="54" customHeight="1" x14ac:dyDescent="0.35">
      <c r="A744" s="11"/>
      <c r="B744" s="496" t="s">
        <v>55</v>
      </c>
      <c r="C744" s="143" t="s">
        <v>312</v>
      </c>
      <c r="D744" s="91" t="s">
        <v>226</v>
      </c>
      <c r="E744" s="91" t="s">
        <v>52</v>
      </c>
      <c r="F744" s="689" t="s">
        <v>63</v>
      </c>
      <c r="G744" s="690" t="s">
        <v>30</v>
      </c>
      <c r="H744" s="690" t="s">
        <v>37</v>
      </c>
      <c r="I744" s="691" t="s">
        <v>91</v>
      </c>
      <c r="J744" s="91" t="s">
        <v>56</v>
      </c>
      <c r="K744" s="24">
        <f>642.6+107.2</f>
        <v>749.80000000000007</v>
      </c>
      <c r="L744" s="24">
        <f>M744-K744</f>
        <v>0</v>
      </c>
      <c r="M744" s="24">
        <f>642.6+107.2</f>
        <v>749.80000000000007</v>
      </c>
    </row>
    <row r="745" spans="1:13" s="7" customFormat="1" ht="18" customHeight="1" x14ac:dyDescent="0.35">
      <c r="A745" s="11"/>
      <c r="B745" s="496" t="s">
        <v>57</v>
      </c>
      <c r="C745" s="143" t="s">
        <v>312</v>
      </c>
      <c r="D745" s="91" t="s">
        <v>226</v>
      </c>
      <c r="E745" s="91" t="s">
        <v>52</v>
      </c>
      <c r="F745" s="689" t="s">
        <v>63</v>
      </c>
      <c r="G745" s="690" t="s">
        <v>30</v>
      </c>
      <c r="H745" s="690" t="s">
        <v>37</v>
      </c>
      <c r="I745" s="691" t="s">
        <v>91</v>
      </c>
      <c r="J745" s="10" t="s">
        <v>58</v>
      </c>
      <c r="K745" s="24">
        <v>1.6</v>
      </c>
      <c r="L745" s="24">
        <f>M745-K745</f>
        <v>0</v>
      </c>
      <c r="M745" s="24">
        <v>1.6</v>
      </c>
    </row>
    <row r="746" spans="1:13" s="131" customFormat="1" ht="18" customHeight="1" x14ac:dyDescent="0.35">
      <c r="A746" s="212"/>
      <c r="B746" s="568"/>
      <c r="C746" s="143"/>
      <c r="D746" s="91"/>
      <c r="E746" s="91"/>
      <c r="F746" s="689"/>
      <c r="G746" s="690"/>
      <c r="H746" s="690"/>
      <c r="I746" s="210"/>
      <c r="J746" s="211"/>
      <c r="K746" s="257"/>
      <c r="L746" s="257"/>
      <c r="M746" s="257"/>
    </row>
    <row r="747" spans="1:13" s="111" customFormat="1" ht="52.2" customHeight="1" x14ac:dyDescent="0.3">
      <c r="A747" s="110">
        <v>7</v>
      </c>
      <c r="B747" s="543" t="s">
        <v>10</v>
      </c>
      <c r="C747" s="18" t="s">
        <v>289</v>
      </c>
      <c r="D747" s="19"/>
      <c r="E747" s="19"/>
      <c r="F747" s="20"/>
      <c r="G747" s="21"/>
      <c r="H747" s="21"/>
      <c r="I747" s="22"/>
      <c r="J747" s="19"/>
      <c r="K747" s="32">
        <f>K755+K748</f>
        <v>79475.399999999994</v>
      </c>
      <c r="L747" s="32">
        <f>L755+L748</f>
        <v>-2027.2</v>
      </c>
      <c r="M747" s="32">
        <f>M755+M748</f>
        <v>77448.2</v>
      </c>
    </row>
    <row r="748" spans="1:13" s="111" customFormat="1" ht="18" customHeight="1" x14ac:dyDescent="0.35">
      <c r="A748" s="110"/>
      <c r="B748" s="493" t="s">
        <v>36</v>
      </c>
      <c r="C748" s="214" t="s">
        <v>289</v>
      </c>
      <c r="D748" s="28" t="s">
        <v>37</v>
      </c>
      <c r="E748" s="28"/>
      <c r="F748" s="206"/>
      <c r="G748" s="207"/>
      <c r="H748" s="207"/>
      <c r="I748" s="208"/>
      <c r="J748" s="28"/>
      <c r="K748" s="209">
        <f t="shared" ref="K748:M752" si="104">K749</f>
        <v>60.8</v>
      </c>
      <c r="L748" s="209">
        <f t="shared" si="104"/>
        <v>0</v>
      </c>
      <c r="M748" s="209">
        <f t="shared" si="104"/>
        <v>60.8</v>
      </c>
    </row>
    <row r="749" spans="1:13" s="111" customFormat="1" ht="18" customHeight="1" x14ac:dyDescent="0.35">
      <c r="A749" s="110"/>
      <c r="B749" s="493" t="s">
        <v>70</v>
      </c>
      <c r="C749" s="214" t="s">
        <v>289</v>
      </c>
      <c r="D749" s="28" t="s">
        <v>37</v>
      </c>
      <c r="E749" s="28" t="s">
        <v>71</v>
      </c>
      <c r="F749" s="206"/>
      <c r="G749" s="207"/>
      <c r="H749" s="207"/>
      <c r="I749" s="208"/>
      <c r="J749" s="28"/>
      <c r="K749" s="209">
        <f t="shared" si="104"/>
        <v>60.8</v>
      </c>
      <c r="L749" s="209">
        <f t="shared" si="104"/>
        <v>0</v>
      </c>
      <c r="M749" s="209">
        <f t="shared" si="104"/>
        <v>60.8</v>
      </c>
    </row>
    <row r="750" spans="1:13" s="111" customFormat="1" ht="54" customHeight="1" x14ac:dyDescent="0.35">
      <c r="A750" s="110"/>
      <c r="B750" s="496" t="s">
        <v>217</v>
      </c>
      <c r="C750" s="214" t="s">
        <v>289</v>
      </c>
      <c r="D750" s="28" t="s">
        <v>37</v>
      </c>
      <c r="E750" s="28" t="s">
        <v>71</v>
      </c>
      <c r="F750" s="206" t="s">
        <v>52</v>
      </c>
      <c r="G750" s="207" t="s">
        <v>42</v>
      </c>
      <c r="H750" s="207" t="s">
        <v>43</v>
      </c>
      <c r="I750" s="208" t="s">
        <v>44</v>
      </c>
      <c r="J750" s="28"/>
      <c r="K750" s="209">
        <f t="shared" si="104"/>
        <v>60.8</v>
      </c>
      <c r="L750" s="209">
        <f t="shared" si="104"/>
        <v>0</v>
      </c>
      <c r="M750" s="209">
        <f t="shared" si="104"/>
        <v>60.8</v>
      </c>
    </row>
    <row r="751" spans="1:13" s="111" customFormat="1" ht="36" customHeight="1" x14ac:dyDescent="0.35">
      <c r="A751" s="110"/>
      <c r="B751" s="496" t="s">
        <v>220</v>
      </c>
      <c r="C751" s="214" t="s">
        <v>289</v>
      </c>
      <c r="D751" s="28" t="s">
        <v>37</v>
      </c>
      <c r="E751" s="28" t="s">
        <v>71</v>
      </c>
      <c r="F751" s="206" t="s">
        <v>52</v>
      </c>
      <c r="G751" s="207" t="s">
        <v>89</v>
      </c>
      <c r="H751" s="207" t="s">
        <v>43</v>
      </c>
      <c r="I751" s="208" t="s">
        <v>44</v>
      </c>
      <c r="J751" s="28"/>
      <c r="K751" s="209">
        <f t="shared" si="104"/>
        <v>60.8</v>
      </c>
      <c r="L751" s="209">
        <f t="shared" si="104"/>
        <v>0</v>
      </c>
      <c r="M751" s="209">
        <f t="shared" si="104"/>
        <v>60.8</v>
      </c>
    </row>
    <row r="752" spans="1:13" s="111" customFormat="1" ht="36" customHeight="1" x14ac:dyDescent="0.35">
      <c r="A752" s="110"/>
      <c r="B752" s="493" t="s">
        <v>349</v>
      </c>
      <c r="C752" s="214" t="s">
        <v>289</v>
      </c>
      <c r="D752" s="28" t="s">
        <v>37</v>
      </c>
      <c r="E752" s="28" t="s">
        <v>71</v>
      </c>
      <c r="F752" s="206" t="s">
        <v>52</v>
      </c>
      <c r="G752" s="207" t="s">
        <v>89</v>
      </c>
      <c r="H752" s="207" t="s">
        <v>63</v>
      </c>
      <c r="I752" s="208" t="s">
        <v>44</v>
      </c>
      <c r="J752" s="28"/>
      <c r="K752" s="209">
        <f t="shared" si="104"/>
        <v>60.8</v>
      </c>
      <c r="L752" s="209">
        <f t="shared" si="104"/>
        <v>0</v>
      </c>
      <c r="M752" s="209">
        <f t="shared" si="104"/>
        <v>60.8</v>
      </c>
    </row>
    <row r="753" spans="1:13" s="111" customFormat="1" ht="54" customHeight="1" x14ac:dyDescent="0.35">
      <c r="A753" s="110"/>
      <c r="B753" s="569" t="s">
        <v>350</v>
      </c>
      <c r="C753" s="214" t="s">
        <v>289</v>
      </c>
      <c r="D753" s="28" t="s">
        <v>37</v>
      </c>
      <c r="E753" s="28" t="s">
        <v>71</v>
      </c>
      <c r="F753" s="206" t="s">
        <v>52</v>
      </c>
      <c r="G753" s="207" t="s">
        <v>89</v>
      </c>
      <c r="H753" s="207" t="s">
        <v>63</v>
      </c>
      <c r="I753" s="208" t="s">
        <v>105</v>
      </c>
      <c r="J753" s="28"/>
      <c r="K753" s="209">
        <f>K754</f>
        <v>60.8</v>
      </c>
      <c r="L753" s="209">
        <f>L754</f>
        <v>0</v>
      </c>
      <c r="M753" s="209">
        <f>M754</f>
        <v>60.8</v>
      </c>
    </row>
    <row r="754" spans="1:13" s="111" customFormat="1" ht="54" customHeight="1" x14ac:dyDescent="0.35">
      <c r="A754" s="110"/>
      <c r="B754" s="496" t="s">
        <v>55</v>
      </c>
      <c r="C754" s="214" t="s">
        <v>289</v>
      </c>
      <c r="D754" s="28" t="s">
        <v>37</v>
      </c>
      <c r="E754" s="28" t="s">
        <v>71</v>
      </c>
      <c r="F754" s="206" t="s">
        <v>52</v>
      </c>
      <c r="G754" s="207" t="s">
        <v>89</v>
      </c>
      <c r="H754" s="207" t="s">
        <v>63</v>
      </c>
      <c r="I754" s="208" t="s">
        <v>105</v>
      </c>
      <c r="J754" s="28" t="s">
        <v>56</v>
      </c>
      <c r="K754" s="209">
        <f>38.4+22.4</f>
        <v>60.8</v>
      </c>
      <c r="L754" s="24">
        <f>M754-K754</f>
        <v>0</v>
      </c>
      <c r="M754" s="209">
        <f>38.4+22.4</f>
        <v>60.8</v>
      </c>
    </row>
    <row r="755" spans="1:13" s="7" customFormat="1" ht="18" customHeight="1" x14ac:dyDescent="0.35">
      <c r="A755" s="11"/>
      <c r="B755" s="546" t="s">
        <v>320</v>
      </c>
      <c r="C755" s="23" t="s">
        <v>289</v>
      </c>
      <c r="D755" s="10" t="s">
        <v>67</v>
      </c>
      <c r="E755" s="10"/>
      <c r="F755" s="689"/>
      <c r="G755" s="690"/>
      <c r="H755" s="690"/>
      <c r="I755" s="691"/>
      <c r="J755" s="10"/>
      <c r="K755" s="24">
        <f>K756+K777+K812+K790</f>
        <v>79414.599999999991</v>
      </c>
      <c r="L755" s="24">
        <f>L756+L777+L812+L790</f>
        <v>-2027.2</v>
      </c>
      <c r="M755" s="24">
        <f>M756+M777+M812+M790</f>
        <v>77387.399999999994</v>
      </c>
    </row>
    <row r="756" spans="1:13" s="111" customFormat="1" ht="18" customHeight="1" x14ac:dyDescent="0.35">
      <c r="A756" s="11"/>
      <c r="B756" s="546" t="s">
        <v>358</v>
      </c>
      <c r="C756" s="23" t="s">
        <v>289</v>
      </c>
      <c r="D756" s="10" t="s">
        <v>67</v>
      </c>
      <c r="E756" s="10" t="s">
        <v>37</v>
      </c>
      <c r="F756" s="689"/>
      <c r="G756" s="690"/>
      <c r="H756" s="690"/>
      <c r="I756" s="691"/>
      <c r="J756" s="10"/>
      <c r="K756" s="24">
        <f>K757</f>
        <v>9116.9064800000015</v>
      </c>
      <c r="L756" s="24">
        <f>L757</f>
        <v>0</v>
      </c>
      <c r="M756" s="24">
        <f>M757</f>
        <v>9116.9064800000015</v>
      </c>
    </row>
    <row r="757" spans="1:13" s="111" customFormat="1" ht="54" customHeight="1" x14ac:dyDescent="0.35">
      <c r="A757" s="11"/>
      <c r="B757" s="496" t="s">
        <v>217</v>
      </c>
      <c r="C757" s="23" t="s">
        <v>289</v>
      </c>
      <c r="D757" s="10" t="s">
        <v>67</v>
      </c>
      <c r="E757" s="10" t="s">
        <v>37</v>
      </c>
      <c r="F757" s="689" t="s">
        <v>52</v>
      </c>
      <c r="G757" s="690" t="s">
        <v>42</v>
      </c>
      <c r="H757" s="690" t="s">
        <v>43</v>
      </c>
      <c r="I757" s="691" t="s">
        <v>44</v>
      </c>
      <c r="J757" s="10"/>
      <c r="K757" s="24">
        <f>K758+K762</f>
        <v>9116.9064800000015</v>
      </c>
      <c r="L757" s="24">
        <f>L758+L762</f>
        <v>0</v>
      </c>
      <c r="M757" s="24">
        <f>M758+M762</f>
        <v>9116.9064800000015</v>
      </c>
    </row>
    <row r="758" spans="1:13" s="111" customFormat="1" ht="36" customHeight="1" x14ac:dyDescent="0.35">
      <c r="A758" s="11"/>
      <c r="B758" s="546" t="s">
        <v>218</v>
      </c>
      <c r="C758" s="23" t="s">
        <v>289</v>
      </c>
      <c r="D758" s="10" t="s">
        <v>67</v>
      </c>
      <c r="E758" s="10" t="s">
        <v>37</v>
      </c>
      <c r="F758" s="689" t="s">
        <v>52</v>
      </c>
      <c r="G758" s="690" t="s">
        <v>45</v>
      </c>
      <c r="H758" s="690" t="s">
        <v>43</v>
      </c>
      <c r="I758" s="691" t="s">
        <v>44</v>
      </c>
      <c r="J758" s="10"/>
      <c r="K758" s="24">
        <f>K759</f>
        <v>66</v>
      </c>
      <c r="L758" s="24">
        <f>L759</f>
        <v>0</v>
      </c>
      <c r="M758" s="24">
        <f>M759</f>
        <v>66</v>
      </c>
    </row>
    <row r="759" spans="1:13" s="111" customFormat="1" ht="18" customHeight="1" x14ac:dyDescent="0.35">
      <c r="A759" s="11"/>
      <c r="B759" s="496" t="s">
        <v>276</v>
      </c>
      <c r="C759" s="23" t="s">
        <v>289</v>
      </c>
      <c r="D759" s="10" t="s">
        <v>67</v>
      </c>
      <c r="E759" s="10" t="s">
        <v>37</v>
      </c>
      <c r="F759" s="689" t="s">
        <v>52</v>
      </c>
      <c r="G759" s="690" t="s">
        <v>45</v>
      </c>
      <c r="H759" s="690" t="s">
        <v>37</v>
      </c>
      <c r="I759" s="691" t="s">
        <v>44</v>
      </c>
      <c r="J759" s="10"/>
      <c r="K759" s="24">
        <f t="shared" ref="K759:M760" si="105">K760</f>
        <v>66</v>
      </c>
      <c r="L759" s="24">
        <f t="shared" si="105"/>
        <v>0</v>
      </c>
      <c r="M759" s="24">
        <f t="shared" si="105"/>
        <v>66</v>
      </c>
    </row>
    <row r="760" spans="1:13" s="111" customFormat="1" ht="36" customHeight="1" x14ac:dyDescent="0.35">
      <c r="A760" s="11"/>
      <c r="B760" s="496" t="s">
        <v>277</v>
      </c>
      <c r="C760" s="23" t="s">
        <v>289</v>
      </c>
      <c r="D760" s="10" t="s">
        <v>67</v>
      </c>
      <c r="E760" s="10" t="s">
        <v>37</v>
      </c>
      <c r="F760" s="689" t="s">
        <v>52</v>
      </c>
      <c r="G760" s="690" t="s">
        <v>45</v>
      </c>
      <c r="H760" s="690" t="s">
        <v>37</v>
      </c>
      <c r="I760" s="691" t="s">
        <v>278</v>
      </c>
      <c r="J760" s="10"/>
      <c r="K760" s="24">
        <f t="shared" si="105"/>
        <v>66</v>
      </c>
      <c r="L760" s="24">
        <f t="shared" si="105"/>
        <v>0</v>
      </c>
      <c r="M760" s="24">
        <f t="shared" si="105"/>
        <v>66</v>
      </c>
    </row>
    <row r="761" spans="1:13" s="111" customFormat="1" ht="36" customHeight="1" x14ac:dyDescent="0.35">
      <c r="A761" s="11"/>
      <c r="B761" s="496" t="s">
        <v>120</v>
      </c>
      <c r="C761" s="23" t="s">
        <v>289</v>
      </c>
      <c r="D761" s="10" t="s">
        <v>67</v>
      </c>
      <c r="E761" s="10" t="s">
        <v>37</v>
      </c>
      <c r="F761" s="689" t="s">
        <v>52</v>
      </c>
      <c r="G761" s="690" t="s">
        <v>45</v>
      </c>
      <c r="H761" s="690" t="s">
        <v>37</v>
      </c>
      <c r="I761" s="691" t="s">
        <v>278</v>
      </c>
      <c r="J761" s="10" t="s">
        <v>121</v>
      </c>
      <c r="K761" s="24">
        <f>315+63-312</f>
        <v>66</v>
      </c>
      <c r="L761" s="24">
        <f>M761-K761</f>
        <v>0</v>
      </c>
      <c r="M761" s="24">
        <f>315+63-312</f>
        <v>66</v>
      </c>
    </row>
    <row r="762" spans="1:13" s="7" customFormat="1" ht="36" customHeight="1" x14ac:dyDescent="0.35">
      <c r="A762" s="11"/>
      <c r="B762" s="496" t="s">
        <v>220</v>
      </c>
      <c r="C762" s="23" t="s">
        <v>289</v>
      </c>
      <c r="D762" s="10" t="s">
        <v>67</v>
      </c>
      <c r="E762" s="10" t="s">
        <v>37</v>
      </c>
      <c r="F762" s="689" t="s">
        <v>52</v>
      </c>
      <c r="G762" s="690" t="s">
        <v>89</v>
      </c>
      <c r="H762" s="690" t="s">
        <v>43</v>
      </c>
      <c r="I762" s="691" t="s">
        <v>44</v>
      </c>
      <c r="J762" s="10"/>
      <c r="K762" s="24">
        <f>K763+K770</f>
        <v>9050.9064800000015</v>
      </c>
      <c r="L762" s="24">
        <f>L763+L770</f>
        <v>0</v>
      </c>
      <c r="M762" s="24">
        <f>M763+M770</f>
        <v>9050.9064800000015</v>
      </c>
    </row>
    <row r="763" spans="1:13" s="111" customFormat="1" ht="36.6" customHeight="1" x14ac:dyDescent="0.35">
      <c r="A763" s="11"/>
      <c r="B763" s="496" t="s">
        <v>359</v>
      </c>
      <c r="C763" s="23" t="s">
        <v>289</v>
      </c>
      <c r="D763" s="10" t="s">
        <v>67</v>
      </c>
      <c r="E763" s="10" t="s">
        <v>37</v>
      </c>
      <c r="F763" s="689" t="s">
        <v>52</v>
      </c>
      <c r="G763" s="690" t="s">
        <v>89</v>
      </c>
      <c r="H763" s="690" t="s">
        <v>39</v>
      </c>
      <c r="I763" s="691" t="s">
        <v>44</v>
      </c>
      <c r="J763" s="10"/>
      <c r="K763" s="24">
        <f>K764+K768</f>
        <v>4221.5064800000009</v>
      </c>
      <c r="L763" s="24">
        <f>L764+L768</f>
        <v>0</v>
      </c>
      <c r="M763" s="24">
        <f>M764+M768</f>
        <v>4221.5064800000009</v>
      </c>
    </row>
    <row r="764" spans="1:13" s="111" customFormat="1" ht="36" customHeight="1" x14ac:dyDescent="0.35">
      <c r="A764" s="11"/>
      <c r="B764" s="529" t="s">
        <v>461</v>
      </c>
      <c r="C764" s="23" t="s">
        <v>289</v>
      </c>
      <c r="D764" s="10" t="s">
        <v>67</v>
      </c>
      <c r="E764" s="10" t="s">
        <v>37</v>
      </c>
      <c r="F764" s="689" t="s">
        <v>52</v>
      </c>
      <c r="G764" s="690" t="s">
        <v>89</v>
      </c>
      <c r="H764" s="690" t="s">
        <v>39</v>
      </c>
      <c r="I764" s="691" t="s">
        <v>91</v>
      </c>
      <c r="J764" s="10"/>
      <c r="K764" s="24">
        <f>K765+K766+K767</f>
        <v>3912.8184800000017</v>
      </c>
      <c r="L764" s="24">
        <f>L765+L766+L767</f>
        <v>0</v>
      </c>
      <c r="M764" s="24">
        <f>M765+M766+M767</f>
        <v>3912.8184800000017</v>
      </c>
    </row>
    <row r="765" spans="1:13" s="111" customFormat="1" ht="108" customHeight="1" x14ac:dyDescent="0.35">
      <c r="A765" s="11"/>
      <c r="B765" s="496" t="s">
        <v>49</v>
      </c>
      <c r="C765" s="23" t="s">
        <v>289</v>
      </c>
      <c r="D765" s="10" t="s">
        <v>67</v>
      </c>
      <c r="E765" s="10" t="s">
        <v>37</v>
      </c>
      <c r="F765" s="689" t="s">
        <v>52</v>
      </c>
      <c r="G765" s="690" t="s">
        <v>89</v>
      </c>
      <c r="H765" s="690" t="s">
        <v>39</v>
      </c>
      <c r="I765" s="691" t="s">
        <v>91</v>
      </c>
      <c r="J765" s="10" t="s">
        <v>50</v>
      </c>
      <c r="K765" s="24">
        <f>20027.9+85+852.7-17793.32805</f>
        <v>3172.2719500000021</v>
      </c>
      <c r="L765" s="24">
        <f>M765-K765</f>
        <v>0</v>
      </c>
      <c r="M765" s="24">
        <f>20027.9+85+852.7-17793.32805</f>
        <v>3172.2719500000021</v>
      </c>
    </row>
    <row r="766" spans="1:13" s="7" customFormat="1" ht="54" customHeight="1" x14ac:dyDescent="0.35">
      <c r="A766" s="11"/>
      <c r="B766" s="496" t="s">
        <v>55</v>
      </c>
      <c r="C766" s="23" t="s">
        <v>289</v>
      </c>
      <c r="D766" s="10" t="s">
        <v>67</v>
      </c>
      <c r="E766" s="10" t="s">
        <v>37</v>
      </c>
      <c r="F766" s="689" t="s">
        <v>52</v>
      </c>
      <c r="G766" s="690" t="s">
        <v>89</v>
      </c>
      <c r="H766" s="690" t="s">
        <v>39</v>
      </c>
      <c r="I766" s="691" t="s">
        <v>91</v>
      </c>
      <c r="J766" s="10" t="s">
        <v>56</v>
      </c>
      <c r="K766" s="24">
        <f>5504.9-0.1+2070.5-6834.83343</f>
        <v>740.46656999999959</v>
      </c>
      <c r="L766" s="24">
        <f>M766-K766</f>
        <v>0</v>
      </c>
      <c r="M766" s="24">
        <f>5504.9-0.1+2070.5-6834.83343</f>
        <v>740.46656999999959</v>
      </c>
    </row>
    <row r="767" spans="1:13" s="111" customFormat="1" ht="18" customHeight="1" x14ac:dyDescent="0.35">
      <c r="A767" s="11"/>
      <c r="B767" s="496" t="s">
        <v>57</v>
      </c>
      <c r="C767" s="23" t="s">
        <v>289</v>
      </c>
      <c r="D767" s="10" t="s">
        <v>67</v>
      </c>
      <c r="E767" s="10" t="s">
        <v>37</v>
      </c>
      <c r="F767" s="689" t="s">
        <v>52</v>
      </c>
      <c r="G767" s="690" t="s">
        <v>89</v>
      </c>
      <c r="H767" s="690" t="s">
        <v>39</v>
      </c>
      <c r="I767" s="691" t="s">
        <v>91</v>
      </c>
      <c r="J767" s="10" t="s">
        <v>58</v>
      </c>
      <c r="K767" s="24">
        <f>60.6+1105.5-1166.02004</f>
        <v>7.9959999999800857E-2</v>
      </c>
      <c r="L767" s="24">
        <f>M767-K767</f>
        <v>0</v>
      </c>
      <c r="M767" s="24">
        <f>60.6+1105.5-1166.02004</f>
        <v>7.9959999999800857E-2</v>
      </c>
    </row>
    <row r="768" spans="1:13" s="111" customFormat="1" ht="54" customHeight="1" x14ac:dyDescent="0.35">
      <c r="A768" s="11"/>
      <c r="B768" s="496" t="s">
        <v>219</v>
      </c>
      <c r="C768" s="23" t="s">
        <v>289</v>
      </c>
      <c r="D768" s="10" t="s">
        <v>67</v>
      </c>
      <c r="E768" s="10" t="s">
        <v>37</v>
      </c>
      <c r="F768" s="689" t="s">
        <v>52</v>
      </c>
      <c r="G768" s="690" t="s">
        <v>89</v>
      </c>
      <c r="H768" s="690" t="s">
        <v>39</v>
      </c>
      <c r="I768" s="691" t="s">
        <v>291</v>
      </c>
      <c r="J768" s="10"/>
      <c r="K768" s="24">
        <f>K769</f>
        <v>308.68799999999919</v>
      </c>
      <c r="L768" s="24">
        <f>L769</f>
        <v>0</v>
      </c>
      <c r="M768" s="24">
        <f>M769</f>
        <v>308.68799999999919</v>
      </c>
    </row>
    <row r="769" spans="1:14" s="111" customFormat="1" ht="54" customHeight="1" x14ac:dyDescent="0.35">
      <c r="A769" s="11"/>
      <c r="B769" s="496" t="s">
        <v>55</v>
      </c>
      <c r="C769" s="23" t="s">
        <v>289</v>
      </c>
      <c r="D769" s="10" t="s">
        <v>67</v>
      </c>
      <c r="E769" s="10" t="s">
        <v>37</v>
      </c>
      <c r="F769" s="689" t="s">
        <v>52</v>
      </c>
      <c r="G769" s="690" t="s">
        <v>89</v>
      </c>
      <c r="H769" s="690" t="s">
        <v>39</v>
      </c>
      <c r="I769" s="691" t="s">
        <v>291</v>
      </c>
      <c r="J769" s="10" t="s">
        <v>56</v>
      </c>
      <c r="K769" s="24">
        <f>4190.2+238.7-4120.212</f>
        <v>308.68799999999919</v>
      </c>
      <c r="L769" s="24">
        <f>M769-K769</f>
        <v>0</v>
      </c>
      <c r="M769" s="24">
        <f>4190.2+238.7-4120.212</f>
        <v>308.68799999999919</v>
      </c>
    </row>
    <row r="770" spans="1:14" s="111" customFormat="1" ht="36" customHeight="1" x14ac:dyDescent="0.35">
      <c r="A770" s="11"/>
      <c r="B770" s="496" t="s">
        <v>556</v>
      </c>
      <c r="C770" s="23" t="s">
        <v>289</v>
      </c>
      <c r="D770" s="10" t="s">
        <v>67</v>
      </c>
      <c r="E770" s="10" t="s">
        <v>37</v>
      </c>
      <c r="F770" s="689" t="s">
        <v>52</v>
      </c>
      <c r="G770" s="690" t="s">
        <v>89</v>
      </c>
      <c r="H770" s="690" t="s">
        <v>52</v>
      </c>
      <c r="I770" s="691" t="s">
        <v>44</v>
      </c>
      <c r="J770" s="10"/>
      <c r="K770" s="24">
        <f>K771+K775</f>
        <v>4829.3999999999996</v>
      </c>
      <c r="L770" s="24">
        <f>L771+L775</f>
        <v>0</v>
      </c>
      <c r="M770" s="24">
        <f>M771+M775</f>
        <v>4829.3999999999996</v>
      </c>
    </row>
    <row r="771" spans="1:14" s="111" customFormat="1" ht="36" customHeight="1" x14ac:dyDescent="0.35">
      <c r="A771" s="11"/>
      <c r="B771" s="496" t="s">
        <v>461</v>
      </c>
      <c r="C771" s="23" t="s">
        <v>289</v>
      </c>
      <c r="D771" s="10" t="s">
        <v>67</v>
      </c>
      <c r="E771" s="10" t="s">
        <v>37</v>
      </c>
      <c r="F771" s="689" t="s">
        <v>52</v>
      </c>
      <c r="G771" s="690" t="s">
        <v>89</v>
      </c>
      <c r="H771" s="690" t="s">
        <v>52</v>
      </c>
      <c r="I771" s="691" t="s">
        <v>91</v>
      </c>
      <c r="J771" s="10"/>
      <c r="K771" s="24">
        <f>K772+K773+K774</f>
        <v>3927.1</v>
      </c>
      <c r="L771" s="24">
        <f>L772+L773+L774</f>
        <v>0</v>
      </c>
      <c r="M771" s="24">
        <f>M772+M773+M774</f>
        <v>3927.1</v>
      </c>
    </row>
    <row r="772" spans="1:14" s="111" customFormat="1" ht="108" customHeight="1" x14ac:dyDescent="0.35">
      <c r="A772" s="11"/>
      <c r="B772" s="496" t="s">
        <v>49</v>
      </c>
      <c r="C772" s="23" t="s">
        <v>289</v>
      </c>
      <c r="D772" s="10" t="s">
        <v>67</v>
      </c>
      <c r="E772" s="10" t="s">
        <v>37</v>
      </c>
      <c r="F772" s="689" t="s">
        <v>52</v>
      </c>
      <c r="G772" s="690" t="s">
        <v>89</v>
      </c>
      <c r="H772" s="690" t="s">
        <v>52</v>
      </c>
      <c r="I772" s="691" t="s">
        <v>91</v>
      </c>
      <c r="J772" s="10" t="s">
        <v>50</v>
      </c>
      <c r="K772" s="24">
        <f>2045+34.9</f>
        <v>2079.9</v>
      </c>
      <c r="L772" s="24">
        <f>M772-K772</f>
        <v>0</v>
      </c>
      <c r="M772" s="24">
        <f>2045+34.9</f>
        <v>2079.9</v>
      </c>
    </row>
    <row r="773" spans="1:14" s="111" customFormat="1" ht="54" customHeight="1" x14ac:dyDescent="0.35">
      <c r="A773" s="11"/>
      <c r="B773" s="496" t="s">
        <v>55</v>
      </c>
      <c r="C773" s="23" t="s">
        <v>289</v>
      </c>
      <c r="D773" s="10" t="s">
        <v>67</v>
      </c>
      <c r="E773" s="10" t="s">
        <v>37</v>
      </c>
      <c r="F773" s="689" t="s">
        <v>52</v>
      </c>
      <c r="G773" s="690" t="s">
        <v>89</v>
      </c>
      <c r="H773" s="690" t="s">
        <v>52</v>
      </c>
      <c r="I773" s="691" t="s">
        <v>91</v>
      </c>
      <c r="J773" s="10" t="s">
        <v>56</v>
      </c>
      <c r="K773" s="24">
        <f>1194.6+429+187.9</f>
        <v>1811.5</v>
      </c>
      <c r="L773" s="24">
        <f>M773-K773</f>
        <v>0</v>
      </c>
      <c r="M773" s="24">
        <f>1194.6+429+187.9</f>
        <v>1811.5</v>
      </c>
    </row>
    <row r="774" spans="1:14" s="111" customFormat="1" ht="18" customHeight="1" x14ac:dyDescent="0.35">
      <c r="A774" s="11"/>
      <c r="B774" s="496" t="s">
        <v>57</v>
      </c>
      <c r="C774" s="23" t="s">
        <v>289</v>
      </c>
      <c r="D774" s="10" t="s">
        <v>67</v>
      </c>
      <c r="E774" s="10" t="s">
        <v>37</v>
      </c>
      <c r="F774" s="689" t="s">
        <v>52</v>
      </c>
      <c r="G774" s="690" t="s">
        <v>89</v>
      </c>
      <c r="H774" s="690" t="s">
        <v>52</v>
      </c>
      <c r="I774" s="691" t="s">
        <v>91</v>
      </c>
      <c r="J774" s="10" t="s">
        <v>58</v>
      </c>
      <c r="K774" s="24">
        <f>8.7+27</f>
        <v>35.700000000000003</v>
      </c>
      <c r="L774" s="24">
        <f>M774-K774</f>
        <v>0</v>
      </c>
      <c r="M774" s="24">
        <f>8.7+27</f>
        <v>35.700000000000003</v>
      </c>
    </row>
    <row r="775" spans="1:14" s="111" customFormat="1" ht="54" customHeight="1" x14ac:dyDescent="0.35">
      <c r="A775" s="11"/>
      <c r="B775" s="496" t="s">
        <v>219</v>
      </c>
      <c r="C775" s="23" t="s">
        <v>289</v>
      </c>
      <c r="D775" s="10" t="s">
        <v>67</v>
      </c>
      <c r="E775" s="10" t="s">
        <v>37</v>
      </c>
      <c r="F775" s="689" t="s">
        <v>52</v>
      </c>
      <c r="G775" s="690" t="s">
        <v>89</v>
      </c>
      <c r="H775" s="690" t="s">
        <v>52</v>
      </c>
      <c r="I775" s="691" t="s">
        <v>291</v>
      </c>
      <c r="J775" s="10"/>
      <c r="K775" s="24">
        <f>K776</f>
        <v>902.3</v>
      </c>
      <c r="L775" s="24">
        <f>L776</f>
        <v>0</v>
      </c>
      <c r="M775" s="24">
        <f>M776</f>
        <v>902.3</v>
      </c>
    </row>
    <row r="776" spans="1:14" s="111" customFormat="1" ht="54" customHeight="1" x14ac:dyDescent="0.35">
      <c r="A776" s="11"/>
      <c r="B776" s="496" t="s">
        <v>55</v>
      </c>
      <c r="C776" s="23" t="s">
        <v>289</v>
      </c>
      <c r="D776" s="10" t="s">
        <v>67</v>
      </c>
      <c r="E776" s="10" t="s">
        <v>37</v>
      </c>
      <c r="F776" s="689" t="s">
        <v>52</v>
      </c>
      <c r="G776" s="690" t="s">
        <v>89</v>
      </c>
      <c r="H776" s="690" t="s">
        <v>52</v>
      </c>
      <c r="I776" s="691" t="s">
        <v>291</v>
      </c>
      <c r="J776" s="10" t="s">
        <v>56</v>
      </c>
      <c r="K776" s="24">
        <v>902.3</v>
      </c>
      <c r="L776" s="24">
        <f>M776-K776</f>
        <v>0</v>
      </c>
      <c r="M776" s="24">
        <v>902.3</v>
      </c>
    </row>
    <row r="777" spans="1:14" s="7" customFormat="1" ht="18" customHeight="1" x14ac:dyDescent="0.35">
      <c r="A777" s="11"/>
      <c r="B777" s="546" t="s">
        <v>292</v>
      </c>
      <c r="C777" s="23" t="s">
        <v>289</v>
      </c>
      <c r="D777" s="10" t="s">
        <v>67</v>
      </c>
      <c r="E777" s="10" t="s">
        <v>39</v>
      </c>
      <c r="F777" s="689"/>
      <c r="G777" s="690"/>
      <c r="H777" s="690"/>
      <c r="I777" s="691"/>
      <c r="J777" s="10"/>
      <c r="K777" s="24">
        <f t="shared" ref="K777:M777" si="106">K778</f>
        <v>27213.8</v>
      </c>
      <c r="L777" s="24">
        <f t="shared" si="106"/>
        <v>0</v>
      </c>
      <c r="M777" s="24">
        <f t="shared" si="106"/>
        <v>27213.8</v>
      </c>
      <c r="N777" s="152"/>
    </row>
    <row r="778" spans="1:14" s="7" customFormat="1" ht="54" customHeight="1" x14ac:dyDescent="0.35">
      <c r="A778" s="11"/>
      <c r="B778" s="496" t="s">
        <v>217</v>
      </c>
      <c r="C778" s="23" t="s">
        <v>289</v>
      </c>
      <c r="D778" s="10" t="s">
        <v>67</v>
      </c>
      <c r="E778" s="10" t="s">
        <v>39</v>
      </c>
      <c r="F778" s="689" t="s">
        <v>52</v>
      </c>
      <c r="G778" s="690" t="s">
        <v>42</v>
      </c>
      <c r="H778" s="690" t="s">
        <v>43</v>
      </c>
      <c r="I778" s="691" t="s">
        <v>44</v>
      </c>
      <c r="J778" s="10"/>
      <c r="K778" s="24">
        <f>K779+K786</f>
        <v>27213.8</v>
      </c>
      <c r="L778" s="24">
        <f>L779+L786</f>
        <v>0</v>
      </c>
      <c r="M778" s="24">
        <f>M779+M786</f>
        <v>27213.8</v>
      </c>
    </row>
    <row r="779" spans="1:14" s="7" customFormat="1" ht="36" customHeight="1" x14ac:dyDescent="0.35">
      <c r="A779" s="11"/>
      <c r="B779" s="546" t="s">
        <v>218</v>
      </c>
      <c r="C779" s="23" t="s">
        <v>289</v>
      </c>
      <c r="D779" s="10" t="s">
        <v>67</v>
      </c>
      <c r="E779" s="10" t="s">
        <v>39</v>
      </c>
      <c r="F779" s="689" t="s">
        <v>52</v>
      </c>
      <c r="G779" s="690" t="s">
        <v>45</v>
      </c>
      <c r="H779" s="690" t="s">
        <v>43</v>
      </c>
      <c r="I779" s="691" t="s">
        <v>44</v>
      </c>
      <c r="J779" s="10"/>
      <c r="K779" s="24">
        <f>K780+K783</f>
        <v>2401.8000000000002</v>
      </c>
      <c r="L779" s="24">
        <f>L780+L783</f>
        <v>0</v>
      </c>
      <c r="M779" s="24">
        <f>M780+M783</f>
        <v>2401.8000000000002</v>
      </c>
      <c r="N779" s="152"/>
    </row>
    <row r="780" spans="1:14" s="7" customFormat="1" ht="54" customHeight="1" x14ac:dyDescent="0.35">
      <c r="A780" s="11"/>
      <c r="B780" s="496" t="s">
        <v>290</v>
      </c>
      <c r="C780" s="23" t="s">
        <v>289</v>
      </c>
      <c r="D780" s="10" t="s">
        <v>67</v>
      </c>
      <c r="E780" s="10" t="s">
        <v>39</v>
      </c>
      <c r="F780" s="689" t="s">
        <v>52</v>
      </c>
      <c r="G780" s="690" t="s">
        <v>45</v>
      </c>
      <c r="H780" s="690" t="s">
        <v>39</v>
      </c>
      <c r="I780" s="691" t="s">
        <v>44</v>
      </c>
      <c r="J780" s="10"/>
      <c r="K780" s="24">
        <f t="shared" ref="K780:M780" si="107">K781</f>
        <v>910.6</v>
      </c>
      <c r="L780" s="24">
        <f t="shared" si="107"/>
        <v>0</v>
      </c>
      <c r="M780" s="24">
        <f t="shared" si="107"/>
        <v>910.6</v>
      </c>
      <c r="N780" s="152"/>
    </row>
    <row r="781" spans="1:14" s="7" customFormat="1" ht="54" customHeight="1" x14ac:dyDescent="0.35">
      <c r="A781" s="11"/>
      <c r="B781" s="496" t="s">
        <v>219</v>
      </c>
      <c r="C781" s="23" t="s">
        <v>289</v>
      </c>
      <c r="D781" s="10" t="s">
        <v>67</v>
      </c>
      <c r="E781" s="10" t="s">
        <v>39</v>
      </c>
      <c r="F781" s="689" t="s">
        <v>52</v>
      </c>
      <c r="G781" s="690" t="s">
        <v>45</v>
      </c>
      <c r="H781" s="690" t="s">
        <v>39</v>
      </c>
      <c r="I781" s="691" t="s">
        <v>291</v>
      </c>
      <c r="J781" s="10"/>
      <c r="K781" s="24">
        <f>SUM(K782:K782)</f>
        <v>910.6</v>
      </c>
      <c r="L781" s="24">
        <f>SUM(L782:L782)</f>
        <v>0</v>
      </c>
      <c r="M781" s="24">
        <f>SUM(M782:M782)</f>
        <v>910.6</v>
      </c>
    </row>
    <row r="782" spans="1:14" s="7" customFormat="1" ht="54" customHeight="1" x14ac:dyDescent="0.35">
      <c r="A782" s="11"/>
      <c r="B782" s="496" t="s">
        <v>55</v>
      </c>
      <c r="C782" s="23" t="s">
        <v>289</v>
      </c>
      <c r="D782" s="10" t="s">
        <v>67</v>
      </c>
      <c r="E782" s="10" t="s">
        <v>39</v>
      </c>
      <c r="F782" s="689" t="s">
        <v>52</v>
      </c>
      <c r="G782" s="690" t="s">
        <v>45</v>
      </c>
      <c r="H782" s="690" t="s">
        <v>39</v>
      </c>
      <c r="I782" s="691" t="s">
        <v>291</v>
      </c>
      <c r="J782" s="10" t="s">
        <v>56</v>
      </c>
      <c r="K782" s="24">
        <f>629.7+280.9</f>
        <v>910.6</v>
      </c>
      <c r="L782" s="24">
        <f>M782-K782</f>
        <v>0</v>
      </c>
      <c r="M782" s="24">
        <f>629.7+280.9</f>
        <v>910.6</v>
      </c>
      <c r="N782" s="152"/>
    </row>
    <row r="783" spans="1:14" s="7" customFormat="1" ht="27.75" customHeight="1" x14ac:dyDescent="0.35">
      <c r="A783" s="11"/>
      <c r="B783" s="496" t="s">
        <v>485</v>
      </c>
      <c r="C783" s="23" t="s">
        <v>289</v>
      </c>
      <c r="D783" s="10" t="s">
        <v>67</v>
      </c>
      <c r="E783" s="10" t="s">
        <v>39</v>
      </c>
      <c r="F783" s="689" t="s">
        <v>52</v>
      </c>
      <c r="G783" s="690" t="s">
        <v>45</v>
      </c>
      <c r="H783" s="690" t="s">
        <v>484</v>
      </c>
      <c r="I783" s="691" t="s">
        <v>44</v>
      </c>
      <c r="J783" s="10"/>
      <c r="K783" s="24">
        <f t="shared" ref="K783:M784" si="108">K784</f>
        <v>1491.2</v>
      </c>
      <c r="L783" s="24">
        <f t="shared" si="108"/>
        <v>0</v>
      </c>
      <c r="M783" s="24">
        <f t="shared" si="108"/>
        <v>1491.2</v>
      </c>
      <c r="N783" s="152"/>
    </row>
    <row r="784" spans="1:14" s="7" customFormat="1" ht="54" customHeight="1" x14ac:dyDescent="0.35">
      <c r="A784" s="11"/>
      <c r="B784" s="496" t="s">
        <v>486</v>
      </c>
      <c r="C784" s="23" t="s">
        <v>289</v>
      </c>
      <c r="D784" s="10" t="s">
        <v>67</v>
      </c>
      <c r="E784" s="10" t="s">
        <v>39</v>
      </c>
      <c r="F784" s="689" t="s">
        <v>52</v>
      </c>
      <c r="G784" s="690" t="s">
        <v>45</v>
      </c>
      <c r="H784" s="690" t="s">
        <v>484</v>
      </c>
      <c r="I784" s="691" t="s">
        <v>496</v>
      </c>
      <c r="J784" s="10"/>
      <c r="K784" s="24">
        <f t="shared" si="108"/>
        <v>1491.2</v>
      </c>
      <c r="L784" s="24">
        <f t="shared" si="108"/>
        <v>0</v>
      </c>
      <c r="M784" s="24">
        <f t="shared" si="108"/>
        <v>1491.2</v>
      </c>
      <c r="N784" s="152"/>
    </row>
    <row r="785" spans="1:14" s="7" customFormat="1" ht="54" customHeight="1" x14ac:dyDescent="0.35">
      <c r="A785" s="11"/>
      <c r="B785" s="496" t="s">
        <v>55</v>
      </c>
      <c r="C785" s="23" t="s">
        <v>289</v>
      </c>
      <c r="D785" s="10" t="s">
        <v>67</v>
      </c>
      <c r="E785" s="10" t="s">
        <v>39</v>
      </c>
      <c r="F785" s="689" t="s">
        <v>52</v>
      </c>
      <c r="G785" s="690" t="s">
        <v>45</v>
      </c>
      <c r="H785" s="690" t="s">
        <v>484</v>
      </c>
      <c r="I785" s="691" t="s">
        <v>496</v>
      </c>
      <c r="J785" s="10" t="s">
        <v>56</v>
      </c>
      <c r="K785" s="24">
        <f>2863.4+88.6-1417-43.8</f>
        <v>1491.2</v>
      </c>
      <c r="L785" s="24">
        <f>M785-K785</f>
        <v>0</v>
      </c>
      <c r="M785" s="24">
        <f>2863.4+88.6-1417-43.8</f>
        <v>1491.2</v>
      </c>
      <c r="N785" s="152"/>
    </row>
    <row r="786" spans="1:14" s="7" customFormat="1" ht="36" x14ac:dyDescent="0.35">
      <c r="A786" s="11"/>
      <c r="B786" s="496" t="s">
        <v>220</v>
      </c>
      <c r="C786" s="23" t="s">
        <v>289</v>
      </c>
      <c r="D786" s="10" t="s">
        <v>67</v>
      </c>
      <c r="E786" s="10" t="s">
        <v>39</v>
      </c>
      <c r="F786" s="689" t="s">
        <v>52</v>
      </c>
      <c r="G786" s="690" t="s">
        <v>89</v>
      </c>
      <c r="H786" s="690" t="s">
        <v>43</v>
      </c>
      <c r="I786" s="691" t="s">
        <v>44</v>
      </c>
      <c r="J786" s="10"/>
      <c r="K786" s="24">
        <f t="shared" ref="K786:M788" si="109">K787</f>
        <v>24812</v>
      </c>
      <c r="L786" s="24">
        <f t="shared" si="109"/>
        <v>0</v>
      </c>
      <c r="M786" s="24">
        <f t="shared" si="109"/>
        <v>24812</v>
      </c>
      <c r="N786" s="152"/>
    </row>
    <row r="787" spans="1:14" s="7" customFormat="1" ht="42" customHeight="1" x14ac:dyDescent="0.35">
      <c r="A787" s="11"/>
      <c r="B787" s="496" t="s">
        <v>359</v>
      </c>
      <c r="C787" s="23" t="s">
        <v>289</v>
      </c>
      <c r="D787" s="10" t="s">
        <v>67</v>
      </c>
      <c r="E787" s="10" t="s">
        <v>39</v>
      </c>
      <c r="F787" s="689" t="s">
        <v>52</v>
      </c>
      <c r="G787" s="690" t="s">
        <v>89</v>
      </c>
      <c r="H787" s="690" t="s">
        <v>39</v>
      </c>
      <c r="I787" s="691" t="s">
        <v>44</v>
      </c>
      <c r="J787" s="10"/>
      <c r="K787" s="24">
        <f t="shared" si="109"/>
        <v>24812</v>
      </c>
      <c r="L787" s="24">
        <f t="shared" si="109"/>
        <v>0</v>
      </c>
      <c r="M787" s="24">
        <f t="shared" si="109"/>
        <v>24812</v>
      </c>
      <c r="N787" s="152"/>
    </row>
    <row r="788" spans="1:14" s="7" customFormat="1" ht="90" x14ac:dyDescent="0.35">
      <c r="A788" s="11"/>
      <c r="B788" s="496" t="s">
        <v>723</v>
      </c>
      <c r="C788" s="23" t="s">
        <v>289</v>
      </c>
      <c r="D788" s="10" t="s">
        <v>67</v>
      </c>
      <c r="E788" s="10" t="s">
        <v>39</v>
      </c>
      <c r="F788" s="689" t="s">
        <v>52</v>
      </c>
      <c r="G788" s="690" t="s">
        <v>89</v>
      </c>
      <c r="H788" s="690" t="s">
        <v>39</v>
      </c>
      <c r="I788" s="691" t="s">
        <v>722</v>
      </c>
      <c r="J788" s="10"/>
      <c r="K788" s="24">
        <f t="shared" si="109"/>
        <v>24812</v>
      </c>
      <c r="L788" s="24">
        <f t="shared" si="109"/>
        <v>0</v>
      </c>
      <c r="M788" s="24">
        <f t="shared" si="109"/>
        <v>24812</v>
      </c>
      <c r="N788" s="152"/>
    </row>
    <row r="789" spans="1:14" s="7" customFormat="1" ht="54" customHeight="1" x14ac:dyDescent="0.35">
      <c r="A789" s="11"/>
      <c r="B789" s="496" t="s">
        <v>55</v>
      </c>
      <c r="C789" s="23" t="s">
        <v>289</v>
      </c>
      <c r="D789" s="10" t="s">
        <v>67</v>
      </c>
      <c r="E789" s="10" t="s">
        <v>39</v>
      </c>
      <c r="F789" s="689" t="s">
        <v>52</v>
      </c>
      <c r="G789" s="690" t="s">
        <v>89</v>
      </c>
      <c r="H789" s="690" t="s">
        <v>39</v>
      </c>
      <c r="I789" s="691" t="s">
        <v>722</v>
      </c>
      <c r="J789" s="10" t="s">
        <v>56</v>
      </c>
      <c r="K789" s="24">
        <v>24812</v>
      </c>
      <c r="L789" s="24">
        <f>M789-K789</f>
        <v>0</v>
      </c>
      <c r="M789" s="24">
        <v>24812</v>
      </c>
      <c r="N789" s="152"/>
    </row>
    <row r="790" spans="1:14" s="7" customFormat="1" ht="18" x14ac:dyDescent="0.35">
      <c r="A790" s="11"/>
      <c r="B790" s="496" t="s">
        <v>692</v>
      </c>
      <c r="C790" s="23" t="s">
        <v>289</v>
      </c>
      <c r="D790" s="10" t="s">
        <v>67</v>
      </c>
      <c r="E790" s="10" t="s">
        <v>63</v>
      </c>
      <c r="F790" s="689"/>
      <c r="G790" s="690"/>
      <c r="H790" s="690"/>
      <c r="I790" s="691"/>
      <c r="J790" s="10"/>
      <c r="K790" s="24">
        <f>K791</f>
        <v>40112.793519999992</v>
      </c>
      <c r="L790" s="24">
        <f>L791</f>
        <v>-2027.2</v>
      </c>
      <c r="M790" s="24">
        <f>M791</f>
        <v>38085.593519999995</v>
      </c>
      <c r="N790" s="152"/>
    </row>
    <row r="791" spans="1:14" s="7" customFormat="1" ht="54" x14ac:dyDescent="0.35">
      <c r="A791" s="11"/>
      <c r="B791" s="496" t="s">
        <v>217</v>
      </c>
      <c r="C791" s="23" t="s">
        <v>289</v>
      </c>
      <c r="D791" s="10" t="s">
        <v>67</v>
      </c>
      <c r="E791" s="10" t="s">
        <v>63</v>
      </c>
      <c r="F791" s="689" t="s">
        <v>52</v>
      </c>
      <c r="G791" s="690" t="s">
        <v>42</v>
      </c>
      <c r="H791" s="690" t="s">
        <v>43</v>
      </c>
      <c r="I791" s="691" t="s">
        <v>44</v>
      </c>
      <c r="J791" s="10"/>
      <c r="K791" s="24">
        <f>K792+K796</f>
        <v>40112.793519999992</v>
      </c>
      <c r="L791" s="24">
        <f>L792+L796</f>
        <v>-2027.2</v>
      </c>
      <c r="M791" s="24">
        <f>M792+M796</f>
        <v>38085.593519999995</v>
      </c>
      <c r="N791" s="152"/>
    </row>
    <row r="792" spans="1:14" s="7" customFormat="1" ht="36" x14ac:dyDescent="0.35">
      <c r="A792" s="11"/>
      <c r="B792" s="546" t="s">
        <v>218</v>
      </c>
      <c r="C792" s="23" t="s">
        <v>289</v>
      </c>
      <c r="D792" s="10" t="s">
        <v>67</v>
      </c>
      <c r="E792" s="10" t="s">
        <v>63</v>
      </c>
      <c r="F792" s="689" t="s">
        <v>52</v>
      </c>
      <c r="G792" s="690" t="s">
        <v>45</v>
      </c>
      <c r="H792" s="690" t="s">
        <v>43</v>
      </c>
      <c r="I792" s="691" t="s">
        <v>44</v>
      </c>
      <c r="J792" s="10"/>
      <c r="K792" s="24">
        <f>K793</f>
        <v>276</v>
      </c>
      <c r="L792" s="24">
        <f>L793</f>
        <v>0</v>
      </c>
      <c r="M792" s="24">
        <f>M793</f>
        <v>276</v>
      </c>
      <c r="N792" s="152"/>
    </row>
    <row r="793" spans="1:14" s="7" customFormat="1" ht="18" x14ac:dyDescent="0.35">
      <c r="A793" s="11"/>
      <c r="B793" s="496" t="s">
        <v>276</v>
      </c>
      <c r="C793" s="23" t="s">
        <v>289</v>
      </c>
      <c r="D793" s="10" t="s">
        <v>67</v>
      </c>
      <c r="E793" s="10" t="s">
        <v>63</v>
      </c>
      <c r="F793" s="689" t="s">
        <v>52</v>
      </c>
      <c r="G793" s="690" t="s">
        <v>45</v>
      </c>
      <c r="H793" s="690" t="s">
        <v>37</v>
      </c>
      <c r="I793" s="691" t="s">
        <v>44</v>
      </c>
      <c r="J793" s="10"/>
      <c r="K793" s="24">
        <f t="shared" ref="K793:M794" si="110">K794</f>
        <v>276</v>
      </c>
      <c r="L793" s="24">
        <f t="shared" si="110"/>
        <v>0</v>
      </c>
      <c r="M793" s="24">
        <f t="shared" si="110"/>
        <v>276</v>
      </c>
      <c r="N793" s="152"/>
    </row>
    <row r="794" spans="1:14" s="7" customFormat="1" ht="36" x14ac:dyDescent="0.35">
      <c r="A794" s="11"/>
      <c r="B794" s="496" t="s">
        <v>277</v>
      </c>
      <c r="C794" s="23" t="s">
        <v>289</v>
      </c>
      <c r="D794" s="10" t="s">
        <v>67</v>
      </c>
      <c r="E794" s="10" t="s">
        <v>63</v>
      </c>
      <c r="F794" s="689" t="s">
        <v>52</v>
      </c>
      <c r="G794" s="690" t="s">
        <v>45</v>
      </c>
      <c r="H794" s="690" t="s">
        <v>37</v>
      </c>
      <c r="I794" s="691" t="s">
        <v>278</v>
      </c>
      <c r="J794" s="10"/>
      <c r="K794" s="24">
        <f t="shared" si="110"/>
        <v>276</v>
      </c>
      <c r="L794" s="24">
        <f t="shared" si="110"/>
        <v>0</v>
      </c>
      <c r="M794" s="24">
        <f t="shared" si="110"/>
        <v>276</v>
      </c>
      <c r="N794" s="152"/>
    </row>
    <row r="795" spans="1:14" s="7" customFormat="1" ht="36" x14ac:dyDescent="0.35">
      <c r="A795" s="11"/>
      <c r="B795" s="496" t="s">
        <v>120</v>
      </c>
      <c r="C795" s="23" t="s">
        <v>289</v>
      </c>
      <c r="D795" s="10" t="s">
        <v>67</v>
      </c>
      <c r="E795" s="10" t="s">
        <v>63</v>
      </c>
      <c r="F795" s="689" t="s">
        <v>52</v>
      </c>
      <c r="G795" s="690" t="s">
        <v>45</v>
      </c>
      <c r="H795" s="690" t="s">
        <v>37</v>
      </c>
      <c r="I795" s="691" t="s">
        <v>278</v>
      </c>
      <c r="J795" s="10" t="s">
        <v>121</v>
      </c>
      <c r="K795" s="24">
        <f>312-36</f>
        <v>276</v>
      </c>
      <c r="L795" s="24">
        <f>M795-K795</f>
        <v>0</v>
      </c>
      <c r="M795" s="24">
        <f>312-36</f>
        <v>276</v>
      </c>
      <c r="N795" s="152"/>
    </row>
    <row r="796" spans="1:14" s="7" customFormat="1" ht="36" x14ac:dyDescent="0.35">
      <c r="A796" s="11"/>
      <c r="B796" s="496" t="s">
        <v>220</v>
      </c>
      <c r="C796" s="23" t="s">
        <v>289</v>
      </c>
      <c r="D796" s="10" t="s">
        <v>67</v>
      </c>
      <c r="E796" s="10" t="s">
        <v>63</v>
      </c>
      <c r="F796" s="689" t="s">
        <v>52</v>
      </c>
      <c r="G796" s="690" t="s">
        <v>89</v>
      </c>
      <c r="H796" s="690" t="s">
        <v>43</v>
      </c>
      <c r="I796" s="691" t="s">
        <v>44</v>
      </c>
      <c r="J796" s="10"/>
      <c r="K796" s="24">
        <f>K797</f>
        <v>39836.793519999992</v>
      </c>
      <c r="L796" s="24">
        <f>L797</f>
        <v>-2027.2</v>
      </c>
      <c r="M796" s="24">
        <f>M797</f>
        <v>37809.593519999995</v>
      </c>
      <c r="N796" s="152"/>
    </row>
    <row r="797" spans="1:14" s="7" customFormat="1" ht="18" x14ac:dyDescent="0.35">
      <c r="A797" s="11"/>
      <c r="B797" s="496" t="s">
        <v>359</v>
      </c>
      <c r="C797" s="23" t="s">
        <v>289</v>
      </c>
      <c r="D797" s="10" t="s">
        <v>67</v>
      </c>
      <c r="E797" s="10" t="s">
        <v>63</v>
      </c>
      <c r="F797" s="689" t="s">
        <v>52</v>
      </c>
      <c r="G797" s="690" t="s">
        <v>89</v>
      </c>
      <c r="H797" s="690" t="s">
        <v>39</v>
      </c>
      <c r="I797" s="691" t="s">
        <v>44</v>
      </c>
      <c r="J797" s="10"/>
      <c r="K797" s="24">
        <f>K798+K808+K802+K804+K810+K806</f>
        <v>39836.793519999992</v>
      </c>
      <c r="L797" s="24">
        <f>L798+L808+L802+L804+L810+L806</f>
        <v>-2027.2</v>
      </c>
      <c r="M797" s="24">
        <f>M798+M808+M802+M804+M810+M806</f>
        <v>37809.593519999995</v>
      </c>
      <c r="N797" s="152"/>
    </row>
    <row r="798" spans="1:14" s="7" customFormat="1" ht="36" x14ac:dyDescent="0.35">
      <c r="A798" s="11"/>
      <c r="B798" s="529" t="s">
        <v>461</v>
      </c>
      <c r="C798" s="23" t="s">
        <v>289</v>
      </c>
      <c r="D798" s="10" t="s">
        <v>67</v>
      </c>
      <c r="E798" s="10" t="s">
        <v>63</v>
      </c>
      <c r="F798" s="689" t="s">
        <v>52</v>
      </c>
      <c r="G798" s="690" t="s">
        <v>89</v>
      </c>
      <c r="H798" s="690" t="s">
        <v>39</v>
      </c>
      <c r="I798" s="691" t="s">
        <v>91</v>
      </c>
      <c r="J798" s="10"/>
      <c r="K798" s="24">
        <f>K799+K800+K801</f>
        <v>31281.981519999994</v>
      </c>
      <c r="L798" s="24">
        <f>L799+L800+L801</f>
        <v>-1788.5</v>
      </c>
      <c r="M798" s="24">
        <f>M799+M800+M801</f>
        <v>29493.481519999994</v>
      </c>
      <c r="N798" s="152"/>
    </row>
    <row r="799" spans="1:14" s="7" customFormat="1" ht="108" x14ac:dyDescent="0.35">
      <c r="A799" s="11"/>
      <c r="B799" s="496" t="s">
        <v>49</v>
      </c>
      <c r="C799" s="23" t="s">
        <v>289</v>
      </c>
      <c r="D799" s="10" t="s">
        <v>67</v>
      </c>
      <c r="E799" s="10" t="s">
        <v>63</v>
      </c>
      <c r="F799" s="689" t="s">
        <v>52</v>
      </c>
      <c r="G799" s="690" t="s">
        <v>89</v>
      </c>
      <c r="H799" s="690" t="s">
        <v>39</v>
      </c>
      <c r="I799" s="691" t="s">
        <v>91</v>
      </c>
      <c r="J799" s="10" t="s">
        <v>50</v>
      </c>
      <c r="K799" s="24">
        <f>17793.32805+97.6+857.2</f>
        <v>18748.128049999999</v>
      </c>
      <c r="L799" s="24">
        <f>M799-K799</f>
        <v>-852.70000000000073</v>
      </c>
      <c r="M799" s="24">
        <f>17793.32805+97.6+857.2-852.7</f>
        <v>17895.428049999999</v>
      </c>
      <c r="N799" s="152"/>
    </row>
    <row r="800" spans="1:14" s="7" customFormat="1" ht="54" x14ac:dyDescent="0.35">
      <c r="A800" s="11"/>
      <c r="B800" s="496" t="s">
        <v>55</v>
      </c>
      <c r="C800" s="23" t="s">
        <v>289</v>
      </c>
      <c r="D800" s="10" t="s">
        <v>67</v>
      </c>
      <c r="E800" s="10" t="s">
        <v>63</v>
      </c>
      <c r="F800" s="689" t="s">
        <v>52</v>
      </c>
      <c r="G800" s="690" t="s">
        <v>89</v>
      </c>
      <c r="H800" s="690" t="s">
        <v>39</v>
      </c>
      <c r="I800" s="691" t="s">
        <v>91</v>
      </c>
      <c r="J800" s="10" t="s">
        <v>56</v>
      </c>
      <c r="K800" s="24">
        <f>6834.83343+2385.6-5.9+5.9+539.5+10+750.1+52+180.5+186.4+62.8-344.2+360</f>
        <v>11017.533429999998</v>
      </c>
      <c r="L800" s="24">
        <f>M800-K800</f>
        <v>-935.79999999999927</v>
      </c>
      <c r="M800" s="24">
        <f>6834.83343+2385.6-5.9+5.9+539.5+10+750.1+52+180.5+186.4+62.8-344.2+360-935.8</f>
        <v>10081.733429999998</v>
      </c>
      <c r="N800" s="152"/>
    </row>
    <row r="801" spans="1:14" s="7" customFormat="1" ht="18" x14ac:dyDescent="0.35">
      <c r="A801" s="11"/>
      <c r="B801" s="496" t="s">
        <v>57</v>
      </c>
      <c r="C801" s="23" t="s">
        <v>289</v>
      </c>
      <c r="D801" s="10" t="s">
        <v>67</v>
      </c>
      <c r="E801" s="10" t="s">
        <v>63</v>
      </c>
      <c r="F801" s="689" t="s">
        <v>52</v>
      </c>
      <c r="G801" s="690" t="s">
        <v>89</v>
      </c>
      <c r="H801" s="690" t="s">
        <v>39</v>
      </c>
      <c r="I801" s="691" t="s">
        <v>91</v>
      </c>
      <c r="J801" s="10" t="s">
        <v>58</v>
      </c>
      <c r="K801" s="24">
        <f>1166.02004+6.1+344.2</f>
        <v>1516.3200400000001</v>
      </c>
      <c r="L801" s="24">
        <f>M801-K801</f>
        <v>0</v>
      </c>
      <c r="M801" s="24">
        <f>1166.02004+6.1+344.2</f>
        <v>1516.3200400000001</v>
      </c>
      <c r="N801" s="152"/>
    </row>
    <row r="802" spans="1:14" s="7" customFormat="1" ht="54" x14ac:dyDescent="0.35">
      <c r="A802" s="11"/>
      <c r="B802" s="496" t="s">
        <v>219</v>
      </c>
      <c r="C802" s="23" t="s">
        <v>289</v>
      </c>
      <c r="D802" s="10" t="s">
        <v>67</v>
      </c>
      <c r="E802" s="10" t="s">
        <v>63</v>
      </c>
      <c r="F802" s="689" t="s">
        <v>52</v>
      </c>
      <c r="G802" s="690" t="s">
        <v>89</v>
      </c>
      <c r="H802" s="690" t="s">
        <v>39</v>
      </c>
      <c r="I802" s="691" t="s">
        <v>291</v>
      </c>
      <c r="J802" s="10"/>
      <c r="K802" s="24">
        <f>K803</f>
        <v>1734.6120000000005</v>
      </c>
      <c r="L802" s="24">
        <f>L803</f>
        <v>-238.70000000000005</v>
      </c>
      <c r="M802" s="24">
        <f>M803</f>
        <v>1495.9120000000005</v>
      </c>
      <c r="N802" s="152"/>
    </row>
    <row r="803" spans="1:14" s="7" customFormat="1" ht="54" x14ac:dyDescent="0.35">
      <c r="A803" s="11"/>
      <c r="B803" s="496" t="s">
        <v>55</v>
      </c>
      <c r="C803" s="23" t="s">
        <v>289</v>
      </c>
      <c r="D803" s="10" t="s">
        <v>67</v>
      </c>
      <c r="E803" s="10" t="s">
        <v>63</v>
      </c>
      <c r="F803" s="689" t="s">
        <v>52</v>
      </c>
      <c r="G803" s="690" t="s">
        <v>89</v>
      </c>
      <c r="H803" s="690" t="s">
        <v>39</v>
      </c>
      <c r="I803" s="691" t="s">
        <v>291</v>
      </c>
      <c r="J803" s="10" t="s">
        <v>56</v>
      </c>
      <c r="K803" s="24">
        <f>4120.212-2385.6</f>
        <v>1734.6120000000005</v>
      </c>
      <c r="L803" s="24">
        <f>M803-K803</f>
        <v>-238.70000000000005</v>
      </c>
      <c r="M803" s="24">
        <f>4120.212-2385.6-238.7</f>
        <v>1495.9120000000005</v>
      </c>
      <c r="N803" s="152"/>
    </row>
    <row r="804" spans="1:14" s="7" customFormat="1" ht="180" x14ac:dyDescent="0.35">
      <c r="A804" s="11"/>
      <c r="B804" s="496" t="s">
        <v>433</v>
      </c>
      <c r="C804" s="23" t="s">
        <v>289</v>
      </c>
      <c r="D804" s="10" t="s">
        <v>67</v>
      </c>
      <c r="E804" s="10" t="s">
        <v>63</v>
      </c>
      <c r="F804" s="689" t="s">
        <v>52</v>
      </c>
      <c r="G804" s="690" t="s">
        <v>89</v>
      </c>
      <c r="H804" s="690" t="s">
        <v>39</v>
      </c>
      <c r="I804" s="691" t="s">
        <v>388</v>
      </c>
      <c r="J804" s="10"/>
      <c r="K804" s="24">
        <f>K805</f>
        <v>15.599999999999994</v>
      </c>
      <c r="L804" s="24">
        <f>L805</f>
        <v>0</v>
      </c>
      <c r="M804" s="24">
        <f>M805</f>
        <v>15.599999999999994</v>
      </c>
      <c r="N804" s="152"/>
    </row>
    <row r="805" spans="1:14" s="7" customFormat="1" ht="108" x14ac:dyDescent="0.35">
      <c r="A805" s="11"/>
      <c r="B805" s="496" t="s">
        <v>49</v>
      </c>
      <c r="C805" s="23" t="s">
        <v>289</v>
      </c>
      <c r="D805" s="10" t="s">
        <v>67</v>
      </c>
      <c r="E805" s="10" t="s">
        <v>63</v>
      </c>
      <c r="F805" s="689" t="s">
        <v>52</v>
      </c>
      <c r="G805" s="690" t="s">
        <v>89</v>
      </c>
      <c r="H805" s="690" t="s">
        <v>39</v>
      </c>
      <c r="I805" s="691" t="s">
        <v>388</v>
      </c>
      <c r="J805" s="10" t="s">
        <v>50</v>
      </c>
      <c r="K805" s="24">
        <f>187.5-171.9</f>
        <v>15.599999999999994</v>
      </c>
      <c r="L805" s="24">
        <f>M805-K805</f>
        <v>0</v>
      </c>
      <c r="M805" s="24">
        <f>187.5-171.9</f>
        <v>15.599999999999994</v>
      </c>
      <c r="N805" s="152"/>
    </row>
    <row r="806" spans="1:14" s="7" customFormat="1" ht="54" x14ac:dyDescent="0.35">
      <c r="A806" s="11"/>
      <c r="B806" s="579" t="s">
        <v>681</v>
      </c>
      <c r="C806" s="23" t="s">
        <v>289</v>
      </c>
      <c r="D806" s="10" t="s">
        <v>67</v>
      </c>
      <c r="E806" s="10" t="s">
        <v>63</v>
      </c>
      <c r="F806" s="689" t="s">
        <v>52</v>
      </c>
      <c r="G806" s="690" t="s">
        <v>89</v>
      </c>
      <c r="H806" s="690" t="s">
        <v>39</v>
      </c>
      <c r="I806" s="691" t="s">
        <v>680</v>
      </c>
      <c r="J806" s="10"/>
      <c r="K806" s="24">
        <f>K807</f>
        <v>388.9</v>
      </c>
      <c r="L806" s="24">
        <f>L807</f>
        <v>0</v>
      </c>
      <c r="M806" s="24">
        <f>M807</f>
        <v>388.9</v>
      </c>
      <c r="N806" s="152"/>
    </row>
    <row r="807" spans="1:14" s="7" customFormat="1" ht="54" x14ac:dyDescent="0.35">
      <c r="A807" s="11"/>
      <c r="B807" s="496" t="s">
        <v>55</v>
      </c>
      <c r="C807" s="23" t="s">
        <v>289</v>
      </c>
      <c r="D807" s="10" t="s">
        <v>67</v>
      </c>
      <c r="E807" s="10" t="s">
        <v>63</v>
      </c>
      <c r="F807" s="689" t="s">
        <v>52</v>
      </c>
      <c r="G807" s="690" t="s">
        <v>89</v>
      </c>
      <c r="H807" s="690" t="s">
        <v>39</v>
      </c>
      <c r="I807" s="691" t="s">
        <v>680</v>
      </c>
      <c r="J807" s="10" t="s">
        <v>56</v>
      </c>
      <c r="K807" s="24">
        <v>388.9</v>
      </c>
      <c r="L807" s="24">
        <f>M807-K807</f>
        <v>0</v>
      </c>
      <c r="M807" s="24">
        <v>388.9</v>
      </c>
      <c r="N807" s="152"/>
    </row>
    <row r="808" spans="1:14" s="7" customFormat="1" ht="54" x14ac:dyDescent="0.35">
      <c r="A808" s="11"/>
      <c r="B808" s="496" t="s">
        <v>435</v>
      </c>
      <c r="C808" s="23" t="s">
        <v>289</v>
      </c>
      <c r="D808" s="10" t="s">
        <v>67</v>
      </c>
      <c r="E808" s="10" t="s">
        <v>63</v>
      </c>
      <c r="F808" s="689" t="s">
        <v>52</v>
      </c>
      <c r="G808" s="690" t="s">
        <v>89</v>
      </c>
      <c r="H808" s="690" t="s">
        <v>39</v>
      </c>
      <c r="I808" s="691" t="s">
        <v>408</v>
      </c>
      <c r="J808" s="10"/>
      <c r="K808" s="24">
        <f>K809</f>
        <v>2003.5</v>
      </c>
      <c r="L808" s="24">
        <f>L809</f>
        <v>0</v>
      </c>
      <c r="M808" s="24">
        <f>M809</f>
        <v>2003.5</v>
      </c>
      <c r="N808" s="152"/>
    </row>
    <row r="809" spans="1:14" s="7" customFormat="1" ht="108" x14ac:dyDescent="0.35">
      <c r="A809" s="11"/>
      <c r="B809" s="496" t="s">
        <v>49</v>
      </c>
      <c r="C809" s="23" t="s">
        <v>289</v>
      </c>
      <c r="D809" s="10" t="s">
        <v>67</v>
      </c>
      <c r="E809" s="10" t="s">
        <v>63</v>
      </c>
      <c r="F809" s="689" t="s">
        <v>52</v>
      </c>
      <c r="G809" s="690" t="s">
        <v>89</v>
      </c>
      <c r="H809" s="690" t="s">
        <v>39</v>
      </c>
      <c r="I809" s="691" t="s">
        <v>408</v>
      </c>
      <c r="J809" s="10" t="s">
        <v>50</v>
      </c>
      <c r="K809" s="24">
        <f>1884.7+118.8</f>
        <v>2003.5</v>
      </c>
      <c r="L809" s="24">
        <f>M809-K809</f>
        <v>0</v>
      </c>
      <c r="M809" s="24">
        <f>1884.7+118.8</f>
        <v>2003.5</v>
      </c>
      <c r="N809" s="152"/>
    </row>
    <row r="810" spans="1:14" s="7" customFormat="1" ht="162" x14ac:dyDescent="0.35">
      <c r="A810" s="11"/>
      <c r="B810" s="496" t="s">
        <v>567</v>
      </c>
      <c r="C810" s="23" t="s">
        <v>289</v>
      </c>
      <c r="D810" s="10" t="s">
        <v>67</v>
      </c>
      <c r="E810" s="10" t="s">
        <v>63</v>
      </c>
      <c r="F810" s="689" t="s">
        <v>52</v>
      </c>
      <c r="G810" s="690" t="s">
        <v>89</v>
      </c>
      <c r="H810" s="690" t="s">
        <v>39</v>
      </c>
      <c r="I810" s="691" t="s">
        <v>566</v>
      </c>
      <c r="J810" s="10"/>
      <c r="K810" s="24">
        <f>K811</f>
        <v>4412.2</v>
      </c>
      <c r="L810" s="24">
        <f>L811</f>
        <v>0</v>
      </c>
      <c r="M810" s="24">
        <f>M811</f>
        <v>4412.2</v>
      </c>
      <c r="N810" s="152"/>
    </row>
    <row r="811" spans="1:14" s="7" customFormat="1" ht="54" x14ac:dyDescent="0.35">
      <c r="A811" s="11"/>
      <c r="B811" s="496" t="s">
        <v>55</v>
      </c>
      <c r="C811" s="23" t="s">
        <v>289</v>
      </c>
      <c r="D811" s="10" t="s">
        <v>67</v>
      </c>
      <c r="E811" s="10" t="s">
        <v>63</v>
      </c>
      <c r="F811" s="689" t="s">
        <v>52</v>
      </c>
      <c r="G811" s="690" t="s">
        <v>89</v>
      </c>
      <c r="H811" s="690" t="s">
        <v>39</v>
      </c>
      <c r="I811" s="691" t="s">
        <v>566</v>
      </c>
      <c r="J811" s="10" t="s">
        <v>56</v>
      </c>
      <c r="K811" s="24">
        <f>5120-689.7-18.1</f>
        <v>4412.2</v>
      </c>
      <c r="L811" s="24">
        <f>M811-K811</f>
        <v>0</v>
      </c>
      <c r="M811" s="24">
        <f>5120-689.7-18.1</f>
        <v>4412.2</v>
      </c>
      <c r="N811" s="152"/>
    </row>
    <row r="812" spans="1:14" s="7" customFormat="1" ht="36" customHeight="1" x14ac:dyDescent="0.35">
      <c r="A812" s="11"/>
      <c r="B812" s="546" t="s">
        <v>199</v>
      </c>
      <c r="C812" s="23" t="s">
        <v>289</v>
      </c>
      <c r="D812" s="10" t="s">
        <v>67</v>
      </c>
      <c r="E812" s="10" t="s">
        <v>65</v>
      </c>
      <c r="F812" s="689"/>
      <c r="G812" s="690"/>
      <c r="H812" s="690"/>
      <c r="I812" s="691"/>
      <c r="J812" s="10"/>
      <c r="K812" s="24">
        <f t="shared" ref="K812:M815" si="111">K813</f>
        <v>2971.1000000000004</v>
      </c>
      <c r="L812" s="24">
        <f t="shared" si="111"/>
        <v>0</v>
      </c>
      <c r="M812" s="24">
        <f t="shared" si="111"/>
        <v>2971.1000000000004</v>
      </c>
      <c r="N812" s="152"/>
    </row>
    <row r="813" spans="1:14" s="7" customFormat="1" ht="54" customHeight="1" x14ac:dyDescent="0.35">
      <c r="A813" s="11"/>
      <c r="B813" s="496" t="s">
        <v>217</v>
      </c>
      <c r="C813" s="23" t="s">
        <v>289</v>
      </c>
      <c r="D813" s="10" t="s">
        <v>67</v>
      </c>
      <c r="E813" s="10" t="s">
        <v>65</v>
      </c>
      <c r="F813" s="689" t="s">
        <v>52</v>
      </c>
      <c r="G813" s="690" t="s">
        <v>42</v>
      </c>
      <c r="H813" s="690" t="s">
        <v>43</v>
      </c>
      <c r="I813" s="691" t="s">
        <v>44</v>
      </c>
      <c r="J813" s="10"/>
      <c r="K813" s="24">
        <f t="shared" si="111"/>
        <v>2971.1000000000004</v>
      </c>
      <c r="L813" s="24">
        <f t="shared" si="111"/>
        <v>0</v>
      </c>
      <c r="M813" s="24">
        <f t="shared" si="111"/>
        <v>2971.1000000000004</v>
      </c>
      <c r="N813" s="152"/>
    </row>
    <row r="814" spans="1:14" s="7" customFormat="1" ht="36" customHeight="1" x14ac:dyDescent="0.35">
      <c r="A814" s="11"/>
      <c r="B814" s="503" t="s">
        <v>220</v>
      </c>
      <c r="C814" s="23" t="s">
        <v>289</v>
      </c>
      <c r="D814" s="10" t="s">
        <v>67</v>
      </c>
      <c r="E814" s="10" t="s">
        <v>65</v>
      </c>
      <c r="F814" s="689" t="s">
        <v>52</v>
      </c>
      <c r="G814" s="690" t="s">
        <v>89</v>
      </c>
      <c r="H814" s="690" t="s">
        <v>43</v>
      </c>
      <c r="I814" s="691" t="s">
        <v>44</v>
      </c>
      <c r="J814" s="10"/>
      <c r="K814" s="24">
        <f t="shared" si="111"/>
        <v>2971.1000000000004</v>
      </c>
      <c r="L814" s="24">
        <f t="shared" si="111"/>
        <v>0</v>
      </c>
      <c r="M814" s="24">
        <f t="shared" si="111"/>
        <v>2971.1000000000004</v>
      </c>
      <c r="N814" s="152"/>
    </row>
    <row r="815" spans="1:14" s="7" customFormat="1" ht="36" customHeight="1" x14ac:dyDescent="0.35">
      <c r="A815" s="11"/>
      <c r="B815" s="496" t="s">
        <v>281</v>
      </c>
      <c r="C815" s="23" t="s">
        <v>289</v>
      </c>
      <c r="D815" s="10" t="s">
        <v>67</v>
      </c>
      <c r="E815" s="10" t="s">
        <v>65</v>
      </c>
      <c r="F815" s="689" t="s">
        <v>52</v>
      </c>
      <c r="G815" s="690" t="s">
        <v>89</v>
      </c>
      <c r="H815" s="690" t="s">
        <v>37</v>
      </c>
      <c r="I815" s="691" t="s">
        <v>44</v>
      </c>
      <c r="J815" s="10"/>
      <c r="K815" s="24">
        <f t="shared" si="111"/>
        <v>2971.1000000000004</v>
      </c>
      <c r="L815" s="24">
        <f t="shared" si="111"/>
        <v>0</v>
      </c>
      <c r="M815" s="24">
        <f t="shared" si="111"/>
        <v>2971.1000000000004</v>
      </c>
      <c r="N815" s="152"/>
    </row>
    <row r="816" spans="1:14" s="7" customFormat="1" ht="36" customHeight="1" x14ac:dyDescent="0.35">
      <c r="A816" s="11"/>
      <c r="B816" s="496" t="s">
        <v>47</v>
      </c>
      <c r="C816" s="23" t="s">
        <v>289</v>
      </c>
      <c r="D816" s="10" t="s">
        <v>67</v>
      </c>
      <c r="E816" s="10" t="s">
        <v>65</v>
      </c>
      <c r="F816" s="689" t="s">
        <v>52</v>
      </c>
      <c r="G816" s="690" t="s">
        <v>89</v>
      </c>
      <c r="H816" s="690" t="s">
        <v>37</v>
      </c>
      <c r="I816" s="691" t="s">
        <v>48</v>
      </c>
      <c r="J816" s="10"/>
      <c r="K816" s="24">
        <f>K817+K818+K819</f>
        <v>2971.1000000000004</v>
      </c>
      <c r="L816" s="24">
        <f>L817+L818+L819</f>
        <v>0</v>
      </c>
      <c r="M816" s="24">
        <f>M817+M818+M819</f>
        <v>2971.1000000000004</v>
      </c>
      <c r="N816" s="152"/>
    </row>
    <row r="817" spans="1:14" s="7" customFormat="1" ht="108" customHeight="1" x14ac:dyDescent="0.35">
      <c r="A817" s="11"/>
      <c r="B817" s="496" t="s">
        <v>49</v>
      </c>
      <c r="C817" s="23" t="s">
        <v>289</v>
      </c>
      <c r="D817" s="10" t="s">
        <v>67</v>
      </c>
      <c r="E817" s="10" t="s">
        <v>65</v>
      </c>
      <c r="F817" s="689" t="s">
        <v>52</v>
      </c>
      <c r="G817" s="690" t="s">
        <v>89</v>
      </c>
      <c r="H817" s="690" t="s">
        <v>37</v>
      </c>
      <c r="I817" s="691" t="s">
        <v>48</v>
      </c>
      <c r="J817" s="10" t="s">
        <v>50</v>
      </c>
      <c r="K817" s="24">
        <v>2910.9</v>
      </c>
      <c r="L817" s="24">
        <f>M817-K817</f>
        <v>0</v>
      </c>
      <c r="M817" s="24">
        <v>2910.9</v>
      </c>
      <c r="N817" s="152"/>
    </row>
    <row r="818" spans="1:14" s="7" customFormat="1" ht="54" customHeight="1" x14ac:dyDescent="0.35">
      <c r="A818" s="11"/>
      <c r="B818" s="496" t="s">
        <v>55</v>
      </c>
      <c r="C818" s="23" t="s">
        <v>289</v>
      </c>
      <c r="D818" s="10" t="s">
        <v>67</v>
      </c>
      <c r="E818" s="10" t="s">
        <v>65</v>
      </c>
      <c r="F818" s="689" t="s">
        <v>52</v>
      </c>
      <c r="G818" s="690" t="s">
        <v>89</v>
      </c>
      <c r="H818" s="690" t="s">
        <v>37</v>
      </c>
      <c r="I818" s="691" t="s">
        <v>48</v>
      </c>
      <c r="J818" s="10" t="s">
        <v>56</v>
      </c>
      <c r="K818" s="24">
        <v>58.3</v>
      </c>
      <c r="L818" s="24">
        <f>M818-K818</f>
        <v>0</v>
      </c>
      <c r="M818" s="24">
        <v>58.3</v>
      </c>
      <c r="N818" s="152"/>
    </row>
    <row r="819" spans="1:14" s="7" customFormat="1" ht="18" customHeight="1" x14ac:dyDescent="0.35">
      <c r="A819" s="11"/>
      <c r="B819" s="496" t="s">
        <v>57</v>
      </c>
      <c r="C819" s="23" t="s">
        <v>289</v>
      </c>
      <c r="D819" s="10" t="s">
        <v>67</v>
      </c>
      <c r="E819" s="10" t="s">
        <v>65</v>
      </c>
      <c r="F819" s="689" t="s">
        <v>52</v>
      </c>
      <c r="G819" s="690" t="s">
        <v>89</v>
      </c>
      <c r="H819" s="690" t="s">
        <v>37</v>
      </c>
      <c r="I819" s="691" t="s">
        <v>48</v>
      </c>
      <c r="J819" s="10" t="s">
        <v>58</v>
      </c>
      <c r="K819" s="24">
        <v>1.9</v>
      </c>
      <c r="L819" s="24">
        <f>M819-K819</f>
        <v>0</v>
      </c>
      <c r="M819" s="24">
        <v>1.9</v>
      </c>
      <c r="N819" s="152"/>
    </row>
    <row r="820" spans="1:14" s="7" customFormat="1" ht="18" customHeight="1" x14ac:dyDescent="0.35">
      <c r="A820" s="11"/>
      <c r="B820" s="496"/>
      <c r="C820" s="23"/>
      <c r="D820" s="10"/>
      <c r="E820" s="10"/>
      <c r="F820" s="689"/>
      <c r="G820" s="690"/>
      <c r="H820" s="690"/>
      <c r="I820" s="691"/>
      <c r="J820" s="10"/>
      <c r="K820" s="24"/>
      <c r="L820" s="24"/>
      <c r="M820" s="24"/>
      <c r="N820" s="152"/>
    </row>
    <row r="821" spans="1:14" s="111" customFormat="1" ht="52.2" customHeight="1" x14ac:dyDescent="0.3">
      <c r="A821" s="110">
        <v>8</v>
      </c>
      <c r="B821" s="543" t="s">
        <v>11</v>
      </c>
      <c r="C821" s="18" t="s">
        <v>285</v>
      </c>
      <c r="D821" s="19"/>
      <c r="E821" s="19"/>
      <c r="F821" s="20"/>
      <c r="G821" s="21"/>
      <c r="H821" s="21"/>
      <c r="I821" s="22"/>
      <c r="J821" s="19"/>
      <c r="K821" s="32">
        <f>K835+K822</f>
        <v>9833.27</v>
      </c>
      <c r="L821" s="32">
        <f>L835+L822</f>
        <v>0</v>
      </c>
      <c r="M821" s="32">
        <f>M835+M822</f>
        <v>9833.27</v>
      </c>
    </row>
    <row r="822" spans="1:14" s="111" customFormat="1" ht="18" customHeight="1" x14ac:dyDescent="0.35">
      <c r="A822" s="110"/>
      <c r="B822" s="496" t="s">
        <v>36</v>
      </c>
      <c r="C822" s="23" t="s">
        <v>285</v>
      </c>
      <c r="D822" s="10" t="s">
        <v>37</v>
      </c>
      <c r="E822" s="10"/>
      <c r="F822" s="689"/>
      <c r="G822" s="690"/>
      <c r="H822" s="690"/>
      <c r="I822" s="691"/>
      <c r="J822" s="10"/>
      <c r="K822" s="209">
        <f t="shared" ref="K822:M824" si="112">K823</f>
        <v>212.10000000000002</v>
      </c>
      <c r="L822" s="209">
        <f t="shared" si="112"/>
        <v>0</v>
      </c>
      <c r="M822" s="209">
        <f t="shared" si="112"/>
        <v>212.10000000000002</v>
      </c>
    </row>
    <row r="823" spans="1:14" s="111" customFormat="1" ht="18" customHeight="1" x14ac:dyDescent="0.35">
      <c r="A823" s="110"/>
      <c r="B823" s="496" t="s">
        <v>70</v>
      </c>
      <c r="C823" s="23" t="s">
        <v>285</v>
      </c>
      <c r="D823" s="10" t="s">
        <v>37</v>
      </c>
      <c r="E823" s="10" t="s">
        <v>71</v>
      </c>
      <c r="F823" s="689"/>
      <c r="G823" s="690"/>
      <c r="H823" s="690"/>
      <c r="I823" s="691"/>
      <c r="J823" s="10"/>
      <c r="K823" s="209">
        <f t="shared" si="112"/>
        <v>212.10000000000002</v>
      </c>
      <c r="L823" s="209">
        <f t="shared" si="112"/>
        <v>0</v>
      </c>
      <c r="M823" s="209">
        <f t="shared" si="112"/>
        <v>212.10000000000002</v>
      </c>
    </row>
    <row r="824" spans="1:14" s="111" customFormat="1" ht="54" customHeight="1" x14ac:dyDescent="0.35">
      <c r="A824" s="110"/>
      <c r="B824" s="496" t="s">
        <v>221</v>
      </c>
      <c r="C824" s="23" t="s">
        <v>285</v>
      </c>
      <c r="D824" s="10" t="s">
        <v>37</v>
      </c>
      <c r="E824" s="10" t="s">
        <v>71</v>
      </c>
      <c r="F824" s="689" t="s">
        <v>65</v>
      </c>
      <c r="G824" s="690" t="s">
        <v>42</v>
      </c>
      <c r="H824" s="690" t="s">
        <v>43</v>
      </c>
      <c r="I824" s="691" t="s">
        <v>44</v>
      </c>
      <c r="J824" s="10"/>
      <c r="K824" s="209">
        <f t="shared" si="112"/>
        <v>212.10000000000002</v>
      </c>
      <c r="L824" s="209">
        <f t="shared" si="112"/>
        <v>0</v>
      </c>
      <c r="M824" s="209">
        <f t="shared" si="112"/>
        <v>212.10000000000002</v>
      </c>
    </row>
    <row r="825" spans="1:14" s="111" customFormat="1" ht="36" customHeight="1" x14ac:dyDescent="0.35">
      <c r="A825" s="110"/>
      <c r="B825" s="496" t="s">
        <v>220</v>
      </c>
      <c r="C825" s="23" t="s">
        <v>285</v>
      </c>
      <c r="D825" s="10" t="s">
        <v>37</v>
      </c>
      <c r="E825" s="10" t="s">
        <v>71</v>
      </c>
      <c r="F825" s="689" t="s">
        <v>65</v>
      </c>
      <c r="G825" s="690" t="s">
        <v>89</v>
      </c>
      <c r="H825" s="690" t="s">
        <v>43</v>
      </c>
      <c r="I825" s="691" t="s">
        <v>44</v>
      </c>
      <c r="J825" s="10"/>
      <c r="K825" s="209">
        <f>K826+K829+K832</f>
        <v>212.10000000000002</v>
      </c>
      <c r="L825" s="209">
        <f>L826+L829+L832</f>
        <v>0</v>
      </c>
      <c r="M825" s="209">
        <f>M826+M829+M832</f>
        <v>212.10000000000002</v>
      </c>
    </row>
    <row r="826" spans="1:14" s="111" customFormat="1" ht="36" customHeight="1" x14ac:dyDescent="0.35">
      <c r="A826" s="110"/>
      <c r="B826" s="569" t="s">
        <v>349</v>
      </c>
      <c r="C826" s="23" t="s">
        <v>285</v>
      </c>
      <c r="D826" s="10" t="s">
        <v>37</v>
      </c>
      <c r="E826" s="10" t="s">
        <v>71</v>
      </c>
      <c r="F826" s="689" t="s">
        <v>65</v>
      </c>
      <c r="G826" s="690" t="s">
        <v>89</v>
      </c>
      <c r="H826" s="690" t="s">
        <v>39</v>
      </c>
      <c r="I826" s="691" t="s">
        <v>44</v>
      </c>
      <c r="J826" s="10"/>
      <c r="K826" s="209">
        <f t="shared" ref="K826:M827" si="113">K827</f>
        <v>153.1</v>
      </c>
      <c r="L826" s="209">
        <f t="shared" si="113"/>
        <v>0</v>
      </c>
      <c r="M826" s="209">
        <f t="shared" si="113"/>
        <v>153.1</v>
      </c>
    </row>
    <row r="827" spans="1:14" s="111" customFormat="1" ht="54" customHeight="1" x14ac:dyDescent="0.35">
      <c r="A827" s="110"/>
      <c r="B827" s="569" t="s">
        <v>350</v>
      </c>
      <c r="C827" s="23" t="s">
        <v>285</v>
      </c>
      <c r="D827" s="10" t="s">
        <v>37</v>
      </c>
      <c r="E827" s="10" t="s">
        <v>71</v>
      </c>
      <c r="F827" s="689" t="s">
        <v>65</v>
      </c>
      <c r="G827" s="690" t="s">
        <v>89</v>
      </c>
      <c r="H827" s="690" t="s">
        <v>39</v>
      </c>
      <c r="I827" s="691" t="s">
        <v>105</v>
      </c>
      <c r="J827" s="10"/>
      <c r="K827" s="209">
        <f t="shared" si="113"/>
        <v>153.1</v>
      </c>
      <c r="L827" s="209">
        <f t="shared" si="113"/>
        <v>0</v>
      </c>
      <c r="M827" s="209">
        <f t="shared" si="113"/>
        <v>153.1</v>
      </c>
    </row>
    <row r="828" spans="1:14" s="111" customFormat="1" ht="54" customHeight="1" x14ac:dyDescent="0.35">
      <c r="A828" s="110"/>
      <c r="B828" s="569" t="s">
        <v>55</v>
      </c>
      <c r="C828" s="23" t="s">
        <v>285</v>
      </c>
      <c r="D828" s="10" t="s">
        <v>37</v>
      </c>
      <c r="E828" s="10" t="s">
        <v>71</v>
      </c>
      <c r="F828" s="689" t="s">
        <v>65</v>
      </c>
      <c r="G828" s="690" t="s">
        <v>89</v>
      </c>
      <c r="H828" s="690" t="s">
        <v>39</v>
      </c>
      <c r="I828" s="691" t="s">
        <v>105</v>
      </c>
      <c r="J828" s="10" t="s">
        <v>56</v>
      </c>
      <c r="K828" s="209">
        <f>82.8+96.8-26.5</f>
        <v>153.1</v>
      </c>
      <c r="L828" s="24">
        <f>M828-K828</f>
        <v>0</v>
      </c>
      <c r="M828" s="209">
        <f>82.8+96.8-26.5</f>
        <v>153.1</v>
      </c>
    </row>
    <row r="829" spans="1:14" s="111" customFormat="1" ht="36" customHeight="1" x14ac:dyDescent="0.35">
      <c r="A829" s="110"/>
      <c r="B829" s="496" t="s">
        <v>465</v>
      </c>
      <c r="C829" s="23" t="s">
        <v>285</v>
      </c>
      <c r="D829" s="10" t="s">
        <v>37</v>
      </c>
      <c r="E829" s="10" t="s">
        <v>71</v>
      </c>
      <c r="F829" s="689" t="s">
        <v>65</v>
      </c>
      <c r="G829" s="690" t="s">
        <v>89</v>
      </c>
      <c r="H829" s="690" t="s">
        <v>63</v>
      </c>
      <c r="I829" s="691" t="s">
        <v>44</v>
      </c>
      <c r="J829" s="10"/>
      <c r="K829" s="209">
        <f t="shared" ref="K829:M830" si="114">K830</f>
        <v>14.8</v>
      </c>
      <c r="L829" s="209">
        <f t="shared" si="114"/>
        <v>0</v>
      </c>
      <c r="M829" s="209">
        <f t="shared" si="114"/>
        <v>14.8</v>
      </c>
    </row>
    <row r="830" spans="1:14" s="111" customFormat="1" ht="18" customHeight="1" x14ac:dyDescent="0.35">
      <c r="A830" s="110"/>
      <c r="B830" s="496" t="s">
        <v>463</v>
      </c>
      <c r="C830" s="23" t="s">
        <v>285</v>
      </c>
      <c r="D830" s="10" t="s">
        <v>37</v>
      </c>
      <c r="E830" s="10" t="s">
        <v>71</v>
      </c>
      <c r="F830" s="689" t="s">
        <v>65</v>
      </c>
      <c r="G830" s="690" t="s">
        <v>89</v>
      </c>
      <c r="H830" s="690" t="s">
        <v>63</v>
      </c>
      <c r="I830" s="691" t="s">
        <v>464</v>
      </c>
      <c r="J830" s="10"/>
      <c r="K830" s="209">
        <f t="shared" si="114"/>
        <v>14.8</v>
      </c>
      <c r="L830" s="209">
        <f t="shared" si="114"/>
        <v>0</v>
      </c>
      <c r="M830" s="209">
        <f t="shared" si="114"/>
        <v>14.8</v>
      </c>
    </row>
    <row r="831" spans="1:14" s="111" customFormat="1" ht="54" customHeight="1" x14ac:dyDescent="0.35">
      <c r="A831" s="110"/>
      <c r="B831" s="569" t="s">
        <v>55</v>
      </c>
      <c r="C831" s="23" t="s">
        <v>285</v>
      </c>
      <c r="D831" s="10" t="s">
        <v>37</v>
      </c>
      <c r="E831" s="10" t="s">
        <v>71</v>
      </c>
      <c r="F831" s="689" t="s">
        <v>65</v>
      </c>
      <c r="G831" s="690" t="s">
        <v>89</v>
      </c>
      <c r="H831" s="690" t="s">
        <v>63</v>
      </c>
      <c r="I831" s="691" t="s">
        <v>464</v>
      </c>
      <c r="J831" s="28" t="s">
        <v>56</v>
      </c>
      <c r="K831" s="209">
        <v>14.8</v>
      </c>
      <c r="L831" s="24">
        <f>M831-K831</f>
        <v>0</v>
      </c>
      <c r="M831" s="209">
        <v>14.8</v>
      </c>
    </row>
    <row r="832" spans="1:14" s="111" customFormat="1" ht="36" customHeight="1" x14ac:dyDescent="0.35">
      <c r="A832" s="110"/>
      <c r="B832" s="569" t="s">
        <v>468</v>
      </c>
      <c r="C832" s="23" t="s">
        <v>285</v>
      </c>
      <c r="D832" s="10" t="s">
        <v>37</v>
      </c>
      <c r="E832" s="10" t="s">
        <v>71</v>
      </c>
      <c r="F832" s="689" t="s">
        <v>65</v>
      </c>
      <c r="G832" s="690" t="s">
        <v>89</v>
      </c>
      <c r="H832" s="690" t="s">
        <v>52</v>
      </c>
      <c r="I832" s="691" t="s">
        <v>44</v>
      </c>
      <c r="J832" s="19"/>
      <c r="K832" s="209">
        <f t="shared" ref="K832:M833" si="115">K833</f>
        <v>44.2</v>
      </c>
      <c r="L832" s="209">
        <f t="shared" si="115"/>
        <v>0</v>
      </c>
      <c r="M832" s="209">
        <f t="shared" si="115"/>
        <v>44.2</v>
      </c>
    </row>
    <row r="833" spans="1:14" s="111" customFormat="1" ht="36" customHeight="1" x14ac:dyDescent="0.35">
      <c r="A833" s="110"/>
      <c r="B833" s="570" t="s">
        <v>127</v>
      </c>
      <c r="C833" s="23" t="s">
        <v>285</v>
      </c>
      <c r="D833" s="10" t="s">
        <v>37</v>
      </c>
      <c r="E833" s="10" t="s">
        <v>71</v>
      </c>
      <c r="F833" s="689" t="s">
        <v>65</v>
      </c>
      <c r="G833" s="690" t="s">
        <v>89</v>
      </c>
      <c r="H833" s="690" t="s">
        <v>52</v>
      </c>
      <c r="I833" s="691" t="s">
        <v>90</v>
      </c>
      <c r="J833" s="19"/>
      <c r="K833" s="209">
        <f t="shared" si="115"/>
        <v>44.2</v>
      </c>
      <c r="L833" s="209">
        <f t="shared" si="115"/>
        <v>0</v>
      </c>
      <c r="M833" s="209">
        <f t="shared" si="115"/>
        <v>44.2</v>
      </c>
    </row>
    <row r="834" spans="1:14" s="111" customFormat="1" ht="54" customHeight="1" x14ac:dyDescent="0.35">
      <c r="A834" s="110"/>
      <c r="B834" s="569" t="s">
        <v>55</v>
      </c>
      <c r="C834" s="23" t="s">
        <v>285</v>
      </c>
      <c r="D834" s="10" t="s">
        <v>37</v>
      </c>
      <c r="E834" s="10" t="s">
        <v>71</v>
      </c>
      <c r="F834" s="689" t="s">
        <v>65</v>
      </c>
      <c r="G834" s="690" t="s">
        <v>89</v>
      </c>
      <c r="H834" s="690" t="s">
        <v>52</v>
      </c>
      <c r="I834" s="691" t="s">
        <v>90</v>
      </c>
      <c r="J834" s="28" t="s">
        <v>56</v>
      </c>
      <c r="K834" s="209">
        <v>44.2</v>
      </c>
      <c r="L834" s="24">
        <f>M834-K834</f>
        <v>0</v>
      </c>
      <c r="M834" s="209">
        <v>44.2</v>
      </c>
    </row>
    <row r="835" spans="1:14" s="7" customFormat="1" ht="18" customHeight="1" x14ac:dyDescent="0.35">
      <c r="A835" s="110"/>
      <c r="B835" s="496" t="s">
        <v>179</v>
      </c>
      <c r="C835" s="23" t="s">
        <v>285</v>
      </c>
      <c r="D835" s="10" t="s">
        <v>224</v>
      </c>
      <c r="E835" s="10"/>
      <c r="F835" s="689"/>
      <c r="G835" s="690"/>
      <c r="H835" s="690"/>
      <c r="I835" s="691"/>
      <c r="J835" s="10"/>
      <c r="K835" s="24">
        <f>K836+K846</f>
        <v>9621.17</v>
      </c>
      <c r="L835" s="24">
        <f>L836+L846</f>
        <v>0</v>
      </c>
      <c r="M835" s="24">
        <f>M836+M846</f>
        <v>9621.17</v>
      </c>
    </row>
    <row r="836" spans="1:14" s="111" customFormat="1" ht="18" customHeight="1" x14ac:dyDescent="0.35">
      <c r="A836" s="110"/>
      <c r="B836" s="496" t="s">
        <v>348</v>
      </c>
      <c r="C836" s="23" t="s">
        <v>285</v>
      </c>
      <c r="D836" s="10" t="s">
        <v>224</v>
      </c>
      <c r="E836" s="10" t="s">
        <v>224</v>
      </c>
      <c r="F836" s="689"/>
      <c r="G836" s="690"/>
      <c r="H836" s="690"/>
      <c r="I836" s="691"/>
      <c r="J836" s="10"/>
      <c r="K836" s="24">
        <f t="shared" ref="K836:M838" si="116">K837</f>
        <v>5951.9699999999993</v>
      </c>
      <c r="L836" s="24">
        <f t="shared" si="116"/>
        <v>0</v>
      </c>
      <c r="M836" s="24">
        <f t="shared" si="116"/>
        <v>5951.9699999999993</v>
      </c>
    </row>
    <row r="837" spans="1:14" s="111" customFormat="1" ht="54" customHeight="1" x14ac:dyDescent="0.35">
      <c r="A837" s="110"/>
      <c r="B837" s="496" t="s">
        <v>221</v>
      </c>
      <c r="C837" s="23" t="s">
        <v>285</v>
      </c>
      <c r="D837" s="10" t="s">
        <v>224</v>
      </c>
      <c r="E837" s="10" t="s">
        <v>224</v>
      </c>
      <c r="F837" s="689" t="s">
        <v>65</v>
      </c>
      <c r="G837" s="690" t="s">
        <v>42</v>
      </c>
      <c r="H837" s="690" t="s">
        <v>43</v>
      </c>
      <c r="I837" s="691" t="s">
        <v>44</v>
      </c>
      <c r="J837" s="10"/>
      <c r="K837" s="24">
        <f t="shared" si="116"/>
        <v>5951.9699999999993</v>
      </c>
      <c r="L837" s="24">
        <f t="shared" si="116"/>
        <v>0</v>
      </c>
      <c r="M837" s="24">
        <f t="shared" si="116"/>
        <v>5951.9699999999993</v>
      </c>
    </row>
    <row r="838" spans="1:14" s="111" customFormat="1" ht="18" customHeight="1" x14ac:dyDescent="0.35">
      <c r="A838" s="110"/>
      <c r="B838" s="496" t="s">
        <v>222</v>
      </c>
      <c r="C838" s="23" t="s">
        <v>285</v>
      </c>
      <c r="D838" s="10" t="s">
        <v>224</v>
      </c>
      <c r="E838" s="10" t="s">
        <v>224</v>
      </c>
      <c r="F838" s="689" t="s">
        <v>65</v>
      </c>
      <c r="G838" s="690" t="s">
        <v>45</v>
      </c>
      <c r="H838" s="690" t="s">
        <v>43</v>
      </c>
      <c r="I838" s="691" t="s">
        <v>44</v>
      </c>
      <c r="J838" s="10"/>
      <c r="K838" s="24">
        <f t="shared" si="116"/>
        <v>5951.9699999999993</v>
      </c>
      <c r="L838" s="24">
        <f t="shared" si="116"/>
        <v>0</v>
      </c>
      <c r="M838" s="24">
        <f t="shared" si="116"/>
        <v>5951.9699999999993</v>
      </c>
    </row>
    <row r="839" spans="1:14" s="111" customFormat="1" ht="84" customHeight="1" x14ac:dyDescent="0.35">
      <c r="A839" s="110"/>
      <c r="B839" s="496" t="s">
        <v>286</v>
      </c>
      <c r="C839" s="23" t="s">
        <v>285</v>
      </c>
      <c r="D839" s="10" t="s">
        <v>224</v>
      </c>
      <c r="E839" s="10" t="s">
        <v>224</v>
      </c>
      <c r="F839" s="689" t="s">
        <v>65</v>
      </c>
      <c r="G839" s="690" t="s">
        <v>45</v>
      </c>
      <c r="H839" s="690" t="s">
        <v>37</v>
      </c>
      <c r="I839" s="691" t="s">
        <v>44</v>
      </c>
      <c r="J839" s="10"/>
      <c r="K839" s="24">
        <f>K840+K844</f>
        <v>5951.9699999999993</v>
      </c>
      <c r="L839" s="24">
        <f>L840+L844</f>
        <v>0</v>
      </c>
      <c r="M839" s="24">
        <f>M840+M844</f>
        <v>5951.9699999999993</v>
      </c>
    </row>
    <row r="840" spans="1:14" s="111" customFormat="1" ht="51" customHeight="1" x14ac:dyDescent="0.35">
      <c r="A840" s="110"/>
      <c r="B840" s="529" t="s">
        <v>461</v>
      </c>
      <c r="C840" s="23" t="s">
        <v>285</v>
      </c>
      <c r="D840" s="10" t="s">
        <v>224</v>
      </c>
      <c r="E840" s="10" t="s">
        <v>224</v>
      </c>
      <c r="F840" s="689" t="s">
        <v>65</v>
      </c>
      <c r="G840" s="690" t="s">
        <v>45</v>
      </c>
      <c r="H840" s="690" t="s">
        <v>37</v>
      </c>
      <c r="I840" s="691" t="s">
        <v>91</v>
      </c>
      <c r="J840" s="10"/>
      <c r="K840" s="24">
        <f>K841+K842+K843</f>
        <v>4303.7</v>
      </c>
      <c r="L840" s="24">
        <f>L841+L842+L843</f>
        <v>0</v>
      </c>
      <c r="M840" s="24">
        <f>M841+M842+M843</f>
        <v>4303.7</v>
      </c>
    </row>
    <row r="841" spans="1:14" s="111" customFormat="1" ht="108" customHeight="1" x14ac:dyDescent="0.35">
      <c r="A841" s="11"/>
      <c r="B841" s="496" t="s">
        <v>49</v>
      </c>
      <c r="C841" s="23" t="s">
        <v>285</v>
      </c>
      <c r="D841" s="10" t="s">
        <v>224</v>
      </c>
      <c r="E841" s="10" t="s">
        <v>224</v>
      </c>
      <c r="F841" s="689" t="s">
        <v>65</v>
      </c>
      <c r="G841" s="690" t="s">
        <v>45</v>
      </c>
      <c r="H841" s="690" t="s">
        <v>37</v>
      </c>
      <c r="I841" s="691" t="s">
        <v>91</v>
      </c>
      <c r="J841" s="10" t="s">
        <v>50</v>
      </c>
      <c r="K841" s="24">
        <f>3408.1+469.2</f>
        <v>3877.2999999999997</v>
      </c>
      <c r="L841" s="24">
        <f>M841-K841</f>
        <v>0</v>
      </c>
      <c r="M841" s="24">
        <f>3408.1+469.2</f>
        <v>3877.2999999999997</v>
      </c>
    </row>
    <row r="842" spans="1:14" s="7" customFormat="1" ht="54" customHeight="1" x14ac:dyDescent="0.35">
      <c r="A842" s="11"/>
      <c r="B842" s="496" t="s">
        <v>55</v>
      </c>
      <c r="C842" s="23" t="s">
        <v>285</v>
      </c>
      <c r="D842" s="10" t="s">
        <v>224</v>
      </c>
      <c r="E842" s="10" t="s">
        <v>224</v>
      </c>
      <c r="F842" s="689" t="s">
        <v>65</v>
      </c>
      <c r="G842" s="690" t="s">
        <v>45</v>
      </c>
      <c r="H842" s="690" t="s">
        <v>37</v>
      </c>
      <c r="I842" s="691" t="s">
        <v>91</v>
      </c>
      <c r="J842" s="10" t="s">
        <v>56</v>
      </c>
      <c r="K842" s="24">
        <f>324.3-40+59.4+40</f>
        <v>383.7</v>
      </c>
      <c r="L842" s="24">
        <f>M842-K842</f>
        <v>0</v>
      </c>
      <c r="M842" s="24">
        <f>324.3-40+59.4+40</f>
        <v>383.7</v>
      </c>
    </row>
    <row r="843" spans="1:14" s="7" customFormat="1" ht="18" customHeight="1" x14ac:dyDescent="0.35">
      <c r="A843" s="11"/>
      <c r="B843" s="496" t="s">
        <v>57</v>
      </c>
      <c r="C843" s="23" t="s">
        <v>285</v>
      </c>
      <c r="D843" s="10" t="s">
        <v>224</v>
      </c>
      <c r="E843" s="10" t="s">
        <v>224</v>
      </c>
      <c r="F843" s="689" t="s">
        <v>65</v>
      </c>
      <c r="G843" s="690" t="s">
        <v>45</v>
      </c>
      <c r="H843" s="690" t="s">
        <v>37</v>
      </c>
      <c r="I843" s="691" t="s">
        <v>91</v>
      </c>
      <c r="J843" s="10" t="s">
        <v>58</v>
      </c>
      <c r="K843" s="24">
        <f>2.7+40</f>
        <v>42.7</v>
      </c>
      <c r="L843" s="24">
        <f>M843-K843</f>
        <v>0</v>
      </c>
      <c r="M843" s="24">
        <f>2.7+40</f>
        <v>42.7</v>
      </c>
    </row>
    <row r="844" spans="1:14" s="7" customFormat="1" ht="36" customHeight="1" x14ac:dyDescent="0.35">
      <c r="A844" s="11"/>
      <c r="B844" s="496" t="s">
        <v>287</v>
      </c>
      <c r="C844" s="23" t="s">
        <v>285</v>
      </c>
      <c r="D844" s="10" t="s">
        <v>224</v>
      </c>
      <c r="E844" s="10" t="s">
        <v>224</v>
      </c>
      <c r="F844" s="689" t="s">
        <v>65</v>
      </c>
      <c r="G844" s="690" t="s">
        <v>45</v>
      </c>
      <c r="H844" s="690" t="s">
        <v>37</v>
      </c>
      <c r="I844" s="691" t="s">
        <v>288</v>
      </c>
      <c r="J844" s="10"/>
      <c r="K844" s="24">
        <f>K845</f>
        <v>1648.27</v>
      </c>
      <c r="L844" s="24">
        <f>L845</f>
        <v>0</v>
      </c>
      <c r="M844" s="24">
        <f>M845</f>
        <v>1648.27</v>
      </c>
    </row>
    <row r="845" spans="1:14" s="7" customFormat="1" ht="54" customHeight="1" x14ac:dyDescent="0.35">
      <c r="A845" s="11"/>
      <c r="B845" s="496" t="s">
        <v>55</v>
      </c>
      <c r="C845" s="23" t="s">
        <v>285</v>
      </c>
      <c r="D845" s="10" t="s">
        <v>224</v>
      </c>
      <c r="E845" s="10" t="s">
        <v>224</v>
      </c>
      <c r="F845" s="689" t="s">
        <v>65</v>
      </c>
      <c r="G845" s="690" t="s">
        <v>45</v>
      </c>
      <c r="H845" s="690" t="s">
        <v>37</v>
      </c>
      <c r="I845" s="691" t="s">
        <v>288</v>
      </c>
      <c r="J845" s="10" t="s">
        <v>56</v>
      </c>
      <c r="K845" s="24">
        <f>452.7+405.5+200.97+494.1+95</f>
        <v>1648.27</v>
      </c>
      <c r="L845" s="24">
        <f>M845-K845</f>
        <v>0</v>
      </c>
      <c r="M845" s="24">
        <f>452.7+405.5+200.97+494.1+95</f>
        <v>1648.27</v>
      </c>
    </row>
    <row r="846" spans="1:14" s="7" customFormat="1" ht="18" customHeight="1" x14ac:dyDescent="0.35">
      <c r="A846" s="11"/>
      <c r="B846" s="496" t="s">
        <v>186</v>
      </c>
      <c r="C846" s="143" t="s">
        <v>285</v>
      </c>
      <c r="D846" s="10" t="s">
        <v>224</v>
      </c>
      <c r="E846" s="10" t="s">
        <v>79</v>
      </c>
      <c r="F846" s="689"/>
      <c r="G846" s="690"/>
      <c r="H846" s="690"/>
      <c r="I846" s="691"/>
      <c r="J846" s="10"/>
      <c r="K846" s="24">
        <f t="shared" ref="K846:M848" si="117">K847</f>
        <v>3669.2000000000003</v>
      </c>
      <c r="L846" s="24">
        <f t="shared" si="117"/>
        <v>0</v>
      </c>
      <c r="M846" s="24">
        <f t="shared" si="117"/>
        <v>3669.2000000000003</v>
      </c>
      <c r="N846" s="152"/>
    </row>
    <row r="847" spans="1:14" s="7" customFormat="1" ht="54" customHeight="1" x14ac:dyDescent="0.35">
      <c r="A847" s="11"/>
      <c r="B847" s="496" t="s">
        <v>221</v>
      </c>
      <c r="C847" s="143" t="s">
        <v>285</v>
      </c>
      <c r="D847" s="10" t="s">
        <v>224</v>
      </c>
      <c r="E847" s="10" t="s">
        <v>79</v>
      </c>
      <c r="F847" s="689" t="s">
        <v>65</v>
      </c>
      <c r="G847" s="690" t="s">
        <v>42</v>
      </c>
      <c r="H847" s="690" t="s">
        <v>43</v>
      </c>
      <c r="I847" s="691" t="s">
        <v>44</v>
      </c>
      <c r="J847" s="10"/>
      <c r="K847" s="24">
        <f t="shared" si="117"/>
        <v>3669.2000000000003</v>
      </c>
      <c r="L847" s="24">
        <f t="shared" si="117"/>
        <v>0</v>
      </c>
      <c r="M847" s="24">
        <f t="shared" si="117"/>
        <v>3669.2000000000003</v>
      </c>
      <c r="N847" s="152"/>
    </row>
    <row r="848" spans="1:14" s="7" customFormat="1" ht="36" customHeight="1" x14ac:dyDescent="0.35">
      <c r="A848" s="11"/>
      <c r="B848" s="496" t="s">
        <v>220</v>
      </c>
      <c r="C848" s="23" t="s">
        <v>285</v>
      </c>
      <c r="D848" s="10" t="s">
        <v>224</v>
      </c>
      <c r="E848" s="10" t="s">
        <v>79</v>
      </c>
      <c r="F848" s="689" t="s">
        <v>65</v>
      </c>
      <c r="G848" s="690" t="s">
        <v>89</v>
      </c>
      <c r="H848" s="690" t="s">
        <v>43</v>
      </c>
      <c r="I848" s="691" t="s">
        <v>44</v>
      </c>
      <c r="J848" s="10"/>
      <c r="K848" s="24">
        <f t="shared" si="117"/>
        <v>3669.2000000000003</v>
      </c>
      <c r="L848" s="24">
        <f t="shared" si="117"/>
        <v>0</v>
      </c>
      <c r="M848" s="24">
        <f t="shared" si="117"/>
        <v>3669.2000000000003</v>
      </c>
    </row>
    <row r="849" spans="1:14" s="111" customFormat="1" ht="36" customHeight="1" x14ac:dyDescent="0.35">
      <c r="A849" s="11"/>
      <c r="B849" s="496" t="s">
        <v>281</v>
      </c>
      <c r="C849" s="23" t="s">
        <v>285</v>
      </c>
      <c r="D849" s="10" t="s">
        <v>224</v>
      </c>
      <c r="E849" s="10" t="s">
        <v>79</v>
      </c>
      <c r="F849" s="689" t="s">
        <v>65</v>
      </c>
      <c r="G849" s="690" t="s">
        <v>89</v>
      </c>
      <c r="H849" s="690" t="s">
        <v>37</v>
      </c>
      <c r="I849" s="691" t="s">
        <v>44</v>
      </c>
      <c r="J849" s="10"/>
      <c r="K849" s="24">
        <f>K850</f>
        <v>3669.2000000000003</v>
      </c>
      <c r="L849" s="24">
        <f>L850</f>
        <v>0</v>
      </c>
      <c r="M849" s="24">
        <f>M850</f>
        <v>3669.2000000000003</v>
      </c>
    </row>
    <row r="850" spans="1:14" s="7" customFormat="1" ht="36" customHeight="1" x14ac:dyDescent="0.35">
      <c r="A850" s="11"/>
      <c r="B850" s="496" t="s">
        <v>47</v>
      </c>
      <c r="C850" s="23" t="s">
        <v>285</v>
      </c>
      <c r="D850" s="10" t="s">
        <v>224</v>
      </c>
      <c r="E850" s="10" t="s">
        <v>79</v>
      </c>
      <c r="F850" s="689" t="s">
        <v>65</v>
      </c>
      <c r="G850" s="690" t="s">
        <v>89</v>
      </c>
      <c r="H850" s="690" t="s">
        <v>37</v>
      </c>
      <c r="I850" s="691" t="s">
        <v>48</v>
      </c>
      <c r="J850" s="10"/>
      <c r="K850" s="24">
        <f>K851+K852+K853</f>
        <v>3669.2000000000003</v>
      </c>
      <c r="L850" s="24">
        <f>L851+L852+L853</f>
        <v>0</v>
      </c>
      <c r="M850" s="24">
        <f>M851+M852+M853</f>
        <v>3669.2000000000003</v>
      </c>
    </row>
    <row r="851" spans="1:14" s="7" customFormat="1" ht="108" customHeight="1" x14ac:dyDescent="0.35">
      <c r="A851" s="11"/>
      <c r="B851" s="496" t="s">
        <v>49</v>
      </c>
      <c r="C851" s="23" t="s">
        <v>285</v>
      </c>
      <c r="D851" s="10" t="s">
        <v>224</v>
      </c>
      <c r="E851" s="10" t="s">
        <v>79</v>
      </c>
      <c r="F851" s="689" t="s">
        <v>65</v>
      </c>
      <c r="G851" s="690" t="s">
        <v>89</v>
      </c>
      <c r="H851" s="690" t="s">
        <v>37</v>
      </c>
      <c r="I851" s="691" t="s">
        <v>48</v>
      </c>
      <c r="J851" s="10" t="s">
        <v>50</v>
      </c>
      <c r="K851" s="24">
        <f>3167.4+55.4</f>
        <v>3222.8</v>
      </c>
      <c r="L851" s="24">
        <f>M851-K851</f>
        <v>0</v>
      </c>
      <c r="M851" s="24">
        <f>3167.4+55.4</f>
        <v>3222.8</v>
      </c>
      <c r="N851" s="152"/>
    </row>
    <row r="852" spans="1:14" s="7" customFormat="1" ht="54" customHeight="1" x14ac:dyDescent="0.35">
      <c r="A852" s="11"/>
      <c r="B852" s="496" t="s">
        <v>55</v>
      </c>
      <c r="C852" s="143" t="s">
        <v>285</v>
      </c>
      <c r="D852" s="91" t="s">
        <v>224</v>
      </c>
      <c r="E852" s="91" t="s">
        <v>79</v>
      </c>
      <c r="F852" s="689" t="s">
        <v>65</v>
      </c>
      <c r="G852" s="690" t="s">
        <v>89</v>
      </c>
      <c r="H852" s="690" t="s">
        <v>37</v>
      </c>
      <c r="I852" s="691" t="s">
        <v>48</v>
      </c>
      <c r="J852" s="10" t="s">
        <v>56</v>
      </c>
      <c r="K852" s="24">
        <f>355.2+29.5+33.9+26.5</f>
        <v>445.09999999999997</v>
      </c>
      <c r="L852" s="24">
        <f>M852-K852</f>
        <v>0</v>
      </c>
      <c r="M852" s="24">
        <f>355.2+29.5+33.9+26.5</f>
        <v>445.09999999999997</v>
      </c>
    </row>
    <row r="853" spans="1:14" s="7" customFormat="1" ht="18" customHeight="1" x14ac:dyDescent="0.35">
      <c r="A853" s="11"/>
      <c r="B853" s="496" t="s">
        <v>57</v>
      </c>
      <c r="C853" s="143" t="s">
        <v>285</v>
      </c>
      <c r="D853" s="91" t="s">
        <v>224</v>
      </c>
      <c r="E853" s="91" t="s">
        <v>79</v>
      </c>
      <c r="F853" s="689" t="s">
        <v>65</v>
      </c>
      <c r="G853" s="690" t="s">
        <v>89</v>
      </c>
      <c r="H853" s="690" t="s">
        <v>37</v>
      </c>
      <c r="I853" s="691" t="s">
        <v>48</v>
      </c>
      <c r="J853" s="10" t="s">
        <v>58</v>
      </c>
      <c r="K853" s="24">
        <v>1.3</v>
      </c>
      <c r="L853" s="24">
        <f>M853-K853</f>
        <v>0</v>
      </c>
      <c r="M853" s="24">
        <v>1.3</v>
      </c>
      <c r="N853" s="152"/>
    </row>
    <row r="854" spans="1:14" s="7" customFormat="1" ht="18" customHeight="1" x14ac:dyDescent="0.35">
      <c r="A854" s="11"/>
      <c r="B854" s="496"/>
      <c r="C854" s="143"/>
      <c r="D854" s="91"/>
      <c r="E854" s="91"/>
      <c r="F854" s="689"/>
      <c r="G854" s="690"/>
      <c r="H854" s="690"/>
      <c r="I854" s="691"/>
      <c r="J854" s="10"/>
      <c r="K854" s="24"/>
      <c r="L854" s="24"/>
      <c r="M854" s="24"/>
      <c r="N854" s="152"/>
    </row>
    <row r="855" spans="1:14" s="111" customFormat="1" ht="52.2" customHeight="1" x14ac:dyDescent="0.3">
      <c r="A855" s="110">
        <v>9</v>
      </c>
      <c r="B855" s="543" t="s">
        <v>12</v>
      </c>
      <c r="C855" s="18" t="s">
        <v>293</v>
      </c>
      <c r="D855" s="19"/>
      <c r="E855" s="19"/>
      <c r="F855" s="20"/>
      <c r="G855" s="21"/>
      <c r="H855" s="21"/>
      <c r="I855" s="22"/>
      <c r="J855" s="19"/>
      <c r="K855" s="32">
        <f>K856</f>
        <v>71271.600000000006</v>
      </c>
      <c r="L855" s="32">
        <f>L856</f>
        <v>-2742.0999999999995</v>
      </c>
      <c r="M855" s="32">
        <f>M856</f>
        <v>68529.5</v>
      </c>
    </row>
    <row r="856" spans="1:14" s="7" customFormat="1" ht="18" customHeight="1" x14ac:dyDescent="0.35">
      <c r="A856" s="11"/>
      <c r="B856" s="546" t="s">
        <v>119</v>
      </c>
      <c r="C856" s="23" t="s">
        <v>293</v>
      </c>
      <c r="D856" s="10" t="s">
        <v>104</v>
      </c>
      <c r="E856" s="10"/>
      <c r="F856" s="689"/>
      <c r="G856" s="690"/>
      <c r="H856" s="690"/>
      <c r="I856" s="691"/>
      <c r="J856" s="10"/>
      <c r="K856" s="24">
        <f>K857+K878</f>
        <v>71271.600000000006</v>
      </c>
      <c r="L856" s="24">
        <f>L857+L878</f>
        <v>-2742.0999999999995</v>
      </c>
      <c r="M856" s="24">
        <f>M857+M878</f>
        <v>68529.5</v>
      </c>
    </row>
    <row r="857" spans="1:14" s="7" customFormat="1" ht="18" customHeight="1" x14ac:dyDescent="0.35">
      <c r="A857" s="11"/>
      <c r="B857" s="496" t="s">
        <v>193</v>
      </c>
      <c r="C857" s="23" t="s">
        <v>293</v>
      </c>
      <c r="D857" s="10" t="s">
        <v>104</v>
      </c>
      <c r="E857" s="10" t="s">
        <v>52</v>
      </c>
      <c r="F857" s="689"/>
      <c r="G857" s="690"/>
      <c r="H857" s="690"/>
      <c r="I857" s="691"/>
      <c r="J857" s="10"/>
      <c r="K857" s="24">
        <f t="shared" ref="K857:M858" si="118">K858</f>
        <v>62568.6</v>
      </c>
      <c r="L857" s="24">
        <f t="shared" si="118"/>
        <v>-2742.0999999999995</v>
      </c>
      <c r="M857" s="24">
        <f t="shared" si="118"/>
        <v>59826.5</v>
      </c>
    </row>
    <row r="858" spans="1:14" s="7" customFormat="1" ht="54" customHeight="1" x14ac:dyDescent="0.35">
      <c r="A858" s="11"/>
      <c r="B858" s="503" t="s">
        <v>230</v>
      </c>
      <c r="C858" s="23" t="s">
        <v>293</v>
      </c>
      <c r="D858" s="10" t="s">
        <v>104</v>
      </c>
      <c r="E858" s="10" t="s">
        <v>52</v>
      </c>
      <c r="F858" s="689" t="s">
        <v>79</v>
      </c>
      <c r="G858" s="690" t="s">
        <v>42</v>
      </c>
      <c r="H858" s="690" t="s">
        <v>43</v>
      </c>
      <c r="I858" s="691" t="s">
        <v>44</v>
      </c>
      <c r="J858" s="10"/>
      <c r="K858" s="24">
        <f t="shared" si="118"/>
        <v>62568.6</v>
      </c>
      <c r="L858" s="24">
        <f t="shared" si="118"/>
        <v>-2742.0999999999995</v>
      </c>
      <c r="M858" s="24">
        <f t="shared" si="118"/>
        <v>59826.5</v>
      </c>
    </row>
    <row r="859" spans="1:14" s="7" customFormat="1" ht="36" customHeight="1" x14ac:dyDescent="0.35">
      <c r="A859" s="11"/>
      <c r="B859" s="496" t="s">
        <v>337</v>
      </c>
      <c r="C859" s="23" t="s">
        <v>293</v>
      </c>
      <c r="D859" s="10" t="s">
        <v>104</v>
      </c>
      <c r="E859" s="10" t="s">
        <v>52</v>
      </c>
      <c r="F859" s="689" t="s">
        <v>79</v>
      </c>
      <c r="G859" s="690" t="s">
        <v>45</v>
      </c>
      <c r="H859" s="690" t="s">
        <v>43</v>
      </c>
      <c r="I859" s="691" t="s">
        <v>44</v>
      </c>
      <c r="J859" s="10"/>
      <c r="K859" s="24">
        <f>K860+K875</f>
        <v>62568.6</v>
      </c>
      <c r="L859" s="24">
        <f>L860+L875</f>
        <v>-2742.0999999999995</v>
      </c>
      <c r="M859" s="24">
        <f>M860+M875</f>
        <v>59826.5</v>
      </c>
    </row>
    <row r="860" spans="1:14" s="111" customFormat="1" ht="36" customHeight="1" x14ac:dyDescent="0.35">
      <c r="A860" s="11"/>
      <c r="B860" s="496" t="s">
        <v>284</v>
      </c>
      <c r="C860" s="23" t="s">
        <v>293</v>
      </c>
      <c r="D860" s="10" t="s">
        <v>104</v>
      </c>
      <c r="E860" s="10" t="s">
        <v>52</v>
      </c>
      <c r="F860" s="689" t="s">
        <v>79</v>
      </c>
      <c r="G860" s="690" t="s">
        <v>45</v>
      </c>
      <c r="H860" s="690" t="s">
        <v>37</v>
      </c>
      <c r="I860" s="691" t="s">
        <v>44</v>
      </c>
      <c r="J860" s="10"/>
      <c r="K860" s="24">
        <f>K861+K864+K869+K872+K867</f>
        <v>62563.4</v>
      </c>
      <c r="L860" s="24">
        <f>L861+L864+L869+L872+L867</f>
        <v>-2742.0999999999995</v>
      </c>
      <c r="M860" s="24">
        <f>M861+M864+M869+M872+M867</f>
        <v>59821.3</v>
      </c>
    </row>
    <row r="861" spans="1:14" s="111" customFormat="1" ht="158.25" customHeight="1" x14ac:dyDescent="0.35">
      <c r="A861" s="11"/>
      <c r="B861" s="571" t="s">
        <v>355</v>
      </c>
      <c r="C861" s="23" t="s">
        <v>293</v>
      </c>
      <c r="D861" s="10" t="s">
        <v>104</v>
      </c>
      <c r="E861" s="10" t="s">
        <v>52</v>
      </c>
      <c r="F861" s="689" t="s">
        <v>79</v>
      </c>
      <c r="G861" s="690" t="s">
        <v>45</v>
      </c>
      <c r="H861" s="690" t="s">
        <v>37</v>
      </c>
      <c r="I861" s="691" t="s">
        <v>538</v>
      </c>
      <c r="J861" s="10"/>
      <c r="K861" s="24">
        <f>SUM(K862:K863)</f>
        <v>35725.5</v>
      </c>
      <c r="L861" s="24">
        <f>SUM(L862:L863)</f>
        <v>0</v>
      </c>
      <c r="M861" s="24">
        <f>SUM(M862:M863)</f>
        <v>35725.5</v>
      </c>
    </row>
    <row r="862" spans="1:14" s="111" customFormat="1" ht="54" customHeight="1" x14ac:dyDescent="0.35">
      <c r="A862" s="11"/>
      <c r="B862" s="496" t="s">
        <v>55</v>
      </c>
      <c r="C862" s="23" t="s">
        <v>293</v>
      </c>
      <c r="D862" s="10" t="s">
        <v>104</v>
      </c>
      <c r="E862" s="10" t="s">
        <v>52</v>
      </c>
      <c r="F862" s="689" t="s">
        <v>79</v>
      </c>
      <c r="G862" s="690" t="s">
        <v>45</v>
      </c>
      <c r="H862" s="690" t="s">
        <v>37</v>
      </c>
      <c r="I862" s="691" t="s">
        <v>538</v>
      </c>
      <c r="J862" s="10" t="s">
        <v>56</v>
      </c>
      <c r="K862" s="24">
        <v>178.6</v>
      </c>
      <c r="L862" s="24">
        <f>M862-K862</f>
        <v>0</v>
      </c>
      <c r="M862" s="24">
        <v>178.6</v>
      </c>
    </row>
    <row r="863" spans="1:14" s="111" customFormat="1" ht="36" customHeight="1" x14ac:dyDescent="0.35">
      <c r="A863" s="11"/>
      <c r="B863" s="496" t="s">
        <v>120</v>
      </c>
      <c r="C863" s="23" t="s">
        <v>293</v>
      </c>
      <c r="D863" s="10" t="s">
        <v>104</v>
      </c>
      <c r="E863" s="10" t="s">
        <v>52</v>
      </c>
      <c r="F863" s="689" t="s">
        <v>79</v>
      </c>
      <c r="G863" s="690" t="s">
        <v>45</v>
      </c>
      <c r="H863" s="690" t="s">
        <v>37</v>
      </c>
      <c r="I863" s="691" t="s">
        <v>538</v>
      </c>
      <c r="J863" s="10" t="s">
        <v>121</v>
      </c>
      <c r="K863" s="24">
        <v>35546.9</v>
      </c>
      <c r="L863" s="24">
        <f>M863-K863</f>
        <v>0</v>
      </c>
      <c r="M863" s="24">
        <v>35546.9</v>
      </c>
    </row>
    <row r="864" spans="1:14" s="111" customFormat="1" ht="90" customHeight="1" x14ac:dyDescent="0.35">
      <c r="A864" s="11"/>
      <c r="B864" s="496" t="s">
        <v>357</v>
      </c>
      <c r="C864" s="23" t="s">
        <v>293</v>
      </c>
      <c r="D864" s="10" t="s">
        <v>104</v>
      </c>
      <c r="E864" s="10" t="s">
        <v>52</v>
      </c>
      <c r="F864" s="689" t="s">
        <v>79</v>
      </c>
      <c r="G864" s="690" t="s">
        <v>45</v>
      </c>
      <c r="H864" s="690" t="s">
        <v>37</v>
      </c>
      <c r="I864" s="691" t="s">
        <v>540</v>
      </c>
      <c r="J864" s="10"/>
      <c r="K864" s="24">
        <f>SUM(K865:K866)</f>
        <v>361.2</v>
      </c>
      <c r="L864" s="24">
        <f>SUM(L865:L866)</f>
        <v>-223.5</v>
      </c>
      <c r="M864" s="24">
        <f>SUM(M865:M866)</f>
        <v>137.69999999999996</v>
      </c>
    </row>
    <row r="865" spans="1:13" s="111" customFormat="1" ht="54" customHeight="1" x14ac:dyDescent="0.35">
      <c r="A865" s="11"/>
      <c r="B865" s="496" t="s">
        <v>55</v>
      </c>
      <c r="C865" s="23" t="s">
        <v>293</v>
      </c>
      <c r="D865" s="10" t="s">
        <v>104</v>
      </c>
      <c r="E865" s="10" t="s">
        <v>52</v>
      </c>
      <c r="F865" s="689" t="s">
        <v>79</v>
      </c>
      <c r="G865" s="690" t="s">
        <v>45</v>
      </c>
      <c r="H865" s="690" t="s">
        <v>37</v>
      </c>
      <c r="I865" s="691" t="s">
        <v>540</v>
      </c>
      <c r="J865" s="10" t="s">
        <v>56</v>
      </c>
      <c r="K865" s="24">
        <v>1.8</v>
      </c>
      <c r="L865" s="24">
        <f>M865-K865</f>
        <v>-1.1000000000000001</v>
      </c>
      <c r="M865" s="24">
        <f>1.8-1.1</f>
        <v>0.7</v>
      </c>
    </row>
    <row r="866" spans="1:13" s="111" customFormat="1" ht="36" customHeight="1" x14ac:dyDescent="0.35">
      <c r="A866" s="11"/>
      <c r="B866" s="496" t="s">
        <v>120</v>
      </c>
      <c r="C866" s="23" t="s">
        <v>293</v>
      </c>
      <c r="D866" s="10" t="s">
        <v>104</v>
      </c>
      <c r="E866" s="10" t="s">
        <v>52</v>
      </c>
      <c r="F866" s="689" t="s">
        <v>79</v>
      </c>
      <c r="G866" s="690" t="s">
        <v>45</v>
      </c>
      <c r="H866" s="690" t="s">
        <v>37</v>
      </c>
      <c r="I866" s="691" t="s">
        <v>540</v>
      </c>
      <c r="J866" s="10" t="s">
        <v>121</v>
      </c>
      <c r="K866" s="24">
        <v>359.4</v>
      </c>
      <c r="L866" s="24">
        <f>M866-K866</f>
        <v>-222.4</v>
      </c>
      <c r="M866" s="24">
        <f>359.4-222.4</f>
        <v>136.99999999999997</v>
      </c>
    </row>
    <row r="867" spans="1:13" s="111" customFormat="1" ht="144" x14ac:dyDescent="0.35">
      <c r="A867" s="11"/>
      <c r="B867" s="496" t="s">
        <v>740</v>
      </c>
      <c r="C867" s="23" t="s">
        <v>293</v>
      </c>
      <c r="D867" s="10" t="s">
        <v>104</v>
      </c>
      <c r="E867" s="10" t="s">
        <v>52</v>
      </c>
      <c r="F867" s="689" t="s">
        <v>79</v>
      </c>
      <c r="G867" s="690" t="s">
        <v>45</v>
      </c>
      <c r="H867" s="690" t="s">
        <v>37</v>
      </c>
      <c r="I867" s="691" t="s">
        <v>741</v>
      </c>
      <c r="J867" s="10"/>
      <c r="K867" s="24">
        <f>K868</f>
        <v>119.9</v>
      </c>
      <c r="L867" s="24">
        <f>L868</f>
        <v>-119.9</v>
      </c>
      <c r="M867" s="24">
        <f>M868</f>
        <v>0</v>
      </c>
    </row>
    <row r="868" spans="1:13" s="111" customFormat="1" ht="36" customHeight="1" x14ac:dyDescent="0.35">
      <c r="A868" s="11"/>
      <c r="B868" s="496" t="s">
        <v>120</v>
      </c>
      <c r="C868" s="23" t="s">
        <v>293</v>
      </c>
      <c r="D868" s="10" t="s">
        <v>104</v>
      </c>
      <c r="E868" s="10" t="s">
        <v>52</v>
      </c>
      <c r="F868" s="689" t="s">
        <v>79</v>
      </c>
      <c r="G868" s="690" t="s">
        <v>45</v>
      </c>
      <c r="H868" s="690" t="s">
        <v>37</v>
      </c>
      <c r="I868" s="691" t="s">
        <v>741</v>
      </c>
      <c r="J868" s="10" t="s">
        <v>121</v>
      </c>
      <c r="K868" s="24">
        <v>119.9</v>
      </c>
      <c r="L868" s="24">
        <f>M868-K868</f>
        <v>-119.9</v>
      </c>
      <c r="M868" s="24">
        <f>119.9-119.9</f>
        <v>0</v>
      </c>
    </row>
    <row r="869" spans="1:13" s="111" customFormat="1" ht="90" customHeight="1" x14ac:dyDescent="0.35">
      <c r="A869" s="11"/>
      <c r="B869" s="496" t="s">
        <v>356</v>
      </c>
      <c r="C869" s="23" t="s">
        <v>293</v>
      </c>
      <c r="D869" s="10" t="s">
        <v>104</v>
      </c>
      <c r="E869" s="10" t="s">
        <v>52</v>
      </c>
      <c r="F869" s="689" t="s">
        <v>79</v>
      </c>
      <c r="G869" s="690" t="s">
        <v>45</v>
      </c>
      <c r="H869" s="690" t="s">
        <v>37</v>
      </c>
      <c r="I869" s="691" t="s">
        <v>539</v>
      </c>
      <c r="J869" s="10"/>
      <c r="K869" s="24">
        <f>SUM(K870:K871)</f>
        <v>26010</v>
      </c>
      <c r="L869" s="24">
        <f>SUM(L870:L871)</f>
        <v>-2398.6999999999994</v>
      </c>
      <c r="M869" s="24">
        <f>SUM(M870:M871)</f>
        <v>23611.300000000003</v>
      </c>
    </row>
    <row r="870" spans="1:13" s="111" customFormat="1" ht="54" customHeight="1" x14ac:dyDescent="0.35">
      <c r="A870" s="11"/>
      <c r="B870" s="496" t="s">
        <v>55</v>
      </c>
      <c r="C870" s="23" t="s">
        <v>293</v>
      </c>
      <c r="D870" s="10" t="s">
        <v>104</v>
      </c>
      <c r="E870" s="10" t="s">
        <v>52</v>
      </c>
      <c r="F870" s="689" t="s">
        <v>79</v>
      </c>
      <c r="G870" s="690" t="s">
        <v>45</v>
      </c>
      <c r="H870" s="690" t="s">
        <v>37</v>
      </c>
      <c r="I870" s="691" t="s">
        <v>539</v>
      </c>
      <c r="J870" s="10" t="s">
        <v>56</v>
      </c>
      <c r="K870" s="24">
        <v>130.1</v>
      </c>
      <c r="L870" s="24">
        <f>M870-K870</f>
        <v>-11.900000000000006</v>
      </c>
      <c r="M870" s="24">
        <f>130.1-11.9</f>
        <v>118.19999999999999</v>
      </c>
    </row>
    <row r="871" spans="1:13" s="111" customFormat="1" ht="36" customHeight="1" x14ac:dyDescent="0.35">
      <c r="A871" s="11"/>
      <c r="B871" s="496" t="s">
        <v>120</v>
      </c>
      <c r="C871" s="23" t="s">
        <v>293</v>
      </c>
      <c r="D871" s="10" t="s">
        <v>104</v>
      </c>
      <c r="E871" s="10" t="s">
        <v>52</v>
      </c>
      <c r="F871" s="689" t="s">
        <v>79</v>
      </c>
      <c r="G871" s="690" t="s">
        <v>45</v>
      </c>
      <c r="H871" s="690" t="s">
        <v>37</v>
      </c>
      <c r="I871" s="691" t="s">
        <v>539</v>
      </c>
      <c r="J871" s="10" t="s">
        <v>121</v>
      </c>
      <c r="K871" s="24">
        <v>25879.9</v>
      </c>
      <c r="L871" s="24">
        <f>M871-K871</f>
        <v>-2386.7999999999993</v>
      </c>
      <c r="M871" s="24">
        <f>25879.9-2386.8</f>
        <v>23493.100000000002</v>
      </c>
    </row>
    <row r="872" spans="1:13" s="111" customFormat="1" ht="108" customHeight="1" x14ac:dyDescent="0.35">
      <c r="A872" s="11"/>
      <c r="B872" s="496" t="s">
        <v>363</v>
      </c>
      <c r="C872" s="23" t="s">
        <v>293</v>
      </c>
      <c r="D872" s="10" t="s">
        <v>104</v>
      </c>
      <c r="E872" s="10" t="s">
        <v>52</v>
      </c>
      <c r="F872" s="689" t="s">
        <v>79</v>
      </c>
      <c r="G872" s="690" t="s">
        <v>45</v>
      </c>
      <c r="H872" s="690" t="s">
        <v>37</v>
      </c>
      <c r="I872" s="691" t="s">
        <v>541</v>
      </c>
      <c r="J872" s="10"/>
      <c r="K872" s="24">
        <f>SUM(K873:K874)</f>
        <v>346.8</v>
      </c>
      <c r="L872" s="24">
        <f>SUM(L873:L874)</f>
        <v>0</v>
      </c>
      <c r="M872" s="24">
        <f>SUM(M873:M874)</f>
        <v>346.8</v>
      </c>
    </row>
    <row r="873" spans="1:13" s="111" customFormat="1" ht="54" customHeight="1" x14ac:dyDescent="0.35">
      <c r="A873" s="11"/>
      <c r="B873" s="496" t="s">
        <v>55</v>
      </c>
      <c r="C873" s="23" t="s">
        <v>293</v>
      </c>
      <c r="D873" s="10" t="s">
        <v>104</v>
      </c>
      <c r="E873" s="10" t="s">
        <v>52</v>
      </c>
      <c r="F873" s="689" t="s">
        <v>79</v>
      </c>
      <c r="G873" s="690" t="s">
        <v>45</v>
      </c>
      <c r="H873" s="690" t="s">
        <v>37</v>
      </c>
      <c r="I873" s="691" t="s">
        <v>541</v>
      </c>
      <c r="J873" s="10" t="s">
        <v>56</v>
      </c>
      <c r="K873" s="24">
        <v>1.7</v>
      </c>
      <c r="L873" s="24">
        <f>M873-K873</f>
        <v>0</v>
      </c>
      <c r="M873" s="24">
        <v>1.7</v>
      </c>
    </row>
    <row r="874" spans="1:13" s="111" customFormat="1" ht="36" customHeight="1" x14ac:dyDescent="0.35">
      <c r="A874" s="11"/>
      <c r="B874" s="496" t="s">
        <v>120</v>
      </c>
      <c r="C874" s="23" t="s">
        <v>293</v>
      </c>
      <c r="D874" s="10" t="s">
        <v>104</v>
      </c>
      <c r="E874" s="10" t="s">
        <v>52</v>
      </c>
      <c r="F874" s="689" t="s">
        <v>79</v>
      </c>
      <c r="G874" s="690" t="s">
        <v>45</v>
      </c>
      <c r="H874" s="690" t="s">
        <v>37</v>
      </c>
      <c r="I874" s="691" t="s">
        <v>541</v>
      </c>
      <c r="J874" s="10" t="s">
        <v>121</v>
      </c>
      <c r="K874" s="24">
        <v>345.1</v>
      </c>
      <c r="L874" s="24">
        <f>M874-K874</f>
        <v>0</v>
      </c>
      <c r="M874" s="24">
        <v>345.1</v>
      </c>
    </row>
    <row r="875" spans="1:13" s="111" customFormat="1" ht="90" customHeight="1" x14ac:dyDescent="0.35">
      <c r="A875" s="11"/>
      <c r="B875" s="496" t="s">
        <v>299</v>
      </c>
      <c r="C875" s="23" t="s">
        <v>293</v>
      </c>
      <c r="D875" s="10" t="s">
        <v>104</v>
      </c>
      <c r="E875" s="10" t="s">
        <v>52</v>
      </c>
      <c r="F875" s="689" t="s">
        <v>79</v>
      </c>
      <c r="G875" s="690" t="s">
        <v>45</v>
      </c>
      <c r="H875" s="690" t="s">
        <v>39</v>
      </c>
      <c r="I875" s="691" t="s">
        <v>44</v>
      </c>
      <c r="J875" s="10"/>
      <c r="K875" s="24">
        <f t="shared" ref="K875:M876" si="119">K876</f>
        <v>5.2</v>
      </c>
      <c r="L875" s="24">
        <f t="shared" si="119"/>
        <v>0</v>
      </c>
      <c r="M875" s="24">
        <f t="shared" si="119"/>
        <v>5.2</v>
      </c>
    </row>
    <row r="876" spans="1:13" s="111" customFormat="1" ht="198" customHeight="1" x14ac:dyDescent="0.35">
      <c r="A876" s="11"/>
      <c r="B876" s="496" t="s">
        <v>715</v>
      </c>
      <c r="C876" s="23" t="s">
        <v>293</v>
      </c>
      <c r="D876" s="10" t="s">
        <v>104</v>
      </c>
      <c r="E876" s="10" t="s">
        <v>52</v>
      </c>
      <c r="F876" s="689" t="s">
        <v>79</v>
      </c>
      <c r="G876" s="690" t="s">
        <v>45</v>
      </c>
      <c r="H876" s="690" t="s">
        <v>39</v>
      </c>
      <c r="I876" s="691" t="s">
        <v>589</v>
      </c>
      <c r="J876" s="10"/>
      <c r="K876" s="24">
        <f t="shared" si="119"/>
        <v>5.2</v>
      </c>
      <c r="L876" s="24">
        <f t="shared" si="119"/>
        <v>0</v>
      </c>
      <c r="M876" s="24">
        <f t="shared" si="119"/>
        <v>5.2</v>
      </c>
    </row>
    <row r="877" spans="1:13" s="111" customFormat="1" ht="36" customHeight="1" x14ac:dyDescent="0.35">
      <c r="A877" s="11"/>
      <c r="B877" s="496" t="s">
        <v>120</v>
      </c>
      <c r="C877" s="23" t="s">
        <v>293</v>
      </c>
      <c r="D877" s="10" t="s">
        <v>104</v>
      </c>
      <c r="E877" s="10" t="s">
        <v>52</v>
      </c>
      <c r="F877" s="689" t="s">
        <v>79</v>
      </c>
      <c r="G877" s="690" t="s">
        <v>45</v>
      </c>
      <c r="H877" s="690" t="s">
        <v>39</v>
      </c>
      <c r="I877" s="691" t="s">
        <v>589</v>
      </c>
      <c r="J877" s="10" t="s">
        <v>121</v>
      </c>
      <c r="K877" s="24">
        <v>5.2</v>
      </c>
      <c r="L877" s="24">
        <f>M877-K877</f>
        <v>0</v>
      </c>
      <c r="M877" s="24">
        <v>5.2</v>
      </c>
    </row>
    <row r="878" spans="1:13" s="7" customFormat="1" ht="36" customHeight="1" x14ac:dyDescent="0.35">
      <c r="A878" s="11"/>
      <c r="B878" s="496" t="s">
        <v>295</v>
      </c>
      <c r="C878" s="23" t="s">
        <v>293</v>
      </c>
      <c r="D878" s="10" t="s">
        <v>104</v>
      </c>
      <c r="E878" s="10" t="s">
        <v>81</v>
      </c>
      <c r="F878" s="689"/>
      <c r="G878" s="690"/>
      <c r="H878" s="690"/>
      <c r="I878" s="691"/>
      <c r="J878" s="10"/>
      <c r="K878" s="24">
        <f>K879</f>
        <v>8703</v>
      </c>
      <c r="L878" s="24">
        <f>L879</f>
        <v>0</v>
      </c>
      <c r="M878" s="24">
        <f>M879</f>
        <v>8703</v>
      </c>
    </row>
    <row r="879" spans="1:13" s="7" customFormat="1" ht="54" customHeight="1" x14ac:dyDescent="0.35">
      <c r="A879" s="11"/>
      <c r="B879" s="503" t="s">
        <v>230</v>
      </c>
      <c r="C879" s="23" t="s">
        <v>293</v>
      </c>
      <c r="D879" s="10" t="s">
        <v>104</v>
      </c>
      <c r="E879" s="10" t="s">
        <v>81</v>
      </c>
      <c r="F879" s="689" t="s">
        <v>79</v>
      </c>
      <c r="G879" s="690" t="s">
        <v>42</v>
      </c>
      <c r="H879" s="690" t="s">
        <v>43</v>
      </c>
      <c r="I879" s="691" t="s">
        <v>44</v>
      </c>
      <c r="J879" s="10"/>
      <c r="K879" s="24">
        <f t="shared" ref="K879:M880" si="120">K880</f>
        <v>8703</v>
      </c>
      <c r="L879" s="24">
        <f t="shared" si="120"/>
        <v>0</v>
      </c>
      <c r="M879" s="24">
        <f t="shared" si="120"/>
        <v>8703</v>
      </c>
    </row>
    <row r="880" spans="1:13" s="7" customFormat="1" ht="36" customHeight="1" x14ac:dyDescent="0.35">
      <c r="A880" s="11"/>
      <c r="B880" s="496" t="s">
        <v>337</v>
      </c>
      <c r="C880" s="23" t="s">
        <v>293</v>
      </c>
      <c r="D880" s="10" t="s">
        <v>104</v>
      </c>
      <c r="E880" s="10" t="s">
        <v>81</v>
      </c>
      <c r="F880" s="689" t="s">
        <v>79</v>
      </c>
      <c r="G880" s="690" t="s">
        <v>45</v>
      </c>
      <c r="H880" s="690" t="s">
        <v>43</v>
      </c>
      <c r="I880" s="691" t="s">
        <v>44</v>
      </c>
      <c r="J880" s="10"/>
      <c r="K880" s="24">
        <f t="shared" si="120"/>
        <v>8703</v>
      </c>
      <c r="L880" s="24">
        <f t="shared" si="120"/>
        <v>0</v>
      </c>
      <c r="M880" s="24">
        <f t="shared" si="120"/>
        <v>8703</v>
      </c>
    </row>
    <row r="881" spans="1:13" s="111" customFormat="1" ht="36" customHeight="1" x14ac:dyDescent="0.35">
      <c r="A881" s="11"/>
      <c r="B881" s="496" t="s">
        <v>229</v>
      </c>
      <c r="C881" s="23" t="s">
        <v>293</v>
      </c>
      <c r="D881" s="10" t="s">
        <v>104</v>
      </c>
      <c r="E881" s="10" t="s">
        <v>81</v>
      </c>
      <c r="F881" s="689" t="s">
        <v>79</v>
      </c>
      <c r="G881" s="690" t="s">
        <v>45</v>
      </c>
      <c r="H881" s="690" t="s">
        <v>63</v>
      </c>
      <c r="I881" s="691" t="s">
        <v>44</v>
      </c>
      <c r="J881" s="10"/>
      <c r="K881" s="24">
        <f>K882+K885+K888</f>
        <v>8703</v>
      </c>
      <c r="L881" s="24">
        <f>L882+L885+L888</f>
        <v>0</v>
      </c>
      <c r="M881" s="24">
        <f>M882+M885+M888</f>
        <v>8703</v>
      </c>
    </row>
    <row r="882" spans="1:13" s="111" customFormat="1" ht="272.25" customHeight="1" x14ac:dyDescent="0.35">
      <c r="A882" s="11"/>
      <c r="B882" s="572" t="s">
        <v>232</v>
      </c>
      <c r="C882" s="23" t="s">
        <v>293</v>
      </c>
      <c r="D882" s="10" t="s">
        <v>104</v>
      </c>
      <c r="E882" s="10" t="s">
        <v>81</v>
      </c>
      <c r="F882" s="689" t="s">
        <v>79</v>
      </c>
      <c r="G882" s="690" t="s">
        <v>45</v>
      </c>
      <c r="H882" s="690" t="s">
        <v>63</v>
      </c>
      <c r="I882" s="691" t="s">
        <v>542</v>
      </c>
      <c r="J882" s="10"/>
      <c r="K882" s="24">
        <f>K883+K884</f>
        <v>992.6</v>
      </c>
      <c r="L882" s="24">
        <f>L883+L884</f>
        <v>0</v>
      </c>
      <c r="M882" s="24">
        <f>M883+M884</f>
        <v>992.6</v>
      </c>
    </row>
    <row r="883" spans="1:13" s="111" customFormat="1" ht="108" customHeight="1" x14ac:dyDescent="0.35">
      <c r="A883" s="11"/>
      <c r="B883" s="496" t="s">
        <v>49</v>
      </c>
      <c r="C883" s="23" t="s">
        <v>293</v>
      </c>
      <c r="D883" s="10" t="s">
        <v>104</v>
      </c>
      <c r="E883" s="10" t="s">
        <v>81</v>
      </c>
      <c r="F883" s="689" t="s">
        <v>79</v>
      </c>
      <c r="G883" s="690" t="s">
        <v>45</v>
      </c>
      <c r="H883" s="690" t="s">
        <v>63</v>
      </c>
      <c r="I883" s="691" t="s">
        <v>542</v>
      </c>
      <c r="J883" s="10" t="s">
        <v>50</v>
      </c>
      <c r="K883" s="24">
        <v>830.6</v>
      </c>
      <c r="L883" s="24">
        <f>M883-K883</f>
        <v>0</v>
      </c>
      <c r="M883" s="24">
        <v>830.6</v>
      </c>
    </row>
    <row r="884" spans="1:13" s="111" customFormat="1" ht="54" customHeight="1" x14ac:dyDescent="0.35">
      <c r="A884" s="11"/>
      <c r="B884" s="496" t="s">
        <v>55</v>
      </c>
      <c r="C884" s="23" t="s">
        <v>293</v>
      </c>
      <c r="D884" s="10" t="s">
        <v>104</v>
      </c>
      <c r="E884" s="10" t="s">
        <v>81</v>
      </c>
      <c r="F884" s="689" t="s">
        <v>79</v>
      </c>
      <c r="G884" s="690" t="s">
        <v>45</v>
      </c>
      <c r="H884" s="690" t="s">
        <v>63</v>
      </c>
      <c r="I884" s="691" t="s">
        <v>542</v>
      </c>
      <c r="J884" s="10" t="s">
        <v>56</v>
      </c>
      <c r="K884" s="24">
        <v>162</v>
      </c>
      <c r="L884" s="24">
        <f>M884-K884</f>
        <v>0</v>
      </c>
      <c r="M884" s="24">
        <v>162</v>
      </c>
    </row>
    <row r="885" spans="1:13" s="111" customFormat="1" ht="108" customHeight="1" x14ac:dyDescent="0.35">
      <c r="A885" s="11"/>
      <c r="B885" s="496" t="s">
        <v>456</v>
      </c>
      <c r="C885" s="23" t="s">
        <v>293</v>
      </c>
      <c r="D885" s="10" t="s">
        <v>104</v>
      </c>
      <c r="E885" s="10" t="s">
        <v>81</v>
      </c>
      <c r="F885" s="689" t="s">
        <v>79</v>
      </c>
      <c r="G885" s="690" t="s">
        <v>45</v>
      </c>
      <c r="H885" s="690" t="s">
        <v>63</v>
      </c>
      <c r="I885" s="691" t="s">
        <v>536</v>
      </c>
      <c r="J885" s="10"/>
      <c r="K885" s="24">
        <f>K886+K887</f>
        <v>730</v>
      </c>
      <c r="L885" s="24">
        <f>L886+L887</f>
        <v>0</v>
      </c>
      <c r="M885" s="24">
        <f>M886+M887</f>
        <v>730</v>
      </c>
    </row>
    <row r="886" spans="1:13" s="111" customFormat="1" ht="108" customHeight="1" x14ac:dyDescent="0.35">
      <c r="A886" s="11"/>
      <c r="B886" s="496" t="s">
        <v>49</v>
      </c>
      <c r="C886" s="23" t="s">
        <v>293</v>
      </c>
      <c r="D886" s="10" t="s">
        <v>104</v>
      </c>
      <c r="E886" s="10" t="s">
        <v>81</v>
      </c>
      <c r="F886" s="689" t="s">
        <v>79</v>
      </c>
      <c r="G886" s="690" t="s">
        <v>45</v>
      </c>
      <c r="H886" s="690" t="s">
        <v>63</v>
      </c>
      <c r="I886" s="691" t="s">
        <v>536</v>
      </c>
      <c r="J886" s="10" t="s">
        <v>50</v>
      </c>
      <c r="K886" s="24">
        <f>649+67.6</f>
        <v>716.6</v>
      </c>
      <c r="L886" s="24">
        <f>M886-K886</f>
        <v>0</v>
      </c>
      <c r="M886" s="24">
        <f>649+67.6</f>
        <v>716.6</v>
      </c>
    </row>
    <row r="887" spans="1:13" s="111" customFormat="1" ht="54" customHeight="1" x14ac:dyDescent="0.35">
      <c r="A887" s="11"/>
      <c r="B887" s="496" t="s">
        <v>55</v>
      </c>
      <c r="C887" s="23" t="s">
        <v>293</v>
      </c>
      <c r="D887" s="10" t="s">
        <v>104</v>
      </c>
      <c r="E887" s="10" t="s">
        <v>81</v>
      </c>
      <c r="F887" s="689" t="s">
        <v>79</v>
      </c>
      <c r="G887" s="690" t="s">
        <v>45</v>
      </c>
      <c r="H887" s="690" t="s">
        <v>63</v>
      </c>
      <c r="I887" s="691" t="s">
        <v>536</v>
      </c>
      <c r="J887" s="10" t="s">
        <v>56</v>
      </c>
      <c r="K887" s="24">
        <f>81-67.6</f>
        <v>13.400000000000006</v>
      </c>
      <c r="L887" s="24">
        <f>M887-K887</f>
        <v>0</v>
      </c>
      <c r="M887" s="24">
        <f>81-67.6</f>
        <v>13.400000000000006</v>
      </c>
    </row>
    <row r="888" spans="1:13" s="111" customFormat="1" ht="72" customHeight="1" x14ac:dyDescent="0.35">
      <c r="A888" s="11"/>
      <c r="B888" s="496" t="s">
        <v>231</v>
      </c>
      <c r="C888" s="23" t="s">
        <v>293</v>
      </c>
      <c r="D888" s="10" t="s">
        <v>104</v>
      </c>
      <c r="E888" s="10" t="s">
        <v>81</v>
      </c>
      <c r="F888" s="689" t="s">
        <v>79</v>
      </c>
      <c r="G888" s="690" t="s">
        <v>45</v>
      </c>
      <c r="H888" s="690" t="s">
        <v>63</v>
      </c>
      <c r="I888" s="691" t="s">
        <v>537</v>
      </c>
      <c r="J888" s="10"/>
      <c r="K888" s="24">
        <f>K889+K890</f>
        <v>6980.4</v>
      </c>
      <c r="L888" s="24">
        <f>L889+L890</f>
        <v>0</v>
      </c>
      <c r="M888" s="24">
        <f>M889+M890</f>
        <v>6980.4</v>
      </c>
    </row>
    <row r="889" spans="1:13" s="111" customFormat="1" ht="108" customHeight="1" x14ac:dyDescent="0.35">
      <c r="A889" s="11"/>
      <c r="B889" s="496" t="s">
        <v>49</v>
      </c>
      <c r="C889" s="23" t="s">
        <v>293</v>
      </c>
      <c r="D889" s="10" t="s">
        <v>104</v>
      </c>
      <c r="E889" s="10" t="s">
        <v>81</v>
      </c>
      <c r="F889" s="689" t="s">
        <v>79</v>
      </c>
      <c r="G889" s="690" t="s">
        <v>45</v>
      </c>
      <c r="H889" s="690" t="s">
        <v>63</v>
      </c>
      <c r="I889" s="691" t="s">
        <v>537</v>
      </c>
      <c r="J889" s="10" t="s">
        <v>50</v>
      </c>
      <c r="K889" s="24">
        <f>6251.4+490</f>
        <v>6741.4</v>
      </c>
      <c r="L889" s="24">
        <f>M889-K889</f>
        <v>0</v>
      </c>
      <c r="M889" s="24">
        <f>6251.4+490</f>
        <v>6741.4</v>
      </c>
    </row>
    <row r="890" spans="1:13" s="111" customFormat="1" ht="54" customHeight="1" x14ac:dyDescent="0.35">
      <c r="A890" s="11"/>
      <c r="B890" s="496" t="s">
        <v>55</v>
      </c>
      <c r="C890" s="23" t="s">
        <v>293</v>
      </c>
      <c r="D890" s="10" t="s">
        <v>104</v>
      </c>
      <c r="E890" s="10" t="s">
        <v>81</v>
      </c>
      <c r="F890" s="689" t="s">
        <v>79</v>
      </c>
      <c r="G890" s="690" t="s">
        <v>45</v>
      </c>
      <c r="H890" s="690" t="s">
        <v>63</v>
      </c>
      <c r="I890" s="691" t="s">
        <v>537</v>
      </c>
      <c r="J890" s="10" t="s">
        <v>56</v>
      </c>
      <c r="K890" s="24">
        <f>729-490</f>
        <v>239</v>
      </c>
      <c r="L890" s="24">
        <f>M890-K890</f>
        <v>0</v>
      </c>
      <c r="M890" s="24">
        <f>729-490</f>
        <v>239</v>
      </c>
    </row>
    <row r="891" spans="1:13" s="111" customFormat="1" ht="18" customHeight="1" x14ac:dyDescent="0.35">
      <c r="A891" s="176"/>
      <c r="B891" s="489"/>
      <c r="C891" s="177"/>
      <c r="D891" s="105"/>
      <c r="E891" s="105"/>
      <c r="F891" s="105"/>
      <c r="G891" s="105"/>
      <c r="H891" s="105"/>
      <c r="I891" s="105"/>
      <c r="J891" s="105"/>
      <c r="K891" s="105"/>
      <c r="L891" s="105"/>
      <c r="M891" s="178"/>
    </row>
    <row r="892" spans="1:13" s="111" customFormat="1" ht="18" customHeight="1" x14ac:dyDescent="0.35">
      <c r="A892" s="176"/>
      <c r="B892" s="489"/>
      <c r="C892" s="177"/>
      <c r="D892" s="105"/>
      <c r="E892" s="105"/>
      <c r="F892" s="105"/>
      <c r="G892" s="105"/>
      <c r="H892" s="105"/>
      <c r="I892" s="105"/>
      <c r="J892" s="105"/>
      <c r="K892" s="105"/>
      <c r="L892" s="105"/>
      <c r="M892" s="178"/>
    </row>
    <row r="893" spans="1:13" s="76" customFormat="1" ht="18.75" customHeight="1" x14ac:dyDescent="0.35">
      <c r="A893" s="680" t="s">
        <v>373</v>
      </c>
      <c r="B893" s="77"/>
      <c r="C893" s="78"/>
      <c r="D893" s="78"/>
      <c r="E893" s="78"/>
      <c r="F893" s="42"/>
      <c r="G893" s="106"/>
      <c r="H893" s="144"/>
      <c r="M893" s="458"/>
    </row>
    <row r="894" spans="1:13" s="76" customFormat="1" ht="18.75" customHeight="1" x14ac:dyDescent="0.35">
      <c r="A894" s="680" t="s">
        <v>374</v>
      </c>
      <c r="B894" s="77"/>
      <c r="C894" s="78"/>
      <c r="D894" s="78"/>
      <c r="E894" s="78"/>
      <c r="F894" s="42"/>
      <c r="G894" s="106"/>
      <c r="H894" s="144"/>
      <c r="M894" s="458"/>
    </row>
    <row r="895" spans="1:13" s="76" customFormat="1" ht="18.75" customHeight="1" x14ac:dyDescent="0.35">
      <c r="A895" s="681" t="s">
        <v>375</v>
      </c>
      <c r="B895" s="77"/>
      <c r="E895" s="78"/>
      <c r="F895" s="42"/>
      <c r="K895" s="76" t="s">
        <v>386</v>
      </c>
      <c r="M895" s="665" t="s">
        <v>386</v>
      </c>
    </row>
    <row r="896" spans="1:13" s="179" customFormat="1" ht="18" customHeight="1" x14ac:dyDescent="0.35">
      <c r="A896" s="681"/>
      <c r="B896" s="489"/>
      <c r="C896" s="177"/>
      <c r="D896" s="105"/>
      <c r="E896" s="105"/>
      <c r="F896" s="105"/>
      <c r="G896" s="105"/>
      <c r="H896" s="105"/>
      <c r="I896" s="105"/>
      <c r="J896" s="105"/>
      <c r="K896" s="105"/>
      <c r="L896" s="105"/>
      <c r="M896" s="178"/>
    </row>
    <row r="897" spans="1:14" s="179" customFormat="1" ht="18" customHeight="1" x14ac:dyDescent="0.35">
      <c r="A897" s="176"/>
      <c r="B897" s="489"/>
      <c r="C897" s="177"/>
      <c r="D897" s="105"/>
      <c r="E897" s="105"/>
      <c r="F897" s="105"/>
      <c r="G897" s="105"/>
      <c r="H897" s="105"/>
      <c r="I897" s="105"/>
      <c r="J897" s="105"/>
      <c r="K897" s="105"/>
      <c r="L897" s="105"/>
      <c r="M897" s="178"/>
    </row>
    <row r="898" spans="1:14" s="179" customFormat="1" ht="18" customHeight="1" x14ac:dyDescent="0.35">
      <c r="A898" s="176"/>
      <c r="B898" s="489"/>
      <c r="C898" s="177"/>
      <c r="D898" s="105"/>
      <c r="E898" s="105"/>
      <c r="F898" s="105"/>
      <c r="G898" s="105"/>
      <c r="H898" s="105"/>
      <c r="I898" s="105"/>
      <c r="J898" s="105"/>
      <c r="K898" s="105"/>
      <c r="L898" s="105"/>
      <c r="M898" s="178"/>
    </row>
    <row r="899" spans="1:14" s="179" customFormat="1" ht="18" hidden="1" customHeight="1" x14ac:dyDescent="0.35">
      <c r="A899" s="176"/>
      <c r="B899" s="489"/>
      <c r="C899" s="177"/>
      <c r="D899" s="28" t="s">
        <v>37</v>
      </c>
      <c r="E899" s="28" t="s">
        <v>39</v>
      </c>
      <c r="F899" s="29"/>
      <c r="G899" s="29"/>
      <c r="H899" s="29"/>
      <c r="I899" s="29"/>
      <c r="J899" s="29"/>
      <c r="K899" s="29"/>
      <c r="L899" s="29"/>
      <c r="M899" s="147">
        <f>M17</f>
        <v>2536.8000000000002</v>
      </c>
      <c r="N899" s="180"/>
    </row>
    <row r="900" spans="1:14" s="179" customFormat="1" ht="18" hidden="1" customHeight="1" x14ac:dyDescent="0.35">
      <c r="A900" s="176"/>
      <c r="B900" s="489"/>
      <c r="C900" s="177"/>
      <c r="D900" s="28" t="s">
        <v>37</v>
      </c>
      <c r="E900" s="28" t="s">
        <v>52</v>
      </c>
      <c r="F900" s="29"/>
      <c r="G900" s="29"/>
      <c r="H900" s="29"/>
      <c r="I900" s="29"/>
      <c r="J900" s="29"/>
      <c r="K900" s="29"/>
      <c r="L900" s="29"/>
      <c r="M900" s="147">
        <f>M23</f>
        <v>82867.315450000009</v>
      </c>
      <c r="N900" s="180"/>
    </row>
    <row r="901" spans="1:14" s="179" customFormat="1" ht="18" hidden="1" customHeight="1" x14ac:dyDescent="0.35">
      <c r="A901" s="176"/>
      <c r="B901" s="489"/>
      <c r="C901" s="177"/>
      <c r="D901" s="28" t="s">
        <v>37</v>
      </c>
      <c r="E901" s="28" t="s">
        <v>65</v>
      </c>
      <c r="F901" s="29"/>
      <c r="G901" s="29"/>
      <c r="H901" s="29"/>
      <c r="I901" s="29"/>
      <c r="J901" s="29"/>
      <c r="K901" s="29"/>
      <c r="L901" s="29"/>
      <c r="M901" s="147">
        <f>M45</f>
        <v>19.8</v>
      </c>
      <c r="N901" s="180"/>
    </row>
    <row r="902" spans="1:14" s="179" customFormat="1" ht="18" hidden="1" customHeight="1" x14ac:dyDescent="0.35">
      <c r="A902" s="176"/>
      <c r="B902" s="489"/>
      <c r="C902" s="177"/>
      <c r="D902" s="28" t="s">
        <v>37</v>
      </c>
      <c r="E902" s="28" t="s">
        <v>81</v>
      </c>
      <c r="F902" s="29"/>
      <c r="G902" s="29"/>
      <c r="H902" s="29"/>
      <c r="I902" s="29"/>
      <c r="J902" s="29"/>
      <c r="K902" s="29"/>
      <c r="L902" s="29"/>
      <c r="M902" s="147">
        <f>M296+M342</f>
        <v>37963.306999999993</v>
      </c>
      <c r="N902" s="180"/>
    </row>
    <row r="903" spans="1:14" s="179" customFormat="1" ht="18" hidden="1" customHeight="1" x14ac:dyDescent="0.35">
      <c r="A903" s="176"/>
      <c r="B903" s="489"/>
      <c r="C903" s="177"/>
      <c r="D903" s="28" t="s">
        <v>37</v>
      </c>
      <c r="E903" s="28" t="s">
        <v>67</v>
      </c>
      <c r="F903" s="29"/>
      <c r="G903" s="29"/>
      <c r="H903" s="29"/>
      <c r="I903" s="29"/>
      <c r="J903" s="29"/>
      <c r="K903" s="29"/>
      <c r="L903" s="29"/>
      <c r="M903" s="147">
        <f>M51</f>
        <v>6694.3178599999956</v>
      </c>
      <c r="N903" s="180"/>
    </row>
    <row r="904" spans="1:14" s="179" customFormat="1" ht="18" hidden="1" customHeight="1" x14ac:dyDescent="0.35">
      <c r="A904" s="176"/>
      <c r="B904" s="489"/>
      <c r="C904" s="177"/>
      <c r="D904" s="28" t="s">
        <v>37</v>
      </c>
      <c r="E904" s="28" t="s">
        <v>71</v>
      </c>
      <c r="F904" s="29"/>
      <c r="G904" s="29"/>
      <c r="H904" s="29"/>
      <c r="I904" s="29"/>
      <c r="J904" s="29"/>
      <c r="K904" s="29"/>
      <c r="L904" s="29"/>
      <c r="M904" s="147">
        <f>M56+M307+M360+M823+M666+M749+M473</f>
        <v>150486.55564000001</v>
      </c>
      <c r="N904" s="180"/>
    </row>
    <row r="905" spans="1:14" ht="18" hidden="1" customHeight="1" x14ac:dyDescent="0.35">
      <c r="D905" s="148" t="s">
        <v>37</v>
      </c>
      <c r="E905" s="148" t="s">
        <v>43</v>
      </c>
      <c r="F905" s="29"/>
      <c r="G905" s="29"/>
      <c r="H905" s="29"/>
      <c r="I905" s="29"/>
      <c r="J905" s="29"/>
      <c r="K905" s="29"/>
      <c r="L905" s="29"/>
      <c r="M905" s="149">
        <f>SUBTOTAL(9,M899:M904)</f>
        <v>280568.09594999999</v>
      </c>
      <c r="N905" s="181"/>
    </row>
    <row r="906" spans="1:14" ht="18" hidden="1" customHeight="1" x14ac:dyDescent="0.35">
      <c r="D906" s="28"/>
      <c r="E906" s="28"/>
      <c r="F906" s="29"/>
      <c r="G906" s="29"/>
      <c r="H906" s="29"/>
      <c r="I906" s="29"/>
      <c r="J906" s="29"/>
      <c r="K906" s="29"/>
      <c r="L906" s="29"/>
      <c r="M906" s="147"/>
      <c r="N906" s="180"/>
    </row>
    <row r="907" spans="1:14" ht="18" hidden="1" customHeight="1" x14ac:dyDescent="0.35">
      <c r="D907" s="28" t="s">
        <v>63</v>
      </c>
      <c r="E907" s="28" t="s">
        <v>104</v>
      </c>
      <c r="F907" s="29"/>
      <c r="G907" s="29"/>
      <c r="H907" s="29"/>
      <c r="I907" s="29"/>
      <c r="J907" s="29"/>
      <c r="K907" s="29"/>
      <c r="L907" s="29"/>
      <c r="M907" s="147">
        <f>M95</f>
        <v>9496.6999999999989</v>
      </c>
      <c r="N907" s="180"/>
    </row>
    <row r="908" spans="1:14" ht="18" hidden="1" customHeight="1" x14ac:dyDescent="0.35">
      <c r="D908" s="28" t="s">
        <v>63</v>
      </c>
      <c r="E908" s="28" t="s">
        <v>88</v>
      </c>
      <c r="F908" s="29"/>
      <c r="G908" s="29"/>
      <c r="H908" s="29"/>
      <c r="I908" s="29"/>
      <c r="J908" s="29"/>
      <c r="K908" s="29"/>
      <c r="L908" s="29"/>
      <c r="M908" s="147">
        <f>M107</f>
        <v>13053.647999999999</v>
      </c>
      <c r="N908" s="180"/>
    </row>
    <row r="909" spans="1:14" ht="18" hidden="1" customHeight="1" x14ac:dyDescent="0.35">
      <c r="D909" s="148" t="s">
        <v>63</v>
      </c>
      <c r="E909" s="148" t="s">
        <v>43</v>
      </c>
      <c r="F909" s="29"/>
      <c r="G909" s="29"/>
      <c r="H909" s="29"/>
      <c r="I909" s="29"/>
      <c r="J909" s="29"/>
      <c r="K909" s="29"/>
      <c r="L909" s="29"/>
      <c r="M909" s="149">
        <f>SUBTOTAL(9,M907:M908)</f>
        <v>22550.347999999998</v>
      </c>
      <c r="N909" s="181"/>
    </row>
    <row r="910" spans="1:14" ht="18" hidden="1" customHeight="1" x14ac:dyDescent="0.35">
      <c r="D910" s="28"/>
      <c r="E910" s="28"/>
      <c r="F910" s="29"/>
      <c r="G910" s="29"/>
      <c r="H910" s="29"/>
      <c r="I910" s="29"/>
      <c r="J910" s="29"/>
      <c r="K910" s="29"/>
      <c r="L910" s="29"/>
      <c r="M910" s="147"/>
      <c r="N910" s="180"/>
    </row>
    <row r="911" spans="1:14" ht="18" hidden="1" customHeight="1" x14ac:dyDescent="0.35">
      <c r="D911" s="28" t="s">
        <v>52</v>
      </c>
      <c r="E911" s="28" t="s">
        <v>65</v>
      </c>
      <c r="F911" s="29"/>
      <c r="G911" s="29"/>
      <c r="H911" s="29"/>
      <c r="I911" s="29"/>
      <c r="J911" s="29"/>
      <c r="K911" s="29"/>
      <c r="L911" s="29"/>
      <c r="M911" s="147">
        <f>M132</f>
        <v>14369.400000000001</v>
      </c>
      <c r="N911" s="180"/>
    </row>
    <row r="912" spans="1:14" ht="18" hidden="1" customHeight="1" x14ac:dyDescent="0.35">
      <c r="D912" s="28" t="s">
        <v>52</v>
      </c>
      <c r="E912" s="28" t="s">
        <v>79</v>
      </c>
      <c r="F912" s="29"/>
      <c r="G912" s="29"/>
      <c r="H912" s="29"/>
      <c r="I912" s="29"/>
      <c r="J912" s="29"/>
      <c r="K912" s="29"/>
      <c r="L912" s="29"/>
      <c r="M912" s="147">
        <f>M141</f>
        <v>12364.4156</v>
      </c>
      <c r="N912" s="180"/>
    </row>
    <row r="913" spans="4:14" ht="18" hidden="1" customHeight="1" x14ac:dyDescent="0.35">
      <c r="D913" s="28" t="s">
        <v>52</v>
      </c>
      <c r="E913" s="28" t="s">
        <v>100</v>
      </c>
      <c r="F913" s="29"/>
      <c r="G913" s="29"/>
      <c r="H913" s="29"/>
      <c r="I913" s="29"/>
      <c r="J913" s="29"/>
      <c r="K913" s="29"/>
      <c r="L913" s="29"/>
      <c r="M913" s="147">
        <f>M147+M412</f>
        <v>68398.099999999991</v>
      </c>
      <c r="N913" s="180"/>
    </row>
    <row r="914" spans="4:14" ht="18" hidden="1" customHeight="1" x14ac:dyDescent="0.35">
      <c r="D914" s="148" t="s">
        <v>52</v>
      </c>
      <c r="E914" s="148" t="s">
        <v>43</v>
      </c>
      <c r="F914" s="29"/>
      <c r="G914" s="29"/>
      <c r="H914" s="29"/>
      <c r="I914" s="29"/>
      <c r="J914" s="29"/>
      <c r="K914" s="29"/>
      <c r="L914" s="29"/>
      <c r="M914" s="149">
        <f>SUBTOTAL(9,M911:M913)</f>
        <v>95131.915599999993</v>
      </c>
      <c r="N914" s="181"/>
    </row>
    <row r="915" spans="4:14" ht="18" hidden="1" customHeight="1" x14ac:dyDescent="0.35">
      <c r="D915" s="28"/>
      <c r="E915" s="28"/>
      <c r="F915" s="29"/>
      <c r="G915" s="29"/>
      <c r="H915" s="29"/>
      <c r="I915" s="29"/>
      <c r="J915" s="29"/>
      <c r="K915" s="29"/>
      <c r="L915" s="29"/>
      <c r="M915" s="147"/>
      <c r="N915" s="180"/>
    </row>
    <row r="916" spans="4:14" ht="18" hidden="1" customHeight="1" x14ac:dyDescent="0.35">
      <c r="D916" s="28" t="s">
        <v>65</v>
      </c>
      <c r="E916" s="28" t="s">
        <v>37</v>
      </c>
      <c r="F916" s="29"/>
      <c r="G916" s="29"/>
      <c r="H916" s="29"/>
      <c r="I916" s="29"/>
      <c r="J916" s="29"/>
      <c r="K916" s="29"/>
      <c r="L916" s="29"/>
      <c r="M916" s="147">
        <f>M177</f>
        <v>60690.600000000006</v>
      </c>
      <c r="N916" s="180"/>
    </row>
    <row r="917" spans="4:14" ht="18" hidden="1" customHeight="1" x14ac:dyDescent="0.35">
      <c r="D917" s="28" t="s">
        <v>65</v>
      </c>
      <c r="E917" s="28" t="s">
        <v>39</v>
      </c>
      <c r="F917" s="29"/>
      <c r="G917" s="29"/>
      <c r="H917" s="29"/>
      <c r="I917" s="29"/>
      <c r="J917" s="29"/>
      <c r="K917" s="29"/>
      <c r="L917" s="29"/>
      <c r="M917" s="147">
        <f>M423</f>
        <v>46145.1</v>
      </c>
      <c r="N917" s="180"/>
    </row>
    <row r="918" spans="4:14" ht="18" hidden="1" customHeight="1" x14ac:dyDescent="0.35">
      <c r="D918" s="28" t="s">
        <v>65</v>
      </c>
      <c r="E918" s="28" t="s">
        <v>65</v>
      </c>
      <c r="F918" s="29"/>
      <c r="G918" s="29"/>
      <c r="H918" s="29"/>
      <c r="I918" s="29"/>
      <c r="J918" s="29"/>
      <c r="K918" s="29"/>
      <c r="L918" s="29"/>
      <c r="M918" s="147"/>
      <c r="N918" s="180"/>
    </row>
    <row r="919" spans="4:14" ht="18" hidden="1" customHeight="1" x14ac:dyDescent="0.35">
      <c r="D919" s="28" t="s">
        <v>65</v>
      </c>
      <c r="E919" s="28" t="s">
        <v>63</v>
      </c>
      <c r="F919" s="29"/>
      <c r="G919" s="29"/>
      <c r="H919" s="29"/>
      <c r="I919" s="29"/>
      <c r="J919" s="29"/>
      <c r="K919" s="29"/>
      <c r="L919" s="29"/>
      <c r="M919" s="147">
        <f>M187</f>
        <v>7078.9000000000005</v>
      </c>
      <c r="N919" s="180"/>
    </row>
    <row r="920" spans="4:14" ht="18" hidden="1" customHeight="1" x14ac:dyDescent="0.35">
      <c r="D920" s="148" t="s">
        <v>65</v>
      </c>
      <c r="E920" s="148" t="s">
        <v>43</v>
      </c>
      <c r="F920" s="29"/>
      <c r="G920" s="29"/>
      <c r="H920" s="29"/>
      <c r="I920" s="29"/>
      <c r="J920" s="29"/>
      <c r="K920" s="29"/>
      <c r="L920" s="29"/>
      <c r="M920" s="149">
        <f>SUBTOTAL(9,M916:M919)</f>
        <v>113914.6</v>
      </c>
      <c r="N920" s="181"/>
    </row>
    <row r="921" spans="4:14" ht="18" hidden="1" customHeight="1" x14ac:dyDescent="0.35">
      <c r="D921" s="28"/>
      <c r="E921" s="28"/>
      <c r="F921" s="29"/>
      <c r="G921" s="29"/>
      <c r="H921" s="29"/>
      <c r="I921" s="29"/>
      <c r="J921" s="29"/>
      <c r="K921" s="29"/>
      <c r="L921" s="29"/>
      <c r="M921" s="147"/>
      <c r="N921" s="180"/>
    </row>
    <row r="922" spans="4:14" ht="18" hidden="1" customHeight="1" x14ac:dyDescent="0.35">
      <c r="D922" s="28" t="s">
        <v>224</v>
      </c>
      <c r="E922" s="28" t="s">
        <v>37</v>
      </c>
      <c r="F922" s="29"/>
      <c r="G922" s="29"/>
      <c r="H922" s="29"/>
      <c r="I922" s="29"/>
      <c r="J922" s="29"/>
      <c r="K922" s="29"/>
      <c r="L922" s="29"/>
      <c r="M922" s="147">
        <f>M486+M432</f>
        <v>516182.57999999996</v>
      </c>
      <c r="N922" s="180"/>
    </row>
    <row r="923" spans="4:14" ht="18" hidden="1" customHeight="1" x14ac:dyDescent="0.35">
      <c r="D923" s="28" t="s">
        <v>224</v>
      </c>
      <c r="E923" s="28" t="s">
        <v>39</v>
      </c>
      <c r="F923" s="29"/>
      <c r="G923" s="29"/>
      <c r="H923" s="29"/>
      <c r="I923" s="29"/>
      <c r="J923" s="29"/>
      <c r="K923" s="29"/>
      <c r="L923" s="29"/>
      <c r="M923" s="147">
        <f>M440+M517</f>
        <v>935165.88830000011</v>
      </c>
      <c r="N923" s="180"/>
    </row>
    <row r="924" spans="4:14" ht="18" hidden="1" customHeight="1" x14ac:dyDescent="0.35">
      <c r="D924" s="28" t="s">
        <v>224</v>
      </c>
      <c r="E924" s="28" t="s">
        <v>63</v>
      </c>
      <c r="F924" s="29"/>
      <c r="G924" s="29"/>
      <c r="H924" s="29"/>
      <c r="I924" s="29"/>
      <c r="J924" s="29"/>
      <c r="K924" s="29"/>
      <c r="L924" s="29"/>
      <c r="M924" s="147">
        <f>M577+M673</f>
        <v>159787.057</v>
      </c>
      <c r="N924" s="180"/>
    </row>
    <row r="925" spans="4:14" ht="18" hidden="1" customHeight="1" x14ac:dyDescent="0.35">
      <c r="D925" s="28" t="s">
        <v>224</v>
      </c>
      <c r="E925" s="28" t="s">
        <v>65</v>
      </c>
      <c r="F925" s="29"/>
      <c r="G925" s="29"/>
      <c r="H925" s="29"/>
      <c r="I925" s="29"/>
      <c r="J925" s="29"/>
      <c r="K925" s="29"/>
      <c r="L925" s="29"/>
      <c r="M925" s="147">
        <f>M194+M320+M448+M352+M609</f>
        <v>284.59299999999996</v>
      </c>
      <c r="N925" s="180"/>
    </row>
    <row r="926" spans="4:14" ht="18" hidden="1" customHeight="1" x14ac:dyDescent="0.35">
      <c r="D926" s="28" t="s">
        <v>224</v>
      </c>
      <c r="E926" s="28" t="s">
        <v>224</v>
      </c>
      <c r="F926" s="29"/>
      <c r="G926" s="29"/>
      <c r="H926" s="29"/>
      <c r="I926" s="29"/>
      <c r="J926" s="29"/>
      <c r="K926" s="29"/>
      <c r="L926" s="29"/>
      <c r="M926" s="147">
        <f>M836</f>
        <v>5951.9699999999993</v>
      </c>
      <c r="N926" s="180"/>
    </row>
    <row r="927" spans="4:14" ht="18" hidden="1" customHeight="1" x14ac:dyDescent="0.35">
      <c r="D927" s="28" t="s">
        <v>224</v>
      </c>
      <c r="E927" s="28" t="s">
        <v>79</v>
      </c>
      <c r="F927" s="29"/>
      <c r="G927" s="29"/>
      <c r="H927" s="29"/>
      <c r="I927" s="29"/>
      <c r="J927" s="29"/>
      <c r="K927" s="29"/>
      <c r="L927" s="29"/>
      <c r="M927" s="147">
        <f>M619+M685+M846</f>
        <v>94173.543000000005</v>
      </c>
      <c r="N927" s="180"/>
    </row>
    <row r="928" spans="4:14" ht="18" hidden="1" customHeight="1" x14ac:dyDescent="0.35">
      <c r="D928" s="148" t="s">
        <v>224</v>
      </c>
      <c r="E928" s="148" t="s">
        <v>43</v>
      </c>
      <c r="F928" s="29"/>
      <c r="G928" s="29"/>
      <c r="H928" s="29"/>
      <c r="I928" s="29"/>
      <c r="J928" s="29"/>
      <c r="K928" s="29"/>
      <c r="L928" s="29"/>
      <c r="M928" s="149">
        <f>SUBTOTAL(9,M922:M927)</f>
        <v>1711545.6313000002</v>
      </c>
      <c r="N928" s="181"/>
    </row>
    <row r="929" spans="4:14" ht="18" hidden="1" customHeight="1" x14ac:dyDescent="0.35">
      <c r="D929" s="28"/>
      <c r="E929" s="28"/>
      <c r="F929" s="29"/>
      <c r="G929" s="29"/>
      <c r="H929" s="29"/>
      <c r="I929" s="29"/>
      <c r="J929" s="29"/>
      <c r="K929" s="29"/>
      <c r="L929" s="29"/>
      <c r="M929" s="147"/>
      <c r="N929" s="180"/>
    </row>
    <row r="930" spans="4:14" ht="18" hidden="1" customHeight="1" x14ac:dyDescent="0.35">
      <c r="D930" s="28" t="s">
        <v>226</v>
      </c>
      <c r="E930" s="28" t="s">
        <v>37</v>
      </c>
      <c r="F930" s="29"/>
      <c r="G930" s="29"/>
      <c r="H930" s="29"/>
      <c r="I930" s="29"/>
      <c r="J930" s="29"/>
      <c r="K930" s="29"/>
      <c r="L930" s="29"/>
      <c r="M930" s="147">
        <f>M695</f>
        <v>55631.999999999993</v>
      </c>
      <c r="N930" s="180"/>
    </row>
    <row r="931" spans="4:14" ht="18" hidden="1" customHeight="1" x14ac:dyDescent="0.35">
      <c r="D931" s="28" t="s">
        <v>226</v>
      </c>
      <c r="E931" s="28" t="s">
        <v>52</v>
      </c>
      <c r="F931" s="29"/>
      <c r="G931" s="29"/>
      <c r="H931" s="29"/>
      <c r="I931" s="29"/>
      <c r="J931" s="29"/>
      <c r="K931" s="29"/>
      <c r="L931" s="29"/>
      <c r="M931" s="147">
        <f>M730</f>
        <v>12422</v>
      </c>
      <c r="N931" s="180"/>
    </row>
    <row r="932" spans="4:14" ht="18" hidden="1" customHeight="1" x14ac:dyDescent="0.35">
      <c r="D932" s="148" t="s">
        <v>226</v>
      </c>
      <c r="E932" s="148" t="s">
        <v>43</v>
      </c>
      <c r="F932" s="29"/>
      <c r="G932" s="29"/>
      <c r="H932" s="29"/>
      <c r="I932" s="29"/>
      <c r="J932" s="29"/>
      <c r="K932" s="29"/>
      <c r="L932" s="29"/>
      <c r="M932" s="149">
        <f>SUBTOTAL(9,M930:M931)</f>
        <v>68054</v>
      </c>
      <c r="N932" s="181"/>
    </row>
    <row r="933" spans="4:14" ht="18" hidden="1" customHeight="1" x14ac:dyDescent="0.35">
      <c r="D933" s="28"/>
      <c r="E933" s="28"/>
      <c r="F933" s="29"/>
      <c r="G933" s="29"/>
      <c r="H933" s="29"/>
      <c r="I933" s="29"/>
      <c r="J933" s="29"/>
      <c r="K933" s="29"/>
      <c r="L933" s="29"/>
      <c r="M933" s="147"/>
      <c r="N933" s="180"/>
    </row>
    <row r="934" spans="4:14" ht="18" hidden="1" customHeight="1" x14ac:dyDescent="0.35">
      <c r="D934" s="28" t="s">
        <v>104</v>
      </c>
      <c r="E934" s="28" t="s">
        <v>37</v>
      </c>
      <c r="F934" s="29"/>
      <c r="G934" s="29"/>
      <c r="H934" s="29"/>
      <c r="I934" s="29"/>
      <c r="J934" s="29"/>
      <c r="K934" s="29"/>
      <c r="L934" s="29"/>
      <c r="M934" s="147">
        <f>M201</f>
        <v>1504.6</v>
      </c>
      <c r="N934" s="180"/>
    </row>
    <row r="935" spans="4:14" ht="18" hidden="1" customHeight="1" x14ac:dyDescent="0.35">
      <c r="D935" s="28" t="s">
        <v>104</v>
      </c>
      <c r="E935" s="28" t="s">
        <v>63</v>
      </c>
      <c r="F935" s="29"/>
      <c r="G935" s="29"/>
      <c r="H935" s="29"/>
      <c r="I935" s="29"/>
      <c r="J935" s="29"/>
      <c r="K935" s="29"/>
      <c r="L935" s="29"/>
      <c r="M935" s="147">
        <f>M650+M207</f>
        <v>10329.68808</v>
      </c>
      <c r="N935" s="180"/>
    </row>
    <row r="936" spans="4:14" ht="18" hidden="1" customHeight="1" x14ac:dyDescent="0.35">
      <c r="D936" s="28" t="s">
        <v>104</v>
      </c>
      <c r="E936" s="28" t="s">
        <v>52</v>
      </c>
      <c r="F936" s="29"/>
      <c r="G936" s="29"/>
      <c r="H936" s="29"/>
      <c r="I936" s="29"/>
      <c r="J936" s="29"/>
      <c r="K936" s="29"/>
      <c r="L936" s="29"/>
      <c r="M936" s="147">
        <f>M455+M656+M857</f>
        <v>148342.97597</v>
      </c>
      <c r="N936" s="180"/>
    </row>
    <row r="937" spans="4:14" ht="18" hidden="1" customHeight="1" x14ac:dyDescent="0.35">
      <c r="D937" s="28" t="s">
        <v>104</v>
      </c>
      <c r="E937" s="28" t="s">
        <v>81</v>
      </c>
      <c r="F937" s="29"/>
      <c r="G937" s="29"/>
      <c r="H937" s="29"/>
      <c r="I937" s="29"/>
      <c r="J937" s="29"/>
      <c r="K937" s="29"/>
      <c r="L937" s="29"/>
      <c r="M937" s="147">
        <f>M218+M878</f>
        <v>11468.5</v>
      </c>
      <c r="N937" s="180"/>
    </row>
    <row r="938" spans="4:14" ht="18" hidden="1" customHeight="1" x14ac:dyDescent="0.35">
      <c r="D938" s="148" t="s">
        <v>104</v>
      </c>
      <c r="E938" s="148" t="s">
        <v>43</v>
      </c>
      <c r="F938" s="29"/>
      <c r="G938" s="29"/>
      <c r="H938" s="29"/>
      <c r="I938" s="29"/>
      <c r="J938" s="29"/>
      <c r="K938" s="29"/>
      <c r="L938" s="29"/>
      <c r="M938" s="149">
        <f>SUBTOTAL(9,M934:M937)</f>
        <v>171645.76405</v>
      </c>
      <c r="N938" s="181"/>
    </row>
    <row r="939" spans="4:14" ht="18" hidden="1" customHeight="1" x14ac:dyDescent="0.35">
      <c r="D939" s="28"/>
      <c r="E939" s="28"/>
      <c r="F939" s="29"/>
      <c r="G939" s="29"/>
      <c r="H939" s="29"/>
      <c r="I939" s="29"/>
      <c r="J939" s="29"/>
      <c r="K939" s="29"/>
      <c r="L939" s="29"/>
      <c r="M939" s="147"/>
      <c r="N939" s="180"/>
    </row>
    <row r="940" spans="4:14" ht="18" hidden="1" customHeight="1" x14ac:dyDescent="0.35">
      <c r="D940" s="28" t="s">
        <v>67</v>
      </c>
      <c r="E940" s="28" t="s">
        <v>37</v>
      </c>
      <c r="F940" s="29"/>
      <c r="G940" s="29"/>
      <c r="H940" s="29"/>
      <c r="I940" s="29"/>
      <c r="J940" s="29"/>
      <c r="K940" s="29"/>
      <c r="L940" s="29"/>
      <c r="M940" s="147">
        <f>M756+M462</f>
        <v>83059.106480000002</v>
      </c>
      <c r="N940" s="180"/>
    </row>
    <row r="941" spans="4:14" ht="18" hidden="1" customHeight="1" x14ac:dyDescent="0.35">
      <c r="D941" s="28" t="s">
        <v>67</v>
      </c>
      <c r="E941" s="28" t="s">
        <v>39</v>
      </c>
      <c r="F941" s="29"/>
      <c r="G941" s="29"/>
      <c r="H941" s="29"/>
      <c r="I941" s="29"/>
      <c r="J941" s="29"/>
      <c r="K941" s="29"/>
      <c r="L941" s="29"/>
      <c r="M941" s="147">
        <f>M777</f>
        <v>27213.8</v>
      </c>
      <c r="N941" s="180"/>
    </row>
    <row r="942" spans="4:14" ht="18" hidden="1" customHeight="1" x14ac:dyDescent="0.35">
      <c r="D942" s="28" t="s">
        <v>67</v>
      </c>
      <c r="E942" s="28" t="s">
        <v>63</v>
      </c>
      <c r="F942" s="29"/>
      <c r="G942" s="29"/>
      <c r="H942" s="29"/>
      <c r="I942" s="29"/>
      <c r="J942" s="29"/>
      <c r="K942" s="29"/>
      <c r="L942" s="29"/>
      <c r="M942" s="147">
        <f>M790</f>
        <v>38085.593519999995</v>
      </c>
      <c r="N942" s="180"/>
    </row>
    <row r="943" spans="4:14" ht="18" hidden="1" customHeight="1" x14ac:dyDescent="0.35">
      <c r="D943" s="28" t="s">
        <v>67</v>
      </c>
      <c r="E943" s="28" t="s">
        <v>65</v>
      </c>
      <c r="F943" s="29"/>
      <c r="G943" s="29"/>
      <c r="H943" s="29"/>
      <c r="I943" s="29"/>
      <c r="J943" s="29"/>
      <c r="K943" s="29"/>
      <c r="L943" s="29"/>
      <c r="M943" s="147">
        <f>M812</f>
        <v>2971.1000000000004</v>
      </c>
      <c r="N943" s="180"/>
    </row>
    <row r="944" spans="4:14" ht="18" hidden="1" customHeight="1" x14ac:dyDescent="0.35">
      <c r="D944" s="148" t="s">
        <v>67</v>
      </c>
      <c r="E944" s="148" t="s">
        <v>43</v>
      </c>
      <c r="F944" s="29"/>
      <c r="G944" s="29"/>
      <c r="H944" s="29"/>
      <c r="I944" s="29"/>
      <c r="J944" s="29"/>
      <c r="K944" s="29"/>
      <c r="L944" s="29"/>
      <c r="M944" s="149">
        <f>SUBTOTAL(9,M940:M943)</f>
        <v>151329.60000000001</v>
      </c>
      <c r="N944" s="181"/>
    </row>
    <row r="945" spans="2:14" ht="18" hidden="1" customHeight="1" x14ac:dyDescent="0.35">
      <c r="D945" s="28"/>
      <c r="E945" s="28"/>
      <c r="F945" s="29"/>
      <c r="G945" s="29"/>
      <c r="H945" s="29"/>
      <c r="I945" s="29"/>
      <c r="J945" s="29"/>
      <c r="K945" s="29"/>
      <c r="L945" s="29"/>
      <c r="M945" s="147"/>
      <c r="N945" s="180"/>
    </row>
    <row r="946" spans="2:14" ht="18" hidden="1" customHeight="1" x14ac:dyDescent="0.35">
      <c r="D946" s="28" t="s">
        <v>71</v>
      </c>
      <c r="E946" s="28" t="s">
        <v>37</v>
      </c>
      <c r="F946" s="29"/>
      <c r="G946" s="29"/>
      <c r="H946" s="29"/>
      <c r="I946" s="29"/>
      <c r="J946" s="29"/>
      <c r="K946" s="29"/>
      <c r="L946" s="29"/>
      <c r="M946" s="147">
        <f>M224</f>
        <v>6</v>
      </c>
      <c r="N946" s="180"/>
    </row>
    <row r="947" spans="2:14" ht="18" hidden="1" customHeight="1" x14ac:dyDescent="0.35">
      <c r="D947" s="148" t="s">
        <v>71</v>
      </c>
      <c r="E947" s="148" t="s">
        <v>43</v>
      </c>
      <c r="F947" s="29"/>
      <c r="G947" s="29"/>
      <c r="H947" s="29"/>
      <c r="I947" s="29"/>
      <c r="J947" s="29"/>
      <c r="K947" s="29"/>
      <c r="L947" s="29"/>
      <c r="M947" s="149">
        <f>M946</f>
        <v>6</v>
      </c>
      <c r="N947" s="181"/>
    </row>
    <row r="948" spans="2:14" ht="18" hidden="1" customHeight="1" x14ac:dyDescent="0.35">
      <c r="D948" s="28"/>
      <c r="E948" s="28"/>
      <c r="F948" s="29"/>
      <c r="G948" s="29"/>
      <c r="H948" s="29"/>
      <c r="I948" s="29"/>
      <c r="J948" s="29"/>
      <c r="K948" s="29"/>
      <c r="L948" s="29"/>
      <c r="M948" s="147"/>
      <c r="N948" s="180"/>
    </row>
    <row r="949" spans="2:14" ht="18" hidden="1" customHeight="1" x14ac:dyDescent="0.35">
      <c r="D949" s="28" t="s">
        <v>88</v>
      </c>
      <c r="E949" s="28" t="s">
        <v>37</v>
      </c>
      <c r="F949" s="29"/>
      <c r="G949" s="29"/>
      <c r="H949" s="29"/>
      <c r="I949" s="29"/>
      <c r="J949" s="29"/>
      <c r="K949" s="29"/>
      <c r="L949" s="29"/>
      <c r="M949" s="147">
        <f>M327</f>
        <v>7500</v>
      </c>
      <c r="N949" s="180"/>
    </row>
    <row r="950" spans="2:14" ht="18" hidden="1" customHeight="1" x14ac:dyDescent="0.35">
      <c r="D950" s="28" t="s">
        <v>88</v>
      </c>
      <c r="E950" s="28" t="s">
        <v>39</v>
      </c>
      <c r="F950" s="29"/>
      <c r="G950" s="29"/>
      <c r="H950" s="29"/>
      <c r="I950" s="29"/>
      <c r="J950" s="29"/>
      <c r="K950" s="29"/>
      <c r="L950" s="29"/>
      <c r="M950" s="147"/>
      <c r="N950" s="180"/>
    </row>
    <row r="951" spans="2:14" ht="18" hidden="1" customHeight="1" x14ac:dyDescent="0.35">
      <c r="D951" s="28" t="s">
        <v>88</v>
      </c>
      <c r="E951" s="28" t="s">
        <v>63</v>
      </c>
      <c r="F951" s="29"/>
      <c r="G951" s="29"/>
      <c r="H951" s="29"/>
      <c r="I951" s="29"/>
      <c r="J951" s="29"/>
      <c r="K951" s="29"/>
      <c r="L951" s="253"/>
      <c r="M951" s="147">
        <f>M232+M333</f>
        <v>66076</v>
      </c>
      <c r="N951" s="180"/>
    </row>
    <row r="952" spans="2:14" ht="18" hidden="1" customHeight="1" x14ac:dyDescent="0.35">
      <c r="D952" s="148" t="s">
        <v>88</v>
      </c>
      <c r="E952" s="148" t="s">
        <v>43</v>
      </c>
      <c r="F952" s="29"/>
      <c r="G952" s="29"/>
      <c r="H952" s="29"/>
      <c r="I952" s="29"/>
      <c r="J952" s="29"/>
      <c r="K952" s="29"/>
      <c r="L952" s="29"/>
      <c r="M952" s="149">
        <f>SUBTOTAL(9,M949:M951)</f>
        <v>73576</v>
      </c>
      <c r="N952" s="181"/>
    </row>
    <row r="953" spans="2:14" ht="18" hidden="1" customHeight="1" x14ac:dyDescent="0.35">
      <c r="D953" s="73"/>
      <c r="E953" s="28"/>
      <c r="F953" s="29"/>
      <c r="G953" s="29"/>
      <c r="H953" s="29"/>
      <c r="I953" s="29"/>
      <c r="J953" s="29"/>
      <c r="K953" s="29"/>
      <c r="L953" s="29"/>
      <c r="M953" s="459">
        <f>M905+M909+M914+M920+M928+M932+M938+M944+M947+M952</f>
        <v>2688321.9549000002</v>
      </c>
      <c r="N953" s="75"/>
    </row>
    <row r="954" spans="2:14" ht="18" hidden="1" customHeight="1" x14ac:dyDescent="0.35">
      <c r="D954" s="74"/>
      <c r="E954" s="74"/>
      <c r="F954" s="33"/>
      <c r="G954" s="33"/>
      <c r="H954" s="33"/>
      <c r="I954" s="33"/>
      <c r="J954" s="33"/>
      <c r="K954" s="33"/>
      <c r="L954" s="33"/>
      <c r="M954" s="460"/>
      <c r="N954" s="75"/>
    </row>
    <row r="955" spans="2:14" ht="18" hidden="1" customHeight="1" x14ac:dyDescent="0.35">
      <c r="B955" s="487" t="s">
        <v>365</v>
      </c>
      <c r="D955" s="74"/>
      <c r="E955" s="74"/>
      <c r="F955" s="33"/>
      <c r="G955" s="33"/>
      <c r="H955" s="33"/>
      <c r="I955" s="33"/>
      <c r="J955" s="33"/>
      <c r="K955" s="33"/>
      <c r="L955" s="33"/>
      <c r="M955" s="460"/>
      <c r="N955" s="75"/>
    </row>
    <row r="956" spans="2:14" ht="18" hidden="1" customHeight="1" x14ac:dyDescent="0.35">
      <c r="B956" s="487" t="s">
        <v>364</v>
      </c>
      <c r="D956" s="74"/>
      <c r="E956" s="74"/>
      <c r="F956" s="33"/>
      <c r="G956" s="33"/>
      <c r="H956" s="33"/>
      <c r="I956" s="33"/>
      <c r="J956" s="33"/>
      <c r="K956" s="33"/>
      <c r="L956" s="33"/>
      <c r="M956" s="460"/>
      <c r="N956" s="75"/>
    </row>
    <row r="957" spans="2:14" ht="18" customHeight="1" x14ac:dyDescent="0.35">
      <c r="D957" s="74"/>
      <c r="E957" s="74"/>
      <c r="F957" s="33"/>
      <c r="G957" s="33"/>
      <c r="H957" s="33"/>
      <c r="I957" s="33"/>
      <c r="J957" s="33"/>
      <c r="K957" s="33"/>
      <c r="L957" s="33"/>
      <c r="M957" s="461"/>
      <c r="N957" s="75"/>
    </row>
    <row r="958" spans="2:14" ht="18" customHeight="1" x14ac:dyDescent="0.35">
      <c r="D958" s="74"/>
      <c r="E958" s="74"/>
      <c r="F958" s="33"/>
      <c r="G958" s="33"/>
      <c r="H958" s="33"/>
      <c r="I958" s="33"/>
      <c r="J958" s="33"/>
      <c r="K958" s="33"/>
      <c r="L958" s="33"/>
      <c r="M958" s="462"/>
      <c r="N958" s="75"/>
    </row>
    <row r="959" spans="2:14" ht="14.4" customHeight="1" x14ac:dyDescent="0.3">
      <c r="D959" s="75"/>
      <c r="E959" s="75"/>
      <c r="F959" s="75"/>
      <c r="G959" s="75"/>
      <c r="H959" s="75"/>
      <c r="I959" s="75"/>
      <c r="J959" s="75"/>
      <c r="K959" s="75"/>
      <c r="L959" s="75"/>
      <c r="M959" s="462"/>
      <c r="N959" s="75"/>
    </row>
    <row r="960" spans="2:14" ht="14.4" customHeight="1" x14ac:dyDescent="0.3">
      <c r="D960" s="75"/>
      <c r="E960" s="75"/>
      <c r="F960" s="75"/>
      <c r="G960" s="75"/>
      <c r="H960" s="75"/>
      <c r="I960" s="75"/>
      <c r="J960" s="75"/>
      <c r="K960" s="75"/>
      <c r="L960" s="75"/>
      <c r="M960" s="462"/>
      <c r="N960" s="75"/>
    </row>
    <row r="961" spans="4:14" ht="14.4" customHeight="1" x14ac:dyDescent="0.3">
      <c r="D961" s="75"/>
      <c r="E961" s="75"/>
      <c r="F961" s="75"/>
      <c r="G961" s="75"/>
      <c r="H961" s="75"/>
      <c r="I961" s="75"/>
      <c r="J961" s="75"/>
      <c r="K961" s="75"/>
      <c r="L961" s="75"/>
      <c r="M961" s="462"/>
      <c r="N961" s="75"/>
    </row>
    <row r="962" spans="4:14" ht="14.4" customHeight="1" x14ac:dyDescent="0.3">
      <c r="D962" s="75"/>
      <c r="E962" s="75"/>
      <c r="F962" s="75"/>
      <c r="G962" s="75"/>
      <c r="H962" s="75"/>
      <c r="I962" s="75"/>
      <c r="J962" s="75"/>
      <c r="K962" s="75"/>
      <c r="L962" s="75"/>
      <c r="M962" s="462"/>
      <c r="N962" s="75"/>
    </row>
    <row r="963" spans="4:14" ht="14.4" customHeight="1" x14ac:dyDescent="0.3">
      <c r="D963" s="75"/>
      <c r="E963" s="75"/>
      <c r="F963" s="75"/>
      <c r="G963" s="75"/>
      <c r="H963" s="75"/>
      <c r="I963" s="75"/>
      <c r="J963" s="75"/>
      <c r="K963" s="75"/>
      <c r="L963" s="75"/>
      <c r="M963" s="462"/>
      <c r="N963" s="75"/>
    </row>
    <row r="964" spans="4:14" ht="14.4" customHeight="1" x14ac:dyDescent="0.3">
      <c r="D964" s="75"/>
      <c r="E964" s="75"/>
      <c r="F964" s="75"/>
      <c r="G964" s="75"/>
      <c r="H964" s="75"/>
      <c r="I964" s="75"/>
      <c r="J964" s="75"/>
      <c r="K964" s="75"/>
      <c r="L964" s="75"/>
      <c r="M964" s="462"/>
      <c r="N964" s="75"/>
    </row>
    <row r="965" spans="4:14" ht="14.4" customHeight="1" x14ac:dyDescent="0.3">
      <c r="D965" s="75"/>
      <c r="E965" s="75"/>
      <c r="F965" s="75"/>
      <c r="G965" s="75"/>
      <c r="H965" s="75"/>
      <c r="I965" s="75"/>
      <c r="J965" s="75"/>
      <c r="K965" s="75"/>
      <c r="L965" s="75"/>
      <c r="M965" s="462"/>
      <c r="N965" s="75"/>
    </row>
    <row r="966" spans="4:14" ht="14.4" customHeight="1" x14ac:dyDescent="0.3">
      <c r="D966" s="75"/>
      <c r="E966" s="75"/>
      <c r="F966" s="75"/>
      <c r="G966" s="75"/>
      <c r="H966" s="75"/>
      <c r="I966" s="75"/>
      <c r="J966" s="75"/>
      <c r="K966" s="75"/>
      <c r="L966" s="75"/>
      <c r="M966" s="462"/>
      <c r="N966" s="75"/>
    </row>
    <row r="967" spans="4:14" ht="14.4" customHeight="1" x14ac:dyDescent="0.3">
      <c r="D967" s="75"/>
      <c r="E967" s="75"/>
      <c r="F967" s="75"/>
      <c r="G967" s="75"/>
      <c r="H967" s="75"/>
      <c r="I967" s="75"/>
      <c r="J967" s="75"/>
      <c r="K967" s="75"/>
      <c r="L967" s="75"/>
      <c r="M967" s="462"/>
      <c r="N967" s="75"/>
    </row>
    <row r="968" spans="4:14" ht="14.4" customHeight="1" x14ac:dyDescent="0.3">
      <c r="D968" s="75"/>
      <c r="E968" s="75"/>
      <c r="F968" s="75"/>
      <c r="G968" s="75"/>
      <c r="H968" s="75"/>
      <c r="I968" s="75"/>
      <c r="J968" s="75"/>
      <c r="K968" s="75"/>
      <c r="L968" s="75"/>
      <c r="M968" s="462"/>
      <c r="N968" s="75"/>
    </row>
    <row r="969" spans="4:14" ht="14.4" customHeight="1" x14ac:dyDescent="0.3">
      <c r="D969" s="75"/>
      <c r="E969" s="75"/>
      <c r="F969" s="75"/>
      <c r="G969" s="75"/>
      <c r="H969" s="75"/>
      <c r="I969" s="75"/>
      <c r="J969" s="75"/>
      <c r="K969" s="75"/>
      <c r="L969" s="75"/>
      <c r="M969" s="462"/>
      <c r="N969" s="75"/>
    </row>
    <row r="970" spans="4:14" ht="14.4" customHeight="1" x14ac:dyDescent="0.3">
      <c r="D970" s="75"/>
      <c r="E970" s="75"/>
      <c r="F970" s="75"/>
      <c r="G970" s="75"/>
      <c r="H970" s="75"/>
      <c r="I970" s="75"/>
      <c r="J970" s="75"/>
      <c r="K970" s="75"/>
      <c r="L970" s="75"/>
      <c r="M970" s="462"/>
      <c r="N970" s="75"/>
    </row>
    <row r="971" spans="4:14" ht="14.4" customHeight="1" x14ac:dyDescent="0.3">
      <c r="D971" s="75"/>
      <c r="E971" s="75"/>
      <c r="F971" s="75"/>
      <c r="G971" s="75"/>
      <c r="H971" s="75"/>
      <c r="I971" s="75"/>
      <c r="J971" s="75"/>
      <c r="K971" s="75"/>
      <c r="L971" s="75"/>
      <c r="M971" s="462"/>
      <c r="N971" s="75"/>
    </row>
    <row r="972" spans="4:14" ht="14.4" customHeight="1" x14ac:dyDescent="0.3">
      <c r="D972" s="75"/>
      <c r="E972" s="75"/>
      <c r="F972" s="75"/>
      <c r="G972" s="75"/>
      <c r="H972" s="75"/>
      <c r="I972" s="75"/>
      <c r="J972" s="75"/>
      <c r="K972" s="75"/>
      <c r="L972" s="75"/>
      <c r="M972" s="462"/>
      <c r="N972" s="75"/>
    </row>
    <row r="973" spans="4:14" ht="14.4" customHeight="1" x14ac:dyDescent="0.3">
      <c r="D973" s="75"/>
      <c r="E973" s="75"/>
      <c r="F973" s="75"/>
      <c r="G973" s="75"/>
      <c r="H973" s="75"/>
      <c r="I973" s="75"/>
      <c r="J973" s="75"/>
      <c r="K973" s="75"/>
      <c r="L973" s="75"/>
      <c r="M973" s="462"/>
      <c r="N973" s="75"/>
    </row>
    <row r="974" spans="4:14" ht="14.4" customHeight="1" x14ac:dyDescent="0.3">
      <c r="D974" s="75"/>
      <c r="E974" s="75"/>
      <c r="F974" s="75"/>
      <c r="G974" s="75"/>
      <c r="H974" s="75"/>
      <c r="I974" s="75"/>
      <c r="J974" s="75"/>
      <c r="K974" s="75"/>
      <c r="L974" s="75"/>
      <c r="M974" s="462"/>
      <c r="N974" s="75"/>
    </row>
    <row r="975" spans="4:14" ht="14.4" customHeight="1" x14ac:dyDescent="0.3">
      <c r="D975" s="75"/>
      <c r="E975" s="75"/>
      <c r="F975" s="75"/>
      <c r="G975" s="75"/>
      <c r="H975" s="75"/>
      <c r="I975" s="75"/>
      <c r="J975" s="75"/>
      <c r="K975" s="75"/>
      <c r="L975" s="75"/>
      <c r="M975" s="462"/>
      <c r="N975" s="75"/>
    </row>
    <row r="976" spans="4:14" ht="14.4" customHeight="1" x14ac:dyDescent="0.3">
      <c r="D976" s="75"/>
      <c r="E976" s="75"/>
      <c r="F976" s="75"/>
      <c r="G976" s="75"/>
      <c r="H976" s="75"/>
      <c r="I976" s="75"/>
      <c r="J976" s="75"/>
      <c r="K976" s="75"/>
      <c r="L976" s="75"/>
      <c r="M976" s="462"/>
      <c r="N976" s="75"/>
    </row>
    <row r="977" spans="4:14" ht="14.4" customHeight="1" x14ac:dyDescent="0.3">
      <c r="D977" s="75"/>
      <c r="E977" s="75"/>
      <c r="F977" s="75"/>
      <c r="G977" s="75"/>
      <c r="H977" s="75"/>
      <c r="I977" s="75"/>
      <c r="J977" s="75"/>
      <c r="K977" s="75"/>
      <c r="L977" s="75"/>
      <c r="M977" s="462"/>
      <c r="N977" s="75"/>
    </row>
    <row r="978" spans="4:14" ht="14.4" customHeight="1" x14ac:dyDescent="0.3">
      <c r="D978" s="75"/>
      <c r="E978" s="75"/>
      <c r="F978" s="75"/>
      <c r="G978" s="75"/>
      <c r="H978" s="75"/>
      <c r="I978" s="75"/>
      <c r="J978" s="75"/>
      <c r="K978" s="75"/>
      <c r="L978" s="75"/>
      <c r="M978" s="462"/>
      <c r="N978" s="75"/>
    </row>
    <row r="979" spans="4:14" ht="14.4" customHeight="1" x14ac:dyDescent="0.3">
      <c r="D979" s="75"/>
      <c r="E979" s="75"/>
      <c r="F979" s="75"/>
      <c r="G979" s="75"/>
      <c r="H979" s="75"/>
      <c r="I979" s="75"/>
      <c r="J979" s="75"/>
      <c r="K979" s="75"/>
      <c r="L979" s="75"/>
      <c r="M979" s="462"/>
      <c r="N979" s="75"/>
    </row>
    <row r="980" spans="4:14" ht="14.4" customHeight="1" x14ac:dyDescent="0.3">
      <c r="D980" s="75"/>
      <c r="E980" s="75"/>
      <c r="F980" s="75"/>
      <c r="G980" s="75"/>
      <c r="H980" s="75"/>
      <c r="I980" s="75"/>
      <c r="J980" s="75"/>
      <c r="K980" s="75"/>
      <c r="L980" s="75"/>
      <c r="M980" s="462"/>
      <c r="N980" s="75"/>
    </row>
    <row r="981" spans="4:14" ht="14.4" customHeight="1" x14ac:dyDescent="0.3">
      <c r="D981" s="75"/>
      <c r="E981" s="75"/>
      <c r="F981" s="75"/>
      <c r="G981" s="75"/>
      <c r="H981" s="75"/>
      <c r="I981" s="75"/>
      <c r="J981" s="75"/>
      <c r="K981" s="75"/>
      <c r="L981" s="75"/>
      <c r="M981" s="462"/>
      <c r="N981" s="75"/>
    </row>
    <row r="982" spans="4:14" ht="14.4" customHeight="1" x14ac:dyDescent="0.3">
      <c r="D982" s="75"/>
      <c r="E982" s="75"/>
      <c r="F982" s="75"/>
      <c r="G982" s="75"/>
      <c r="H982" s="75"/>
      <c r="I982" s="75"/>
      <c r="J982" s="75"/>
      <c r="K982" s="75"/>
      <c r="L982" s="75"/>
      <c r="M982" s="462"/>
      <c r="N982" s="75"/>
    </row>
    <row r="983" spans="4:14" ht="14.4" customHeight="1" x14ac:dyDescent="0.3">
      <c r="D983" s="75"/>
      <c r="E983" s="75"/>
      <c r="F983" s="75"/>
      <c r="G983" s="75"/>
      <c r="H983" s="75"/>
      <c r="I983" s="75"/>
      <c r="J983" s="75"/>
      <c r="K983" s="75"/>
      <c r="L983" s="75"/>
      <c r="M983" s="462"/>
      <c r="N983" s="75"/>
    </row>
    <row r="984" spans="4:14" ht="14.4" customHeight="1" x14ac:dyDescent="0.3">
      <c r="D984" s="75"/>
      <c r="E984" s="75"/>
      <c r="F984" s="75"/>
      <c r="G984" s="75"/>
      <c r="H984" s="75"/>
      <c r="I984" s="75"/>
      <c r="J984" s="75"/>
      <c r="K984" s="75"/>
      <c r="L984" s="75"/>
      <c r="M984" s="462"/>
      <c r="N984" s="75"/>
    </row>
    <row r="985" spans="4:14" ht="14.4" customHeight="1" x14ac:dyDescent="0.3">
      <c r="D985" s="75"/>
      <c r="E985" s="75"/>
      <c r="F985" s="75"/>
      <c r="G985" s="75"/>
      <c r="H985" s="75"/>
      <c r="I985" s="75"/>
      <c r="J985" s="75"/>
      <c r="K985" s="75"/>
      <c r="L985" s="75"/>
      <c r="M985" s="462"/>
      <c r="N985" s="75"/>
    </row>
    <row r="986" spans="4:14" ht="14.4" customHeight="1" x14ac:dyDescent="0.3">
      <c r="D986" s="75"/>
      <c r="E986" s="75"/>
      <c r="F986" s="75"/>
      <c r="G986" s="75"/>
      <c r="H986" s="75"/>
      <c r="I986" s="75"/>
      <c r="J986" s="75"/>
      <c r="K986" s="75"/>
      <c r="L986" s="75"/>
      <c r="M986" s="462"/>
      <c r="N986" s="75"/>
    </row>
    <row r="987" spans="4:14" ht="14.4" customHeight="1" x14ac:dyDescent="0.3">
      <c r="D987" s="75"/>
      <c r="E987" s="75"/>
      <c r="F987" s="75"/>
      <c r="G987" s="75"/>
      <c r="H987" s="75"/>
      <c r="I987" s="75"/>
      <c r="J987" s="75"/>
      <c r="K987" s="75"/>
      <c r="L987" s="75"/>
      <c r="M987" s="462"/>
      <c r="N987" s="75"/>
    </row>
    <row r="988" spans="4:14" ht="14.4" customHeight="1" x14ac:dyDescent="0.3">
      <c r="D988" s="75"/>
      <c r="E988" s="75"/>
      <c r="F988" s="75"/>
      <c r="G988" s="75"/>
      <c r="H988" s="75"/>
      <c r="I988" s="75"/>
      <c r="J988" s="75"/>
      <c r="K988" s="75"/>
      <c r="L988" s="75"/>
      <c r="M988" s="462"/>
      <c r="N988" s="75"/>
    </row>
    <row r="989" spans="4:14" ht="14.4" customHeight="1" x14ac:dyDescent="0.3">
      <c r="D989" s="75"/>
      <c r="E989" s="75"/>
      <c r="F989" s="75"/>
      <c r="G989" s="75"/>
      <c r="H989" s="75"/>
      <c r="I989" s="75"/>
      <c r="J989" s="75"/>
      <c r="K989" s="75"/>
      <c r="L989" s="75"/>
      <c r="M989" s="462"/>
      <c r="N989" s="75"/>
    </row>
    <row r="990" spans="4:14" ht="14.4" customHeight="1" x14ac:dyDescent="0.3">
      <c r="D990" s="75"/>
      <c r="E990" s="75"/>
      <c r="F990" s="75"/>
      <c r="G990" s="75"/>
      <c r="H990" s="75"/>
      <c r="I990" s="75"/>
      <c r="J990" s="75"/>
      <c r="K990" s="75"/>
      <c r="L990" s="75"/>
      <c r="M990" s="462"/>
      <c r="N990" s="75"/>
    </row>
    <row r="991" spans="4:14" ht="14.4" customHeight="1" x14ac:dyDescent="0.3">
      <c r="D991" s="75"/>
      <c r="E991" s="75"/>
      <c r="F991" s="75"/>
      <c r="G991" s="75"/>
      <c r="H991" s="75"/>
      <c r="I991" s="75"/>
      <c r="J991" s="75"/>
      <c r="K991" s="75"/>
      <c r="L991" s="75"/>
      <c r="M991" s="462"/>
      <c r="N991" s="75"/>
    </row>
    <row r="992" spans="4:14" ht="14.4" customHeight="1" x14ac:dyDescent="0.3">
      <c r="D992" s="75"/>
      <c r="E992" s="75"/>
      <c r="F992" s="75"/>
      <c r="G992" s="75"/>
      <c r="H992" s="75"/>
      <c r="I992" s="75"/>
      <c r="J992" s="75"/>
      <c r="K992" s="75"/>
      <c r="L992" s="75"/>
      <c r="M992" s="462"/>
      <c r="N992" s="75"/>
    </row>
    <row r="993" spans="4:14" ht="14.4" customHeight="1" x14ac:dyDescent="0.3">
      <c r="D993" s="75"/>
      <c r="E993" s="75"/>
      <c r="F993" s="75"/>
      <c r="G993" s="75"/>
      <c r="H993" s="75"/>
      <c r="I993" s="75"/>
      <c r="J993" s="75"/>
      <c r="K993" s="75"/>
      <c r="L993" s="75"/>
      <c r="M993" s="462"/>
      <c r="N993" s="75"/>
    </row>
    <row r="994" spans="4:14" ht="14.4" customHeight="1" x14ac:dyDescent="0.3">
      <c r="D994" s="75"/>
      <c r="E994" s="75"/>
      <c r="F994" s="75"/>
      <c r="G994" s="75"/>
      <c r="H994" s="75"/>
      <c r="I994" s="75"/>
      <c r="J994" s="75"/>
      <c r="K994" s="75"/>
      <c r="L994" s="75"/>
      <c r="M994" s="462"/>
      <c r="N994" s="75"/>
    </row>
    <row r="995" spans="4:14" ht="14.4" customHeight="1" x14ac:dyDescent="0.3">
      <c r="D995" s="75"/>
      <c r="E995" s="75"/>
      <c r="F995" s="75"/>
      <c r="G995" s="75"/>
      <c r="H995" s="75"/>
      <c r="I995" s="75"/>
      <c r="J995" s="75"/>
      <c r="K995" s="75"/>
      <c r="L995" s="75"/>
      <c r="M995" s="462"/>
      <c r="N995" s="75"/>
    </row>
    <row r="996" spans="4:14" ht="14.4" customHeight="1" x14ac:dyDescent="0.3">
      <c r="D996" s="75"/>
      <c r="E996" s="75"/>
      <c r="F996" s="75"/>
      <c r="G996" s="75"/>
      <c r="H996" s="75"/>
      <c r="I996" s="75"/>
      <c r="J996" s="75"/>
      <c r="K996" s="75"/>
      <c r="L996" s="75"/>
      <c r="M996" s="462"/>
      <c r="N996" s="75"/>
    </row>
    <row r="997" spans="4:14" ht="14.4" customHeight="1" x14ac:dyDescent="0.3">
      <c r="D997" s="75"/>
      <c r="E997" s="75"/>
      <c r="F997" s="75"/>
      <c r="G997" s="75"/>
      <c r="H997" s="75"/>
      <c r="I997" s="75"/>
      <c r="J997" s="75"/>
      <c r="K997" s="75"/>
      <c r="L997" s="75"/>
      <c r="M997" s="462"/>
      <c r="N997" s="75"/>
    </row>
    <row r="998" spans="4:14" ht="14.4" customHeight="1" x14ac:dyDescent="0.3">
      <c r="D998" s="75"/>
      <c r="E998" s="75"/>
      <c r="F998" s="75"/>
      <c r="G998" s="75"/>
      <c r="H998" s="75"/>
      <c r="I998" s="75"/>
      <c r="J998" s="75"/>
      <c r="K998" s="75"/>
      <c r="L998" s="75"/>
      <c r="M998" s="462"/>
      <c r="N998" s="75"/>
    </row>
    <row r="999" spans="4:14" ht="14.4" customHeight="1" x14ac:dyDescent="0.3">
      <c r="D999" s="75"/>
      <c r="E999" s="75"/>
      <c r="F999" s="75"/>
      <c r="G999" s="75"/>
      <c r="H999" s="75"/>
      <c r="I999" s="75"/>
      <c r="J999" s="75"/>
      <c r="K999" s="75"/>
      <c r="L999" s="75"/>
      <c r="M999" s="462"/>
      <c r="N999" s="75"/>
    </row>
    <row r="1000" spans="4:14" ht="14.4" customHeight="1" x14ac:dyDescent="0.3">
      <c r="D1000" s="75"/>
      <c r="E1000" s="75"/>
      <c r="F1000" s="75"/>
      <c r="G1000" s="75"/>
      <c r="H1000" s="75"/>
      <c r="I1000" s="75"/>
      <c r="J1000" s="75"/>
      <c r="K1000" s="75"/>
      <c r="L1000" s="75"/>
      <c r="M1000" s="462"/>
      <c r="N1000" s="75"/>
    </row>
    <row r="1001" spans="4:14" ht="14.4" customHeight="1" x14ac:dyDescent="0.3">
      <c r="D1001" s="75"/>
      <c r="E1001" s="75"/>
      <c r="F1001" s="75"/>
      <c r="G1001" s="75"/>
      <c r="H1001" s="75"/>
      <c r="I1001" s="75"/>
      <c r="J1001" s="75"/>
      <c r="K1001" s="75"/>
      <c r="L1001" s="75"/>
      <c r="M1001" s="462"/>
      <c r="N1001" s="75"/>
    </row>
    <row r="1002" spans="4:14" ht="14.4" customHeight="1" x14ac:dyDescent="0.3">
      <c r="D1002" s="75"/>
      <c r="E1002" s="75"/>
      <c r="F1002" s="75"/>
      <c r="G1002" s="75"/>
      <c r="H1002" s="75"/>
      <c r="I1002" s="75"/>
      <c r="J1002" s="75"/>
      <c r="K1002" s="75"/>
      <c r="L1002" s="75"/>
      <c r="M1002" s="462"/>
      <c r="N1002" s="75"/>
    </row>
    <row r="1003" spans="4:14" ht="14.4" customHeight="1" x14ac:dyDescent="0.3">
      <c r="D1003" s="75"/>
      <c r="E1003" s="75"/>
      <c r="F1003" s="75"/>
      <c r="G1003" s="75"/>
      <c r="H1003" s="75"/>
      <c r="I1003" s="75"/>
      <c r="J1003" s="75"/>
      <c r="K1003" s="75"/>
      <c r="L1003" s="75"/>
      <c r="M1003" s="462"/>
      <c r="N1003" s="75"/>
    </row>
    <row r="1004" spans="4:14" ht="14.4" customHeight="1" x14ac:dyDescent="0.3">
      <c r="D1004" s="75"/>
      <c r="E1004" s="75"/>
      <c r="F1004" s="75"/>
      <c r="G1004" s="75"/>
      <c r="H1004" s="75"/>
      <c r="I1004" s="75"/>
      <c r="J1004" s="75"/>
      <c r="K1004" s="75"/>
      <c r="L1004" s="75"/>
      <c r="M1004" s="462"/>
      <c r="N1004" s="75"/>
    </row>
    <row r="1005" spans="4:14" ht="14.4" customHeight="1" x14ac:dyDescent="0.3">
      <c r="D1005" s="75"/>
      <c r="E1005" s="75"/>
      <c r="F1005" s="75"/>
      <c r="G1005" s="75"/>
      <c r="H1005" s="75"/>
      <c r="I1005" s="75"/>
      <c r="J1005" s="75"/>
      <c r="K1005" s="75"/>
      <c r="L1005" s="75"/>
      <c r="M1005" s="462"/>
      <c r="N1005" s="75"/>
    </row>
    <row r="1006" spans="4:14" ht="14.4" customHeight="1" x14ac:dyDescent="0.3">
      <c r="D1006" s="75"/>
      <c r="E1006" s="75"/>
      <c r="F1006" s="75"/>
      <c r="G1006" s="75"/>
      <c r="H1006" s="75"/>
      <c r="I1006" s="75"/>
      <c r="J1006" s="75"/>
      <c r="K1006" s="75"/>
      <c r="L1006" s="75"/>
      <c r="M1006" s="462"/>
      <c r="N1006" s="75"/>
    </row>
    <row r="1007" spans="4:14" ht="14.4" customHeight="1" x14ac:dyDescent="0.3">
      <c r="D1007" s="75"/>
      <c r="E1007" s="75"/>
      <c r="F1007" s="75"/>
      <c r="G1007" s="75"/>
      <c r="H1007" s="75"/>
      <c r="I1007" s="75"/>
      <c r="J1007" s="75"/>
      <c r="K1007" s="75"/>
      <c r="L1007" s="75"/>
      <c r="M1007" s="462"/>
      <c r="N1007" s="75"/>
    </row>
  </sheetData>
  <autoFilter ref="A1:M1007"/>
  <mergeCells count="11">
    <mergeCell ref="A8:M8"/>
    <mergeCell ref="F13:I13"/>
    <mergeCell ref="A11:A12"/>
    <mergeCell ref="B11:B12"/>
    <mergeCell ref="J11:J12"/>
    <mergeCell ref="F11:I12"/>
    <mergeCell ref="E11:E12"/>
    <mergeCell ref="D11:D12"/>
    <mergeCell ref="C11:C12"/>
    <mergeCell ref="K11:K12"/>
    <mergeCell ref="L11:M11"/>
  </mergeCells>
  <printOptions horizontalCentered="1"/>
  <pageMargins left="1.1811023622047245" right="0.39370078740157483" top="0.78740157480314965" bottom="0.78740157480314965" header="0.31496062992125984" footer="0.31496062992125984"/>
  <pageSetup paperSize="9" scale="65" fitToHeight="0" orientation="portrait" blackAndWhite="1" r:id="rId1"/>
  <headerFooter differentFirst="1">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670"/>
  <sheetViews>
    <sheetView zoomScale="80" zoomScaleNormal="80" workbookViewId="0">
      <selection activeCell="S10" sqref="S10"/>
    </sheetView>
  </sheetViews>
  <sheetFormatPr defaultColWidth="8.88671875" defaultRowHeight="14.4" x14ac:dyDescent="0.3"/>
  <cols>
    <col min="1" max="1" width="4.6640625" style="1" customWidth="1"/>
    <col min="2" max="2" width="54.44140625" style="1" customWidth="1"/>
    <col min="3" max="3" width="5.5546875" style="1" customWidth="1"/>
    <col min="4" max="4" width="3.6640625" style="1" customWidth="1"/>
    <col min="5" max="5" width="4" style="1" customWidth="1"/>
    <col min="6" max="6" width="3.33203125" style="1" customWidth="1"/>
    <col min="7" max="7" width="2.44140625" style="1" customWidth="1"/>
    <col min="8" max="8" width="2.6640625" style="1" customWidth="1"/>
    <col min="9" max="9" width="7.6640625" style="1" customWidth="1"/>
    <col min="10" max="10" width="5" style="1" customWidth="1"/>
    <col min="11" max="11" width="13.33203125" style="1" hidden="1" customWidth="1"/>
    <col min="12" max="12" width="12.33203125" style="1" customWidth="1"/>
    <col min="13" max="13" width="14.5546875" style="30" customWidth="1"/>
    <col min="14" max="14" width="14.33203125" style="30" customWidth="1"/>
    <col min="15" max="15" width="8.88671875" style="1" customWidth="1"/>
    <col min="16" max="16" width="12.44140625" style="1" bestFit="1" customWidth="1"/>
    <col min="17" max="17" width="9.33203125" style="1" bestFit="1" customWidth="1"/>
    <col min="18" max="18" width="12.44140625" style="1" bestFit="1" customWidth="1"/>
    <col min="19" max="19" width="9.33203125" style="1" bestFit="1" customWidth="1"/>
    <col min="20" max="16384" width="8.88671875" style="1"/>
  </cols>
  <sheetData>
    <row r="1" spans="1:14" ht="18" x14ac:dyDescent="0.35">
      <c r="N1" s="153" t="s">
        <v>511</v>
      </c>
    </row>
    <row r="2" spans="1:14" ht="18" x14ac:dyDescent="0.35">
      <c r="M2" s="112"/>
      <c r="N2" s="153" t="s">
        <v>788</v>
      </c>
    </row>
    <row r="3" spans="1:14" x14ac:dyDescent="0.3">
      <c r="M3" s="112"/>
      <c r="N3" s="112"/>
    </row>
    <row r="4" spans="1:14" ht="18" x14ac:dyDescent="0.35">
      <c r="H4" s="35"/>
      <c r="I4" s="39"/>
      <c r="J4" s="35"/>
      <c r="K4" s="35"/>
      <c r="L4" s="35"/>
      <c r="M4" s="35"/>
      <c r="N4" s="39" t="s">
        <v>591</v>
      </c>
    </row>
    <row r="5" spans="1:14" ht="18.75" customHeight="1" x14ac:dyDescent="0.35">
      <c r="H5" s="35"/>
      <c r="I5" s="39"/>
      <c r="J5" s="35"/>
      <c r="K5" s="35"/>
      <c r="L5" s="35"/>
      <c r="M5" s="35"/>
      <c r="N5" s="39" t="s">
        <v>654</v>
      </c>
    </row>
    <row r="6" spans="1:14" x14ac:dyDescent="0.3">
      <c r="M6" s="112"/>
      <c r="N6" s="112"/>
    </row>
    <row r="7" spans="1:14" x14ac:dyDescent="0.3">
      <c r="M7" s="112"/>
      <c r="N7" s="112"/>
    </row>
    <row r="8" spans="1:14" x14ac:dyDescent="0.3">
      <c r="M8" s="112"/>
      <c r="N8" s="112"/>
    </row>
    <row r="9" spans="1:14" ht="17.399999999999999" customHeight="1" x14ac:dyDescent="0.3">
      <c r="A9" s="721" t="s">
        <v>587</v>
      </c>
      <c r="B9" s="721"/>
      <c r="C9" s="721"/>
      <c r="D9" s="721"/>
      <c r="E9" s="721"/>
      <c r="F9" s="721"/>
      <c r="G9" s="721"/>
      <c r="H9" s="721"/>
      <c r="I9" s="721"/>
      <c r="J9" s="721"/>
      <c r="K9" s="721"/>
      <c r="L9" s="721"/>
      <c r="M9" s="721"/>
      <c r="N9" s="721"/>
    </row>
    <row r="10" spans="1:14" ht="17.399999999999999" customHeight="1" x14ac:dyDescent="0.3">
      <c r="A10" s="688"/>
      <c r="B10" s="688"/>
      <c r="C10" s="688"/>
      <c r="D10" s="688"/>
      <c r="E10" s="688"/>
      <c r="F10" s="688"/>
      <c r="G10" s="688"/>
      <c r="H10" s="688"/>
      <c r="I10" s="688"/>
      <c r="J10" s="688"/>
      <c r="K10" s="688"/>
      <c r="L10" s="688"/>
      <c r="M10" s="688"/>
      <c r="N10" s="688"/>
    </row>
    <row r="11" spans="1:14" ht="17.399999999999999" customHeight="1" x14ac:dyDescent="0.3">
      <c r="A11" s="688"/>
      <c r="B11" s="688"/>
      <c r="C11" s="688"/>
      <c r="D11" s="688"/>
      <c r="E11" s="688"/>
      <c r="F11" s="688"/>
      <c r="G11" s="688"/>
      <c r="H11" s="688"/>
      <c r="I11" s="688"/>
      <c r="J11" s="688"/>
      <c r="K11" s="688"/>
      <c r="L11" s="688"/>
      <c r="M11" s="688"/>
      <c r="N11" s="688"/>
    </row>
    <row r="12" spans="1:14" ht="18" x14ac:dyDescent="0.35">
      <c r="A12" s="2"/>
      <c r="B12" s="3"/>
      <c r="C12" s="4"/>
      <c r="D12" s="4"/>
      <c r="E12" s="4"/>
      <c r="F12" s="4"/>
      <c r="G12" s="2"/>
      <c r="H12" s="5"/>
      <c r="I12" s="6"/>
      <c r="J12" s="7"/>
      <c r="K12" s="7"/>
      <c r="L12" s="7"/>
      <c r="M12" s="112"/>
      <c r="N12" s="113" t="s">
        <v>22</v>
      </c>
    </row>
    <row r="13" spans="1:14" ht="18" customHeight="1" x14ac:dyDescent="0.3">
      <c r="A13" s="741" t="s">
        <v>23</v>
      </c>
      <c r="B13" s="742" t="s">
        <v>24</v>
      </c>
      <c r="C13" s="743" t="s">
        <v>25</v>
      </c>
      <c r="D13" s="743" t="s">
        <v>26</v>
      </c>
      <c r="E13" s="743" t="s">
        <v>27</v>
      </c>
      <c r="F13" s="744" t="s">
        <v>28</v>
      </c>
      <c r="G13" s="743"/>
      <c r="H13" s="743"/>
      <c r="I13" s="743"/>
      <c r="J13" s="743" t="s">
        <v>29</v>
      </c>
      <c r="K13" s="747" t="s">
        <v>651</v>
      </c>
      <c r="L13" s="745" t="s">
        <v>501</v>
      </c>
      <c r="M13" s="745"/>
      <c r="N13" s="745" t="s">
        <v>582</v>
      </c>
    </row>
    <row r="14" spans="1:14" ht="35.4" customHeight="1" x14ac:dyDescent="0.35">
      <c r="A14" s="741"/>
      <c r="B14" s="742"/>
      <c r="C14" s="743"/>
      <c r="D14" s="743"/>
      <c r="E14" s="743"/>
      <c r="F14" s="744"/>
      <c r="G14" s="743"/>
      <c r="H14" s="743"/>
      <c r="I14" s="743"/>
      <c r="J14" s="743"/>
      <c r="K14" s="748"/>
      <c r="L14" s="610" t="s">
        <v>652</v>
      </c>
      <c r="M14" s="611" t="s">
        <v>653</v>
      </c>
      <c r="N14" s="746"/>
    </row>
    <row r="15" spans="1:14" ht="18" x14ac:dyDescent="0.35">
      <c r="A15" s="8">
        <v>1</v>
      </c>
      <c r="B15" s="9">
        <v>2</v>
      </c>
      <c r="C15" s="10" t="s">
        <v>30</v>
      </c>
      <c r="D15" s="10" t="s">
        <v>31</v>
      </c>
      <c r="E15" s="10" t="s">
        <v>32</v>
      </c>
      <c r="F15" s="723" t="s">
        <v>33</v>
      </c>
      <c r="G15" s="723"/>
      <c r="H15" s="723"/>
      <c r="I15" s="724"/>
      <c r="J15" s="10" t="s">
        <v>34</v>
      </c>
      <c r="K15" s="10"/>
      <c r="L15" s="10" t="s">
        <v>477</v>
      </c>
      <c r="M15" s="31">
        <v>9</v>
      </c>
      <c r="N15" s="31">
        <v>10</v>
      </c>
    </row>
    <row r="16" spans="1:14" ht="18" x14ac:dyDescent="0.3">
      <c r="A16" s="11">
        <v>1</v>
      </c>
      <c r="B16" s="114" t="s">
        <v>202</v>
      </c>
      <c r="C16" s="13"/>
      <c r="D16" s="14"/>
      <c r="E16" s="14"/>
      <c r="F16" s="16"/>
      <c r="G16" s="16"/>
      <c r="H16" s="16"/>
      <c r="I16" s="17"/>
      <c r="J16" s="14"/>
      <c r="K16" s="108">
        <f>K17+K170+K204+K214+K420+K477+K533+K565+K601+K289</f>
        <v>1958815.3000000003</v>
      </c>
      <c r="L16" s="108">
        <f>L17+L170+L204+L214+L420+L477+L533+L565+L601+L289</f>
        <v>0</v>
      </c>
      <c r="M16" s="108">
        <f>M17+M170+M204+M214+M420+M477+M533+M565+M601+M289</f>
        <v>1958815.3000000003</v>
      </c>
      <c r="N16" s="108">
        <f>N17+N170+N204+N214+N420+N477+N533+N565+N601+N289</f>
        <v>1887225.6</v>
      </c>
    </row>
    <row r="17" spans="1:14" s="115" customFormat="1" ht="34.799999999999997" x14ac:dyDescent="0.3">
      <c r="A17" s="110">
        <v>1</v>
      </c>
      <c r="B17" s="543" t="s">
        <v>0</v>
      </c>
      <c r="C17" s="18" t="s">
        <v>1</v>
      </c>
      <c r="D17" s="19"/>
      <c r="E17" s="19"/>
      <c r="F17" s="20"/>
      <c r="G17" s="21"/>
      <c r="H17" s="21"/>
      <c r="I17" s="22"/>
      <c r="J17" s="19"/>
      <c r="K17" s="32">
        <f>K18+K78+K106+K156+K142+K149</f>
        <v>201067.20000000004</v>
      </c>
      <c r="L17" s="32">
        <f>L18+L78+L106+L156+L142+L149</f>
        <v>0</v>
      </c>
      <c r="M17" s="32">
        <f>M18+M78+M106+M156+M142+M149</f>
        <v>201067.20000000004</v>
      </c>
      <c r="N17" s="32">
        <f>N18+N78+N106+N156+N142+N149</f>
        <v>205421.6</v>
      </c>
    </row>
    <row r="18" spans="1:14" s="116" customFormat="1" ht="18" x14ac:dyDescent="0.35">
      <c r="A18" s="11"/>
      <c r="B18" s="496" t="s">
        <v>36</v>
      </c>
      <c r="C18" s="23" t="s">
        <v>1</v>
      </c>
      <c r="D18" s="10" t="s">
        <v>37</v>
      </c>
      <c r="E18" s="10"/>
      <c r="F18" s="689"/>
      <c r="G18" s="690"/>
      <c r="H18" s="690"/>
      <c r="I18" s="691"/>
      <c r="J18" s="10"/>
      <c r="K18" s="24">
        <f>K19+K25+K52+K46+K57</f>
        <v>152492.40000000002</v>
      </c>
      <c r="L18" s="24">
        <f>L19+L25+L52+L46+L57</f>
        <v>-1628</v>
      </c>
      <c r="M18" s="24">
        <f>M19+M25+M52+M46+M57</f>
        <v>150864.40000000002</v>
      </c>
      <c r="N18" s="24">
        <f>N19+N25+N52+N46+N57</f>
        <v>157564</v>
      </c>
    </row>
    <row r="19" spans="1:14" s="111" customFormat="1" ht="54" x14ac:dyDescent="0.35">
      <c r="A19" s="11"/>
      <c r="B19" s="496" t="s">
        <v>38</v>
      </c>
      <c r="C19" s="23" t="s">
        <v>1</v>
      </c>
      <c r="D19" s="10" t="s">
        <v>37</v>
      </c>
      <c r="E19" s="10" t="s">
        <v>39</v>
      </c>
      <c r="F19" s="689"/>
      <c r="G19" s="690"/>
      <c r="H19" s="690"/>
      <c r="I19" s="691"/>
      <c r="J19" s="10"/>
      <c r="K19" s="24">
        <f t="shared" ref="K19:N23" si="0">K20</f>
        <v>2612.1999999999998</v>
      </c>
      <c r="L19" s="24">
        <f t="shared" si="0"/>
        <v>0</v>
      </c>
      <c r="M19" s="24">
        <f t="shared" si="0"/>
        <v>2612.1999999999998</v>
      </c>
      <c r="N19" s="24">
        <f t="shared" si="0"/>
        <v>2612.1999999999998</v>
      </c>
    </row>
    <row r="20" spans="1:14" s="111" customFormat="1" ht="54" x14ac:dyDescent="0.35">
      <c r="A20" s="11"/>
      <c r="B20" s="496" t="s">
        <v>40</v>
      </c>
      <c r="C20" s="23" t="s">
        <v>1</v>
      </c>
      <c r="D20" s="10" t="s">
        <v>37</v>
      </c>
      <c r="E20" s="10" t="s">
        <v>39</v>
      </c>
      <c r="F20" s="689" t="s">
        <v>41</v>
      </c>
      <c r="G20" s="690" t="s">
        <v>42</v>
      </c>
      <c r="H20" s="690" t="s">
        <v>43</v>
      </c>
      <c r="I20" s="691" t="s">
        <v>44</v>
      </c>
      <c r="J20" s="10"/>
      <c r="K20" s="24">
        <f t="shared" si="0"/>
        <v>2612.1999999999998</v>
      </c>
      <c r="L20" s="24">
        <f t="shared" si="0"/>
        <v>0</v>
      </c>
      <c r="M20" s="24">
        <f t="shared" si="0"/>
        <v>2612.1999999999998</v>
      </c>
      <c r="N20" s="24">
        <f t="shared" si="0"/>
        <v>2612.1999999999998</v>
      </c>
    </row>
    <row r="21" spans="1:14" s="111" customFormat="1" ht="36" x14ac:dyDescent="0.35">
      <c r="A21" s="11"/>
      <c r="B21" s="496" t="s">
        <v>337</v>
      </c>
      <c r="C21" s="23" t="s">
        <v>1</v>
      </c>
      <c r="D21" s="10" t="s">
        <v>37</v>
      </c>
      <c r="E21" s="10" t="s">
        <v>39</v>
      </c>
      <c r="F21" s="689" t="s">
        <v>41</v>
      </c>
      <c r="G21" s="690" t="s">
        <v>45</v>
      </c>
      <c r="H21" s="690" t="s">
        <v>43</v>
      </c>
      <c r="I21" s="691" t="s">
        <v>44</v>
      </c>
      <c r="J21" s="10"/>
      <c r="K21" s="24">
        <f t="shared" si="0"/>
        <v>2612.1999999999998</v>
      </c>
      <c r="L21" s="24">
        <f t="shared" si="0"/>
        <v>0</v>
      </c>
      <c r="M21" s="24">
        <f t="shared" si="0"/>
        <v>2612.1999999999998</v>
      </c>
      <c r="N21" s="24">
        <f t="shared" si="0"/>
        <v>2612.1999999999998</v>
      </c>
    </row>
    <row r="22" spans="1:14" s="111" customFormat="1" ht="54" x14ac:dyDescent="0.35">
      <c r="A22" s="11"/>
      <c r="B22" s="496" t="s">
        <v>46</v>
      </c>
      <c r="C22" s="23" t="s">
        <v>1</v>
      </c>
      <c r="D22" s="10" t="s">
        <v>37</v>
      </c>
      <c r="E22" s="10" t="s">
        <v>39</v>
      </c>
      <c r="F22" s="689" t="s">
        <v>41</v>
      </c>
      <c r="G22" s="690" t="s">
        <v>45</v>
      </c>
      <c r="H22" s="690" t="s">
        <v>37</v>
      </c>
      <c r="I22" s="691" t="s">
        <v>44</v>
      </c>
      <c r="J22" s="10"/>
      <c r="K22" s="24">
        <f t="shared" si="0"/>
        <v>2612.1999999999998</v>
      </c>
      <c r="L22" s="24">
        <f t="shared" si="0"/>
        <v>0</v>
      </c>
      <c r="M22" s="24">
        <f t="shared" si="0"/>
        <v>2612.1999999999998</v>
      </c>
      <c r="N22" s="24">
        <f t="shared" si="0"/>
        <v>2612.1999999999998</v>
      </c>
    </row>
    <row r="23" spans="1:14" s="111" customFormat="1" ht="36" x14ac:dyDescent="0.35">
      <c r="A23" s="11"/>
      <c r="B23" s="496" t="s">
        <v>47</v>
      </c>
      <c r="C23" s="23" t="s">
        <v>1</v>
      </c>
      <c r="D23" s="10" t="s">
        <v>37</v>
      </c>
      <c r="E23" s="10" t="s">
        <v>39</v>
      </c>
      <c r="F23" s="689" t="s">
        <v>41</v>
      </c>
      <c r="G23" s="690" t="s">
        <v>45</v>
      </c>
      <c r="H23" s="690" t="s">
        <v>37</v>
      </c>
      <c r="I23" s="691" t="s">
        <v>48</v>
      </c>
      <c r="J23" s="10"/>
      <c r="K23" s="24">
        <f t="shared" si="0"/>
        <v>2612.1999999999998</v>
      </c>
      <c r="L23" s="24">
        <f t="shared" si="0"/>
        <v>0</v>
      </c>
      <c r="M23" s="24">
        <f t="shared" si="0"/>
        <v>2612.1999999999998</v>
      </c>
      <c r="N23" s="24">
        <f t="shared" si="0"/>
        <v>2612.1999999999998</v>
      </c>
    </row>
    <row r="24" spans="1:14" s="111" customFormat="1" ht="108" x14ac:dyDescent="0.35">
      <c r="A24" s="11"/>
      <c r="B24" s="496" t="s">
        <v>49</v>
      </c>
      <c r="C24" s="23" t="s">
        <v>1</v>
      </c>
      <c r="D24" s="10" t="s">
        <v>37</v>
      </c>
      <c r="E24" s="10" t="s">
        <v>39</v>
      </c>
      <c r="F24" s="689" t="s">
        <v>41</v>
      </c>
      <c r="G24" s="690" t="s">
        <v>45</v>
      </c>
      <c r="H24" s="690" t="s">
        <v>37</v>
      </c>
      <c r="I24" s="691" t="s">
        <v>48</v>
      </c>
      <c r="J24" s="10" t="s">
        <v>50</v>
      </c>
      <c r="K24" s="24">
        <v>2612.1999999999998</v>
      </c>
      <c r="L24" s="24">
        <f>M24-K24</f>
        <v>0</v>
      </c>
      <c r="M24" s="24">
        <v>2612.1999999999998</v>
      </c>
      <c r="N24" s="24">
        <v>2612.1999999999998</v>
      </c>
    </row>
    <row r="25" spans="1:14" s="116" customFormat="1" ht="72" x14ac:dyDescent="0.35">
      <c r="A25" s="11"/>
      <c r="B25" s="496" t="s">
        <v>51</v>
      </c>
      <c r="C25" s="23" t="s">
        <v>1</v>
      </c>
      <c r="D25" s="10" t="s">
        <v>37</v>
      </c>
      <c r="E25" s="10" t="s">
        <v>52</v>
      </c>
      <c r="F25" s="689"/>
      <c r="G25" s="690"/>
      <c r="H25" s="690"/>
      <c r="I25" s="691"/>
      <c r="J25" s="10"/>
      <c r="K25" s="24">
        <f t="shared" ref="K25:N26" si="1">K26</f>
        <v>83362.000000000015</v>
      </c>
      <c r="L25" s="24">
        <f t="shared" si="1"/>
        <v>0</v>
      </c>
      <c r="M25" s="24">
        <f t="shared" si="1"/>
        <v>83362.000000000015</v>
      </c>
      <c r="N25" s="24">
        <f t="shared" si="1"/>
        <v>83398.000000000015</v>
      </c>
    </row>
    <row r="26" spans="1:14" s="116" customFormat="1" ht="54" x14ac:dyDescent="0.35">
      <c r="A26" s="11"/>
      <c r="B26" s="496" t="s">
        <v>53</v>
      </c>
      <c r="C26" s="23" t="s">
        <v>1</v>
      </c>
      <c r="D26" s="10" t="s">
        <v>37</v>
      </c>
      <c r="E26" s="10" t="s">
        <v>52</v>
      </c>
      <c r="F26" s="689" t="s">
        <v>41</v>
      </c>
      <c r="G26" s="690" t="s">
        <v>42</v>
      </c>
      <c r="H26" s="690" t="s">
        <v>43</v>
      </c>
      <c r="I26" s="691" t="s">
        <v>44</v>
      </c>
      <c r="J26" s="10"/>
      <c r="K26" s="24">
        <f t="shared" si="1"/>
        <v>83362.000000000015</v>
      </c>
      <c r="L26" s="24">
        <f t="shared" si="1"/>
        <v>0</v>
      </c>
      <c r="M26" s="24">
        <f t="shared" si="1"/>
        <v>83362.000000000015</v>
      </c>
      <c r="N26" s="24">
        <f t="shared" si="1"/>
        <v>83398.000000000015</v>
      </c>
    </row>
    <row r="27" spans="1:14" s="7" customFormat="1" ht="36" x14ac:dyDescent="0.35">
      <c r="A27" s="11"/>
      <c r="B27" s="496" t="s">
        <v>337</v>
      </c>
      <c r="C27" s="23" t="s">
        <v>1</v>
      </c>
      <c r="D27" s="10" t="s">
        <v>37</v>
      </c>
      <c r="E27" s="10" t="s">
        <v>52</v>
      </c>
      <c r="F27" s="689" t="s">
        <v>41</v>
      </c>
      <c r="G27" s="690" t="s">
        <v>45</v>
      </c>
      <c r="H27" s="690" t="s">
        <v>43</v>
      </c>
      <c r="I27" s="691" t="s">
        <v>44</v>
      </c>
      <c r="J27" s="10"/>
      <c r="K27" s="24">
        <f>K28+K43</f>
        <v>83362.000000000015</v>
      </c>
      <c r="L27" s="24">
        <f>L28+L43</f>
        <v>0</v>
      </c>
      <c r="M27" s="24">
        <f>M28+M43</f>
        <v>83362.000000000015</v>
      </c>
      <c r="N27" s="24">
        <f>N28+N43</f>
        <v>83398.000000000015</v>
      </c>
    </row>
    <row r="28" spans="1:14" s="7" customFormat="1" ht="36" x14ac:dyDescent="0.35">
      <c r="A28" s="11"/>
      <c r="B28" s="496" t="s">
        <v>54</v>
      </c>
      <c r="C28" s="23" t="s">
        <v>1</v>
      </c>
      <c r="D28" s="10" t="s">
        <v>37</v>
      </c>
      <c r="E28" s="10" t="s">
        <v>52</v>
      </c>
      <c r="F28" s="689" t="s">
        <v>41</v>
      </c>
      <c r="G28" s="690" t="s">
        <v>45</v>
      </c>
      <c r="H28" s="690" t="s">
        <v>39</v>
      </c>
      <c r="I28" s="691" t="s">
        <v>44</v>
      </c>
      <c r="J28" s="10"/>
      <c r="K28" s="24">
        <f>K29+K35+K37+K33+K40</f>
        <v>83357.500000000015</v>
      </c>
      <c r="L28" s="24">
        <f>L29+L35+L37+L33+L40</f>
        <v>0</v>
      </c>
      <c r="M28" s="24">
        <f>M29+M35+M37+M33+M40</f>
        <v>83357.500000000015</v>
      </c>
      <c r="N28" s="24">
        <f>N29+N35+N37+N33+N40</f>
        <v>83393.500000000015</v>
      </c>
    </row>
    <row r="29" spans="1:14" s="111" customFormat="1" ht="36" x14ac:dyDescent="0.35">
      <c r="A29" s="11"/>
      <c r="B29" s="496" t="s">
        <v>47</v>
      </c>
      <c r="C29" s="23" t="s">
        <v>1</v>
      </c>
      <c r="D29" s="10" t="s">
        <v>37</v>
      </c>
      <c r="E29" s="10" t="s">
        <v>52</v>
      </c>
      <c r="F29" s="689" t="s">
        <v>41</v>
      </c>
      <c r="G29" s="690" t="s">
        <v>45</v>
      </c>
      <c r="H29" s="690" t="s">
        <v>39</v>
      </c>
      <c r="I29" s="691" t="s">
        <v>48</v>
      </c>
      <c r="J29" s="10"/>
      <c r="K29" s="24">
        <f>K30+K31+K32</f>
        <v>77728.5</v>
      </c>
      <c r="L29" s="24">
        <f>L30+L31+L32</f>
        <v>0</v>
      </c>
      <c r="M29" s="24">
        <f>M30+M31+M32</f>
        <v>77728.5</v>
      </c>
      <c r="N29" s="24">
        <f>N30+N31+N32</f>
        <v>77764.5</v>
      </c>
    </row>
    <row r="30" spans="1:14" s="111" customFormat="1" ht="108" x14ac:dyDescent="0.35">
      <c r="A30" s="11"/>
      <c r="B30" s="496" t="s">
        <v>49</v>
      </c>
      <c r="C30" s="23" t="s">
        <v>1</v>
      </c>
      <c r="D30" s="10" t="s">
        <v>37</v>
      </c>
      <c r="E30" s="10" t="s">
        <v>52</v>
      </c>
      <c r="F30" s="689" t="s">
        <v>41</v>
      </c>
      <c r="G30" s="690" t="s">
        <v>45</v>
      </c>
      <c r="H30" s="690" t="s">
        <v>39</v>
      </c>
      <c r="I30" s="691" t="s">
        <v>48</v>
      </c>
      <c r="J30" s="10" t="s">
        <v>50</v>
      </c>
      <c r="K30" s="24">
        <v>76888.3</v>
      </c>
      <c r="L30" s="24">
        <f>M30-K30</f>
        <v>0</v>
      </c>
      <c r="M30" s="24">
        <v>76888.3</v>
      </c>
      <c r="N30" s="24">
        <v>76888.3</v>
      </c>
    </row>
    <row r="31" spans="1:14" s="7" customFormat="1" ht="54" x14ac:dyDescent="0.35">
      <c r="A31" s="11"/>
      <c r="B31" s="496" t="s">
        <v>55</v>
      </c>
      <c r="C31" s="23" t="s">
        <v>1</v>
      </c>
      <c r="D31" s="10" t="s">
        <v>37</v>
      </c>
      <c r="E31" s="10" t="s">
        <v>52</v>
      </c>
      <c r="F31" s="689" t="s">
        <v>41</v>
      </c>
      <c r="G31" s="690" t="s">
        <v>45</v>
      </c>
      <c r="H31" s="690" t="s">
        <v>39</v>
      </c>
      <c r="I31" s="691" t="s">
        <v>48</v>
      </c>
      <c r="J31" s="10" t="s">
        <v>56</v>
      </c>
      <c r="K31" s="24">
        <f>853.3-36</f>
        <v>817.3</v>
      </c>
      <c r="L31" s="24">
        <f>M31-K31</f>
        <v>0</v>
      </c>
      <c r="M31" s="24">
        <f>853.3-36</f>
        <v>817.3</v>
      </c>
      <c r="N31" s="24">
        <v>853.3</v>
      </c>
    </row>
    <row r="32" spans="1:14" s="111" customFormat="1" ht="18" x14ac:dyDescent="0.35">
      <c r="A32" s="11"/>
      <c r="B32" s="496" t="s">
        <v>57</v>
      </c>
      <c r="C32" s="23" t="s">
        <v>1</v>
      </c>
      <c r="D32" s="10" t="s">
        <v>37</v>
      </c>
      <c r="E32" s="10" t="s">
        <v>52</v>
      </c>
      <c r="F32" s="689" t="s">
        <v>41</v>
      </c>
      <c r="G32" s="690" t="s">
        <v>45</v>
      </c>
      <c r="H32" s="690" t="s">
        <v>39</v>
      </c>
      <c r="I32" s="691" t="s">
        <v>48</v>
      </c>
      <c r="J32" s="10" t="s">
        <v>58</v>
      </c>
      <c r="K32" s="24">
        <v>22.9</v>
      </c>
      <c r="L32" s="24">
        <f>M32-K32</f>
        <v>0</v>
      </c>
      <c r="M32" s="24">
        <v>22.9</v>
      </c>
      <c r="N32" s="24">
        <v>22.9</v>
      </c>
    </row>
    <row r="33" spans="1:14" s="116" customFormat="1" ht="90" x14ac:dyDescent="0.35">
      <c r="A33" s="11"/>
      <c r="B33" s="496" t="s">
        <v>441</v>
      </c>
      <c r="C33" s="23" t="s">
        <v>1</v>
      </c>
      <c r="D33" s="10" t="s">
        <v>37</v>
      </c>
      <c r="E33" s="10" t="s">
        <v>52</v>
      </c>
      <c r="F33" s="689" t="s">
        <v>41</v>
      </c>
      <c r="G33" s="690" t="s">
        <v>45</v>
      </c>
      <c r="H33" s="690" t="s">
        <v>39</v>
      </c>
      <c r="I33" s="691" t="s">
        <v>264</v>
      </c>
      <c r="J33" s="10"/>
      <c r="K33" s="24">
        <f>K34</f>
        <v>63</v>
      </c>
      <c r="L33" s="24">
        <f>L34</f>
        <v>0</v>
      </c>
      <c r="M33" s="24">
        <f>M34</f>
        <v>63</v>
      </c>
      <c r="N33" s="24">
        <f>N34</f>
        <v>63</v>
      </c>
    </row>
    <row r="34" spans="1:14" s="116" customFormat="1" ht="54" x14ac:dyDescent="0.35">
      <c r="A34" s="11"/>
      <c r="B34" s="496" t="s">
        <v>55</v>
      </c>
      <c r="C34" s="23" t="s">
        <v>1</v>
      </c>
      <c r="D34" s="10" t="s">
        <v>37</v>
      </c>
      <c r="E34" s="10" t="s">
        <v>52</v>
      </c>
      <c r="F34" s="689" t="s">
        <v>41</v>
      </c>
      <c r="G34" s="690" t="s">
        <v>45</v>
      </c>
      <c r="H34" s="690" t="s">
        <v>39</v>
      </c>
      <c r="I34" s="691" t="s">
        <v>264</v>
      </c>
      <c r="J34" s="10" t="s">
        <v>56</v>
      </c>
      <c r="K34" s="24">
        <v>63</v>
      </c>
      <c r="L34" s="24">
        <f>M34-K34</f>
        <v>0</v>
      </c>
      <c r="M34" s="24">
        <v>63</v>
      </c>
      <c r="N34" s="24">
        <v>63</v>
      </c>
    </row>
    <row r="35" spans="1:14" s="116" customFormat="1" ht="198" x14ac:dyDescent="0.35">
      <c r="A35" s="11"/>
      <c r="B35" s="544" t="s">
        <v>449</v>
      </c>
      <c r="C35" s="23" t="s">
        <v>1</v>
      </c>
      <c r="D35" s="10" t="s">
        <v>37</v>
      </c>
      <c r="E35" s="10" t="s">
        <v>52</v>
      </c>
      <c r="F35" s="689" t="s">
        <v>41</v>
      </c>
      <c r="G35" s="690" t="s">
        <v>45</v>
      </c>
      <c r="H35" s="690" t="s">
        <v>39</v>
      </c>
      <c r="I35" s="691" t="s">
        <v>59</v>
      </c>
      <c r="J35" s="10"/>
      <c r="K35" s="24">
        <f>K36</f>
        <v>749.1</v>
      </c>
      <c r="L35" s="24">
        <f>L36</f>
        <v>0</v>
      </c>
      <c r="M35" s="24">
        <f>M36</f>
        <v>749.1</v>
      </c>
      <c r="N35" s="24">
        <f>N36</f>
        <v>749.1</v>
      </c>
    </row>
    <row r="36" spans="1:14" s="116" customFormat="1" ht="108" x14ac:dyDescent="0.35">
      <c r="A36" s="11"/>
      <c r="B36" s="496" t="s">
        <v>49</v>
      </c>
      <c r="C36" s="23" t="s">
        <v>1</v>
      </c>
      <c r="D36" s="10" t="s">
        <v>37</v>
      </c>
      <c r="E36" s="10" t="s">
        <v>52</v>
      </c>
      <c r="F36" s="689" t="s">
        <v>41</v>
      </c>
      <c r="G36" s="690" t="s">
        <v>45</v>
      </c>
      <c r="H36" s="690" t="s">
        <v>39</v>
      </c>
      <c r="I36" s="691" t="s">
        <v>59</v>
      </c>
      <c r="J36" s="10" t="s">
        <v>50</v>
      </c>
      <c r="K36" s="24">
        <v>749.1</v>
      </c>
      <c r="L36" s="24">
        <f>M36-K36</f>
        <v>0</v>
      </c>
      <c r="M36" s="24">
        <v>749.1</v>
      </c>
      <c r="N36" s="24">
        <v>749.1</v>
      </c>
    </row>
    <row r="37" spans="1:14" s="116" customFormat="1" ht="72" x14ac:dyDescent="0.35">
      <c r="A37" s="11"/>
      <c r="B37" s="496" t="s">
        <v>407</v>
      </c>
      <c r="C37" s="23" t="s">
        <v>1</v>
      </c>
      <c r="D37" s="10" t="s">
        <v>37</v>
      </c>
      <c r="E37" s="10" t="s">
        <v>52</v>
      </c>
      <c r="F37" s="689" t="s">
        <v>41</v>
      </c>
      <c r="G37" s="690" t="s">
        <v>45</v>
      </c>
      <c r="H37" s="690" t="s">
        <v>39</v>
      </c>
      <c r="I37" s="691" t="s">
        <v>61</v>
      </c>
      <c r="J37" s="10"/>
      <c r="K37" s="24">
        <f>K38+K39</f>
        <v>749.30000000000007</v>
      </c>
      <c r="L37" s="24">
        <f>L38+L39</f>
        <v>0</v>
      </c>
      <c r="M37" s="24">
        <f>M38+M39</f>
        <v>749.30000000000007</v>
      </c>
      <c r="N37" s="24">
        <f>N38+N39</f>
        <v>749.30000000000007</v>
      </c>
    </row>
    <row r="38" spans="1:14" s="116" customFormat="1" ht="108" x14ac:dyDescent="0.35">
      <c r="A38" s="11"/>
      <c r="B38" s="496" t="s">
        <v>49</v>
      </c>
      <c r="C38" s="23" t="s">
        <v>1</v>
      </c>
      <c r="D38" s="10" t="s">
        <v>37</v>
      </c>
      <c r="E38" s="10" t="s">
        <v>52</v>
      </c>
      <c r="F38" s="689" t="s">
        <v>41</v>
      </c>
      <c r="G38" s="690" t="s">
        <v>45</v>
      </c>
      <c r="H38" s="690" t="s">
        <v>39</v>
      </c>
      <c r="I38" s="691" t="s">
        <v>61</v>
      </c>
      <c r="J38" s="10" t="s">
        <v>50</v>
      </c>
      <c r="K38" s="24">
        <v>745.1</v>
      </c>
      <c r="L38" s="24">
        <f>M38-K38</f>
        <v>0</v>
      </c>
      <c r="M38" s="24">
        <v>745.1</v>
      </c>
      <c r="N38" s="24">
        <v>745.1</v>
      </c>
    </row>
    <row r="39" spans="1:14" s="116" customFormat="1" ht="54" x14ac:dyDescent="0.35">
      <c r="A39" s="11"/>
      <c r="B39" s="496" t="s">
        <v>55</v>
      </c>
      <c r="C39" s="23" t="s">
        <v>1</v>
      </c>
      <c r="D39" s="10" t="s">
        <v>37</v>
      </c>
      <c r="E39" s="10" t="s">
        <v>52</v>
      </c>
      <c r="F39" s="689" t="s">
        <v>41</v>
      </c>
      <c r="G39" s="690" t="s">
        <v>45</v>
      </c>
      <c r="H39" s="690" t="s">
        <v>39</v>
      </c>
      <c r="I39" s="691" t="s">
        <v>61</v>
      </c>
      <c r="J39" s="10" t="s">
        <v>56</v>
      </c>
      <c r="K39" s="24">
        <v>4.2</v>
      </c>
      <c r="L39" s="24">
        <f>M39-K39</f>
        <v>0</v>
      </c>
      <c r="M39" s="24">
        <v>4.2</v>
      </c>
      <c r="N39" s="24">
        <v>4.2</v>
      </c>
    </row>
    <row r="40" spans="1:14" s="116" customFormat="1" ht="72" x14ac:dyDescent="0.35">
      <c r="A40" s="11"/>
      <c r="B40" s="496" t="s">
        <v>60</v>
      </c>
      <c r="C40" s="23" t="s">
        <v>1</v>
      </c>
      <c r="D40" s="10" t="s">
        <v>37</v>
      </c>
      <c r="E40" s="10" t="s">
        <v>52</v>
      </c>
      <c r="F40" s="689" t="s">
        <v>41</v>
      </c>
      <c r="G40" s="690" t="s">
        <v>45</v>
      </c>
      <c r="H40" s="690" t="s">
        <v>39</v>
      </c>
      <c r="I40" s="691" t="s">
        <v>535</v>
      </c>
      <c r="J40" s="10"/>
      <c r="K40" s="24">
        <f>SUM(K41:K42)</f>
        <v>4067.6</v>
      </c>
      <c r="L40" s="24">
        <f>SUM(L41:L42)</f>
        <v>0</v>
      </c>
      <c r="M40" s="24">
        <f>SUM(M41:M42)</f>
        <v>4067.6</v>
      </c>
      <c r="N40" s="24">
        <f>SUM(N41:N42)</f>
        <v>4067.6</v>
      </c>
    </row>
    <row r="41" spans="1:14" s="116" customFormat="1" ht="108" x14ac:dyDescent="0.35">
      <c r="A41" s="11"/>
      <c r="B41" s="496" t="s">
        <v>49</v>
      </c>
      <c r="C41" s="23" t="s">
        <v>1</v>
      </c>
      <c r="D41" s="10" t="s">
        <v>37</v>
      </c>
      <c r="E41" s="10" t="s">
        <v>52</v>
      </c>
      <c r="F41" s="689" t="s">
        <v>41</v>
      </c>
      <c r="G41" s="690" t="s">
        <v>45</v>
      </c>
      <c r="H41" s="690" t="s">
        <v>39</v>
      </c>
      <c r="I41" s="691" t="s">
        <v>535</v>
      </c>
      <c r="J41" s="10" t="s">
        <v>50</v>
      </c>
      <c r="K41" s="24">
        <v>4000.1</v>
      </c>
      <c r="L41" s="24">
        <f>M41-K41</f>
        <v>0</v>
      </c>
      <c r="M41" s="24">
        <v>4000.1</v>
      </c>
      <c r="N41" s="24">
        <v>4000.1</v>
      </c>
    </row>
    <row r="42" spans="1:14" s="116" customFormat="1" ht="54" x14ac:dyDescent="0.35">
      <c r="A42" s="11"/>
      <c r="B42" s="496" t="s">
        <v>55</v>
      </c>
      <c r="C42" s="23" t="s">
        <v>1</v>
      </c>
      <c r="D42" s="10" t="s">
        <v>37</v>
      </c>
      <c r="E42" s="10" t="s">
        <v>52</v>
      </c>
      <c r="F42" s="689" t="s">
        <v>41</v>
      </c>
      <c r="G42" s="690" t="s">
        <v>45</v>
      </c>
      <c r="H42" s="690" t="s">
        <v>39</v>
      </c>
      <c r="I42" s="691" t="s">
        <v>535</v>
      </c>
      <c r="J42" s="10" t="s">
        <v>56</v>
      </c>
      <c r="K42" s="24">
        <v>67.5</v>
      </c>
      <c r="L42" s="24">
        <f>M42-K42</f>
        <v>0</v>
      </c>
      <c r="M42" s="24">
        <v>67.5</v>
      </c>
      <c r="N42" s="24">
        <v>67.5</v>
      </c>
    </row>
    <row r="43" spans="1:14" s="7" customFormat="1" ht="18" x14ac:dyDescent="0.35">
      <c r="A43" s="11"/>
      <c r="B43" s="496" t="s">
        <v>62</v>
      </c>
      <c r="C43" s="23" t="s">
        <v>1</v>
      </c>
      <c r="D43" s="10" t="s">
        <v>37</v>
      </c>
      <c r="E43" s="10" t="s">
        <v>52</v>
      </c>
      <c r="F43" s="689" t="s">
        <v>41</v>
      </c>
      <c r="G43" s="690" t="s">
        <v>45</v>
      </c>
      <c r="H43" s="690" t="s">
        <v>63</v>
      </c>
      <c r="I43" s="691" t="s">
        <v>44</v>
      </c>
      <c r="J43" s="10"/>
      <c r="K43" s="24">
        <f t="shared" ref="K43:N44" si="2">K44</f>
        <v>4.5</v>
      </c>
      <c r="L43" s="24">
        <f t="shared" si="2"/>
        <v>0</v>
      </c>
      <c r="M43" s="24">
        <f t="shared" si="2"/>
        <v>4.5</v>
      </c>
      <c r="N43" s="24">
        <f t="shared" si="2"/>
        <v>4.5</v>
      </c>
    </row>
    <row r="44" spans="1:14" s="111" customFormat="1" ht="36" x14ac:dyDescent="0.35">
      <c r="A44" s="11"/>
      <c r="B44" s="496" t="s">
        <v>47</v>
      </c>
      <c r="C44" s="23" t="s">
        <v>1</v>
      </c>
      <c r="D44" s="10" t="s">
        <v>37</v>
      </c>
      <c r="E44" s="10" t="s">
        <v>52</v>
      </c>
      <c r="F44" s="689" t="s">
        <v>41</v>
      </c>
      <c r="G44" s="690" t="s">
        <v>45</v>
      </c>
      <c r="H44" s="690" t="s">
        <v>63</v>
      </c>
      <c r="I44" s="691" t="s">
        <v>48</v>
      </c>
      <c r="J44" s="10"/>
      <c r="K44" s="24">
        <f t="shared" si="2"/>
        <v>4.5</v>
      </c>
      <c r="L44" s="24">
        <f t="shared" si="2"/>
        <v>0</v>
      </c>
      <c r="M44" s="24">
        <f t="shared" si="2"/>
        <v>4.5</v>
      </c>
      <c r="N44" s="24">
        <f t="shared" si="2"/>
        <v>4.5</v>
      </c>
    </row>
    <row r="45" spans="1:14" s="7" customFormat="1" ht="54" x14ac:dyDescent="0.35">
      <c r="A45" s="11"/>
      <c r="B45" s="496" t="s">
        <v>55</v>
      </c>
      <c r="C45" s="23" t="s">
        <v>1</v>
      </c>
      <c r="D45" s="10" t="s">
        <v>37</v>
      </c>
      <c r="E45" s="10" t="s">
        <v>52</v>
      </c>
      <c r="F45" s="689" t="s">
        <v>41</v>
      </c>
      <c r="G45" s="690" t="s">
        <v>45</v>
      </c>
      <c r="H45" s="690" t="s">
        <v>63</v>
      </c>
      <c r="I45" s="691" t="s">
        <v>48</v>
      </c>
      <c r="J45" s="10" t="s">
        <v>56</v>
      </c>
      <c r="K45" s="24">
        <v>4.5</v>
      </c>
      <c r="L45" s="24">
        <f>M45-K45</f>
        <v>0</v>
      </c>
      <c r="M45" s="24">
        <v>4.5</v>
      </c>
      <c r="N45" s="24">
        <v>4.5</v>
      </c>
    </row>
    <row r="46" spans="1:14" s="7" customFormat="1" ht="18" x14ac:dyDescent="0.35">
      <c r="A46" s="11"/>
      <c r="B46" s="496" t="s">
        <v>382</v>
      </c>
      <c r="C46" s="23" t="s">
        <v>1</v>
      </c>
      <c r="D46" s="10" t="s">
        <v>37</v>
      </c>
      <c r="E46" s="10" t="s">
        <v>65</v>
      </c>
      <c r="F46" s="689"/>
      <c r="G46" s="690"/>
      <c r="H46" s="690"/>
      <c r="I46" s="691"/>
      <c r="J46" s="10"/>
      <c r="K46" s="24">
        <f t="shared" ref="K46:N50" si="3">K47</f>
        <v>20.3</v>
      </c>
      <c r="L46" s="24">
        <f t="shared" si="3"/>
        <v>0</v>
      </c>
      <c r="M46" s="24">
        <f t="shared" si="3"/>
        <v>20.3</v>
      </c>
      <c r="N46" s="24">
        <f t="shared" si="3"/>
        <v>17.7</v>
      </c>
    </row>
    <row r="47" spans="1:14" s="7" customFormat="1" ht="54" x14ac:dyDescent="0.35">
      <c r="A47" s="11"/>
      <c r="B47" s="496" t="s">
        <v>53</v>
      </c>
      <c r="C47" s="23" t="s">
        <v>1</v>
      </c>
      <c r="D47" s="10" t="s">
        <v>37</v>
      </c>
      <c r="E47" s="10" t="s">
        <v>65</v>
      </c>
      <c r="F47" s="689" t="s">
        <v>41</v>
      </c>
      <c r="G47" s="690" t="s">
        <v>42</v>
      </c>
      <c r="H47" s="690" t="s">
        <v>43</v>
      </c>
      <c r="I47" s="691" t="s">
        <v>44</v>
      </c>
      <c r="J47" s="10"/>
      <c r="K47" s="24">
        <f t="shared" si="3"/>
        <v>20.3</v>
      </c>
      <c r="L47" s="24">
        <f t="shared" si="3"/>
        <v>0</v>
      </c>
      <c r="M47" s="24">
        <f t="shared" si="3"/>
        <v>20.3</v>
      </c>
      <c r="N47" s="24">
        <f t="shared" si="3"/>
        <v>17.7</v>
      </c>
    </row>
    <row r="48" spans="1:14" s="7" customFormat="1" ht="36" x14ac:dyDescent="0.35">
      <c r="A48" s="11"/>
      <c r="B48" s="496" t="s">
        <v>337</v>
      </c>
      <c r="C48" s="23" t="s">
        <v>1</v>
      </c>
      <c r="D48" s="10" t="s">
        <v>37</v>
      </c>
      <c r="E48" s="10" t="s">
        <v>65</v>
      </c>
      <c r="F48" s="689" t="s">
        <v>41</v>
      </c>
      <c r="G48" s="690" t="s">
        <v>45</v>
      </c>
      <c r="H48" s="690" t="s">
        <v>43</v>
      </c>
      <c r="I48" s="691" t="s">
        <v>44</v>
      </c>
      <c r="J48" s="10"/>
      <c r="K48" s="24">
        <f t="shared" si="3"/>
        <v>20.3</v>
      </c>
      <c r="L48" s="24">
        <f t="shared" si="3"/>
        <v>0</v>
      </c>
      <c r="M48" s="24">
        <f t="shared" si="3"/>
        <v>20.3</v>
      </c>
      <c r="N48" s="24">
        <f t="shared" si="3"/>
        <v>17.7</v>
      </c>
    </row>
    <row r="49" spans="1:14" s="7" customFormat="1" ht="36" x14ac:dyDescent="0.35">
      <c r="A49" s="11"/>
      <c r="B49" s="496" t="s">
        <v>54</v>
      </c>
      <c r="C49" s="23" t="s">
        <v>1</v>
      </c>
      <c r="D49" s="10" t="s">
        <v>37</v>
      </c>
      <c r="E49" s="10" t="s">
        <v>65</v>
      </c>
      <c r="F49" s="689" t="s">
        <v>41</v>
      </c>
      <c r="G49" s="690" t="s">
        <v>45</v>
      </c>
      <c r="H49" s="690" t="s">
        <v>39</v>
      </c>
      <c r="I49" s="691" t="s">
        <v>44</v>
      </c>
      <c r="J49" s="10"/>
      <c r="K49" s="24">
        <f t="shared" si="3"/>
        <v>20.3</v>
      </c>
      <c r="L49" s="24">
        <f t="shared" si="3"/>
        <v>0</v>
      </c>
      <c r="M49" s="24">
        <f t="shared" si="3"/>
        <v>20.3</v>
      </c>
      <c r="N49" s="24">
        <f t="shared" si="3"/>
        <v>17.7</v>
      </c>
    </row>
    <row r="50" spans="1:14" s="7" customFormat="1" ht="72" x14ac:dyDescent="0.35">
      <c r="A50" s="11"/>
      <c r="B50" s="496" t="s">
        <v>384</v>
      </c>
      <c r="C50" s="23" t="s">
        <v>1</v>
      </c>
      <c r="D50" s="10" t="s">
        <v>37</v>
      </c>
      <c r="E50" s="10" t="s">
        <v>65</v>
      </c>
      <c r="F50" s="689" t="s">
        <v>41</v>
      </c>
      <c r="G50" s="690" t="s">
        <v>45</v>
      </c>
      <c r="H50" s="690" t="s">
        <v>39</v>
      </c>
      <c r="I50" s="691" t="s">
        <v>383</v>
      </c>
      <c r="J50" s="10"/>
      <c r="K50" s="24">
        <f t="shared" si="3"/>
        <v>20.3</v>
      </c>
      <c r="L50" s="24">
        <f t="shared" si="3"/>
        <v>0</v>
      </c>
      <c r="M50" s="24">
        <f t="shared" si="3"/>
        <v>20.3</v>
      </c>
      <c r="N50" s="24">
        <f t="shared" si="3"/>
        <v>17.7</v>
      </c>
    </row>
    <row r="51" spans="1:14" s="7" customFormat="1" ht="54" x14ac:dyDescent="0.35">
      <c r="A51" s="11"/>
      <c r="B51" s="496" t="s">
        <v>55</v>
      </c>
      <c r="C51" s="23" t="s">
        <v>1</v>
      </c>
      <c r="D51" s="10" t="s">
        <v>37</v>
      </c>
      <c r="E51" s="10" t="s">
        <v>65</v>
      </c>
      <c r="F51" s="689" t="s">
        <v>41</v>
      </c>
      <c r="G51" s="690" t="s">
        <v>45</v>
      </c>
      <c r="H51" s="690" t="s">
        <v>39</v>
      </c>
      <c r="I51" s="691" t="s">
        <v>383</v>
      </c>
      <c r="J51" s="10" t="s">
        <v>56</v>
      </c>
      <c r="K51" s="24">
        <v>20.3</v>
      </c>
      <c r="L51" s="24">
        <f>M51-K51</f>
        <v>0</v>
      </c>
      <c r="M51" s="24">
        <v>20.3</v>
      </c>
      <c r="N51" s="24">
        <v>17.7</v>
      </c>
    </row>
    <row r="52" spans="1:14" s="111" customFormat="1" ht="18" x14ac:dyDescent="0.35">
      <c r="A52" s="11"/>
      <c r="B52" s="496" t="s">
        <v>66</v>
      </c>
      <c r="C52" s="23" t="s">
        <v>1</v>
      </c>
      <c r="D52" s="10" t="s">
        <v>37</v>
      </c>
      <c r="E52" s="10" t="s">
        <v>67</v>
      </c>
      <c r="F52" s="689"/>
      <c r="G52" s="690"/>
      <c r="H52" s="690"/>
      <c r="I52" s="691"/>
      <c r="J52" s="10"/>
      <c r="K52" s="24">
        <f t="shared" ref="K52:N55" si="4">K53</f>
        <v>29961.8</v>
      </c>
      <c r="L52" s="24">
        <f t="shared" si="4"/>
        <v>-1628</v>
      </c>
      <c r="M52" s="24">
        <f t="shared" si="4"/>
        <v>28333.8</v>
      </c>
      <c r="N52" s="24">
        <f t="shared" si="4"/>
        <v>35000</v>
      </c>
    </row>
    <row r="53" spans="1:14" s="111" customFormat="1" ht="36" x14ac:dyDescent="0.35">
      <c r="A53" s="11"/>
      <c r="B53" s="496" t="s">
        <v>443</v>
      </c>
      <c r="C53" s="23" t="s">
        <v>1</v>
      </c>
      <c r="D53" s="10" t="s">
        <v>37</v>
      </c>
      <c r="E53" s="10" t="s">
        <v>67</v>
      </c>
      <c r="F53" s="689" t="s">
        <v>68</v>
      </c>
      <c r="G53" s="690" t="s">
        <v>42</v>
      </c>
      <c r="H53" s="690" t="s">
        <v>43</v>
      </c>
      <c r="I53" s="691" t="s">
        <v>44</v>
      </c>
      <c r="J53" s="10"/>
      <c r="K53" s="24">
        <f t="shared" si="4"/>
        <v>29961.8</v>
      </c>
      <c r="L53" s="24">
        <f t="shared" si="4"/>
        <v>-1628</v>
      </c>
      <c r="M53" s="24">
        <f t="shared" si="4"/>
        <v>28333.8</v>
      </c>
      <c r="N53" s="24">
        <f t="shared" si="4"/>
        <v>35000</v>
      </c>
    </row>
    <row r="54" spans="1:14" s="111" customFormat="1" ht="18" x14ac:dyDescent="0.35">
      <c r="A54" s="11"/>
      <c r="B54" s="529" t="s">
        <v>444</v>
      </c>
      <c r="C54" s="23" t="s">
        <v>1</v>
      </c>
      <c r="D54" s="10" t="s">
        <v>37</v>
      </c>
      <c r="E54" s="10" t="s">
        <v>67</v>
      </c>
      <c r="F54" s="689" t="s">
        <v>68</v>
      </c>
      <c r="G54" s="690" t="s">
        <v>45</v>
      </c>
      <c r="H54" s="690" t="s">
        <v>43</v>
      </c>
      <c r="I54" s="691" t="s">
        <v>44</v>
      </c>
      <c r="J54" s="10"/>
      <c r="K54" s="24">
        <f>K55</f>
        <v>29961.8</v>
      </c>
      <c r="L54" s="24">
        <f>L55</f>
        <v>-1628</v>
      </c>
      <c r="M54" s="24">
        <f>M55</f>
        <v>28333.8</v>
      </c>
      <c r="N54" s="24">
        <f>N55</f>
        <v>35000</v>
      </c>
    </row>
    <row r="55" spans="1:14" s="111" customFormat="1" ht="36" x14ac:dyDescent="0.35">
      <c r="A55" s="11"/>
      <c r="B55" s="496" t="s">
        <v>442</v>
      </c>
      <c r="C55" s="23" t="s">
        <v>1</v>
      </c>
      <c r="D55" s="10" t="s">
        <v>37</v>
      </c>
      <c r="E55" s="10" t="s">
        <v>67</v>
      </c>
      <c r="F55" s="689" t="s">
        <v>68</v>
      </c>
      <c r="G55" s="690" t="s">
        <v>45</v>
      </c>
      <c r="H55" s="690" t="s">
        <v>43</v>
      </c>
      <c r="I55" s="691" t="s">
        <v>69</v>
      </c>
      <c r="J55" s="10"/>
      <c r="K55" s="24">
        <f t="shared" si="4"/>
        <v>29961.8</v>
      </c>
      <c r="L55" s="24">
        <f t="shared" si="4"/>
        <v>-1628</v>
      </c>
      <c r="M55" s="24">
        <f t="shared" si="4"/>
        <v>28333.8</v>
      </c>
      <c r="N55" s="24">
        <f t="shared" si="4"/>
        <v>35000</v>
      </c>
    </row>
    <row r="56" spans="1:14" s="111" customFormat="1" ht="18" x14ac:dyDescent="0.35">
      <c r="A56" s="11"/>
      <c r="B56" s="496" t="s">
        <v>57</v>
      </c>
      <c r="C56" s="23" t="s">
        <v>1</v>
      </c>
      <c r="D56" s="10" t="s">
        <v>37</v>
      </c>
      <c r="E56" s="10" t="s">
        <v>67</v>
      </c>
      <c r="F56" s="689" t="s">
        <v>68</v>
      </c>
      <c r="G56" s="690" t="s">
        <v>45</v>
      </c>
      <c r="H56" s="690" t="s">
        <v>43</v>
      </c>
      <c r="I56" s="691" t="s">
        <v>69</v>
      </c>
      <c r="J56" s="10" t="s">
        <v>58</v>
      </c>
      <c r="K56" s="24">
        <f>30000-17467.3+17429.1</f>
        <v>29961.8</v>
      </c>
      <c r="L56" s="24">
        <f>M56-K56</f>
        <v>-1628</v>
      </c>
      <c r="M56" s="24">
        <f>30000-17467.3+17429.1-1628</f>
        <v>28333.8</v>
      </c>
      <c r="N56" s="24">
        <v>35000</v>
      </c>
    </row>
    <row r="57" spans="1:14" s="111" customFormat="1" ht="18" x14ac:dyDescent="0.35">
      <c r="A57" s="11"/>
      <c r="B57" s="496" t="s">
        <v>70</v>
      </c>
      <c r="C57" s="23" t="s">
        <v>1</v>
      </c>
      <c r="D57" s="10" t="s">
        <v>37</v>
      </c>
      <c r="E57" s="10" t="s">
        <v>71</v>
      </c>
      <c r="F57" s="689"/>
      <c r="G57" s="690"/>
      <c r="H57" s="690"/>
      <c r="I57" s="691"/>
      <c r="J57" s="10"/>
      <c r="K57" s="24">
        <f>K63+K58</f>
        <v>36536.1</v>
      </c>
      <c r="L57" s="24">
        <f>L63+L58</f>
        <v>0</v>
      </c>
      <c r="M57" s="24">
        <f>M63+M58</f>
        <v>36536.1</v>
      </c>
      <c r="N57" s="24">
        <f>N63+N58</f>
        <v>36536.1</v>
      </c>
    </row>
    <row r="58" spans="1:14" s="111" customFormat="1" ht="72" x14ac:dyDescent="0.35">
      <c r="A58" s="11"/>
      <c r="B58" s="496" t="s">
        <v>72</v>
      </c>
      <c r="C58" s="23" t="s">
        <v>1</v>
      </c>
      <c r="D58" s="10" t="s">
        <v>37</v>
      </c>
      <c r="E58" s="10" t="s">
        <v>71</v>
      </c>
      <c r="F58" s="689" t="s">
        <v>73</v>
      </c>
      <c r="G58" s="690" t="s">
        <v>42</v>
      </c>
      <c r="H58" s="690" t="s">
        <v>43</v>
      </c>
      <c r="I58" s="691" t="s">
        <v>44</v>
      </c>
      <c r="J58" s="10"/>
      <c r="K58" s="24">
        <f t="shared" ref="K58:N61" si="5">K59</f>
        <v>406.2</v>
      </c>
      <c r="L58" s="24">
        <f t="shared" si="5"/>
        <v>0</v>
      </c>
      <c r="M58" s="24">
        <f t="shared" si="5"/>
        <v>406.2</v>
      </c>
      <c r="N58" s="24">
        <f t="shared" si="5"/>
        <v>406.2</v>
      </c>
    </row>
    <row r="59" spans="1:14" s="111" customFormat="1" ht="36" x14ac:dyDescent="0.35">
      <c r="A59" s="11"/>
      <c r="B59" s="496" t="s">
        <v>337</v>
      </c>
      <c r="C59" s="23" t="s">
        <v>1</v>
      </c>
      <c r="D59" s="10" t="s">
        <v>37</v>
      </c>
      <c r="E59" s="10" t="s">
        <v>71</v>
      </c>
      <c r="F59" s="689" t="s">
        <v>73</v>
      </c>
      <c r="G59" s="690" t="s">
        <v>45</v>
      </c>
      <c r="H59" s="690" t="s">
        <v>43</v>
      </c>
      <c r="I59" s="691" t="s">
        <v>44</v>
      </c>
      <c r="J59" s="10"/>
      <c r="K59" s="24">
        <f t="shared" si="5"/>
        <v>406.2</v>
      </c>
      <c r="L59" s="24">
        <f t="shared" si="5"/>
        <v>0</v>
      </c>
      <c r="M59" s="24">
        <f t="shared" si="5"/>
        <v>406.2</v>
      </c>
      <c r="N59" s="24">
        <f t="shared" si="5"/>
        <v>406.2</v>
      </c>
    </row>
    <row r="60" spans="1:14" s="111" customFormat="1" ht="54" x14ac:dyDescent="0.35">
      <c r="A60" s="11"/>
      <c r="B60" s="529" t="s">
        <v>265</v>
      </c>
      <c r="C60" s="23" t="s">
        <v>1</v>
      </c>
      <c r="D60" s="10" t="s">
        <v>37</v>
      </c>
      <c r="E60" s="10" t="s">
        <v>71</v>
      </c>
      <c r="F60" s="689" t="s">
        <v>73</v>
      </c>
      <c r="G60" s="690" t="s">
        <v>45</v>
      </c>
      <c r="H60" s="690" t="s">
        <v>37</v>
      </c>
      <c r="I60" s="691" t="s">
        <v>44</v>
      </c>
      <c r="J60" s="10"/>
      <c r="K60" s="24">
        <f t="shared" si="5"/>
        <v>406.2</v>
      </c>
      <c r="L60" s="24">
        <f t="shared" si="5"/>
        <v>0</v>
      </c>
      <c r="M60" s="24">
        <f t="shared" si="5"/>
        <v>406.2</v>
      </c>
      <c r="N60" s="24">
        <f t="shared" si="5"/>
        <v>406.2</v>
      </c>
    </row>
    <row r="61" spans="1:14" s="111" customFormat="1" ht="54" x14ac:dyDescent="0.35">
      <c r="A61" s="11"/>
      <c r="B61" s="529" t="s">
        <v>74</v>
      </c>
      <c r="C61" s="23" t="s">
        <v>1</v>
      </c>
      <c r="D61" s="10" t="s">
        <v>37</v>
      </c>
      <c r="E61" s="10" t="s">
        <v>71</v>
      </c>
      <c r="F61" s="689" t="s">
        <v>73</v>
      </c>
      <c r="G61" s="690" t="s">
        <v>45</v>
      </c>
      <c r="H61" s="690" t="s">
        <v>37</v>
      </c>
      <c r="I61" s="691" t="s">
        <v>75</v>
      </c>
      <c r="J61" s="10"/>
      <c r="K61" s="24">
        <f t="shared" si="5"/>
        <v>406.2</v>
      </c>
      <c r="L61" s="24">
        <f t="shared" si="5"/>
        <v>0</v>
      </c>
      <c r="M61" s="24">
        <f t="shared" si="5"/>
        <v>406.2</v>
      </c>
      <c r="N61" s="24">
        <f t="shared" si="5"/>
        <v>406.2</v>
      </c>
    </row>
    <row r="62" spans="1:14" s="111" customFormat="1" ht="54" x14ac:dyDescent="0.35">
      <c r="A62" s="11"/>
      <c r="B62" s="503" t="s">
        <v>76</v>
      </c>
      <c r="C62" s="23" t="s">
        <v>1</v>
      </c>
      <c r="D62" s="10" t="s">
        <v>37</v>
      </c>
      <c r="E62" s="10" t="s">
        <v>71</v>
      </c>
      <c r="F62" s="689" t="s">
        <v>73</v>
      </c>
      <c r="G62" s="690" t="s">
        <v>45</v>
      </c>
      <c r="H62" s="690" t="s">
        <v>37</v>
      </c>
      <c r="I62" s="691" t="s">
        <v>75</v>
      </c>
      <c r="J62" s="10" t="s">
        <v>77</v>
      </c>
      <c r="K62" s="24">
        <v>406.2</v>
      </c>
      <c r="L62" s="24">
        <f>M62-K62</f>
        <v>0</v>
      </c>
      <c r="M62" s="24">
        <v>406.2</v>
      </c>
      <c r="N62" s="24">
        <v>406.2</v>
      </c>
    </row>
    <row r="63" spans="1:14" s="111" customFormat="1" ht="54" x14ac:dyDescent="0.35">
      <c r="A63" s="11"/>
      <c r="B63" s="496" t="s">
        <v>40</v>
      </c>
      <c r="C63" s="23" t="s">
        <v>1</v>
      </c>
      <c r="D63" s="10" t="s">
        <v>37</v>
      </c>
      <c r="E63" s="10" t="s">
        <v>71</v>
      </c>
      <c r="F63" s="689" t="s">
        <v>41</v>
      </c>
      <c r="G63" s="690" t="s">
        <v>42</v>
      </c>
      <c r="H63" s="690" t="s">
        <v>43</v>
      </c>
      <c r="I63" s="691" t="s">
        <v>44</v>
      </c>
      <c r="J63" s="10"/>
      <c r="K63" s="24">
        <f>K64</f>
        <v>36129.9</v>
      </c>
      <c r="L63" s="24">
        <f>L64</f>
        <v>0</v>
      </c>
      <c r="M63" s="24">
        <f>M64</f>
        <v>36129.9</v>
      </c>
      <c r="N63" s="24">
        <f>N64</f>
        <v>36129.9</v>
      </c>
    </row>
    <row r="64" spans="1:14" s="111" customFormat="1" ht="36" x14ac:dyDescent="0.35">
      <c r="A64" s="11"/>
      <c r="B64" s="496" t="s">
        <v>337</v>
      </c>
      <c r="C64" s="23" t="s">
        <v>1</v>
      </c>
      <c r="D64" s="10" t="s">
        <v>37</v>
      </c>
      <c r="E64" s="10" t="s">
        <v>71</v>
      </c>
      <c r="F64" s="689" t="s">
        <v>41</v>
      </c>
      <c r="G64" s="690" t="s">
        <v>45</v>
      </c>
      <c r="H64" s="690" t="s">
        <v>43</v>
      </c>
      <c r="I64" s="691" t="s">
        <v>44</v>
      </c>
      <c r="J64" s="10"/>
      <c r="K64" s="24">
        <f>K69+K65+K74</f>
        <v>36129.9</v>
      </c>
      <c r="L64" s="24">
        <f>L69+L65+L74</f>
        <v>0</v>
      </c>
      <c r="M64" s="24">
        <f>M69+M65+M74</f>
        <v>36129.9</v>
      </c>
      <c r="N64" s="24">
        <f>N69+N65+N74</f>
        <v>36129.9</v>
      </c>
    </row>
    <row r="65" spans="1:14" s="111" customFormat="1" ht="18" x14ac:dyDescent="0.35">
      <c r="A65" s="11"/>
      <c r="B65" s="503" t="s">
        <v>62</v>
      </c>
      <c r="C65" s="23" t="s">
        <v>1</v>
      </c>
      <c r="D65" s="10" t="s">
        <v>37</v>
      </c>
      <c r="E65" s="10" t="s">
        <v>71</v>
      </c>
      <c r="F65" s="689" t="s">
        <v>41</v>
      </c>
      <c r="G65" s="690" t="s">
        <v>45</v>
      </c>
      <c r="H65" s="690" t="s">
        <v>63</v>
      </c>
      <c r="I65" s="691" t="s">
        <v>44</v>
      </c>
      <c r="J65" s="10"/>
      <c r="K65" s="24">
        <f>K66</f>
        <v>2413.9</v>
      </c>
      <c r="L65" s="24">
        <f>L66</f>
        <v>0</v>
      </c>
      <c r="M65" s="24">
        <f>M66</f>
        <v>2413.9</v>
      </c>
      <c r="N65" s="24">
        <f>N66</f>
        <v>2413.9</v>
      </c>
    </row>
    <row r="66" spans="1:14" s="111" customFormat="1" ht="54" x14ac:dyDescent="0.35">
      <c r="A66" s="11"/>
      <c r="B66" s="503" t="s">
        <v>378</v>
      </c>
      <c r="C66" s="23" t="s">
        <v>1</v>
      </c>
      <c r="D66" s="10" t="s">
        <v>37</v>
      </c>
      <c r="E66" s="10" t="s">
        <v>71</v>
      </c>
      <c r="F66" s="689" t="s">
        <v>41</v>
      </c>
      <c r="G66" s="690" t="s">
        <v>45</v>
      </c>
      <c r="H66" s="690" t="s">
        <v>63</v>
      </c>
      <c r="I66" s="691" t="s">
        <v>377</v>
      </c>
      <c r="J66" s="10"/>
      <c r="K66" s="24">
        <f>K67+K68</f>
        <v>2413.9</v>
      </c>
      <c r="L66" s="24">
        <f>L67+L68</f>
        <v>0</v>
      </c>
      <c r="M66" s="24">
        <f>M67+M68</f>
        <v>2413.9</v>
      </c>
      <c r="N66" s="24">
        <f>N67+N68</f>
        <v>2413.9</v>
      </c>
    </row>
    <row r="67" spans="1:14" s="111" customFormat="1" ht="54" x14ac:dyDescent="0.35">
      <c r="A67" s="11"/>
      <c r="B67" s="496" t="s">
        <v>55</v>
      </c>
      <c r="C67" s="23" t="s">
        <v>1</v>
      </c>
      <c r="D67" s="10" t="s">
        <v>37</v>
      </c>
      <c r="E67" s="10" t="s">
        <v>71</v>
      </c>
      <c r="F67" s="689" t="s">
        <v>41</v>
      </c>
      <c r="G67" s="690" t="s">
        <v>45</v>
      </c>
      <c r="H67" s="690" t="s">
        <v>63</v>
      </c>
      <c r="I67" s="691" t="s">
        <v>377</v>
      </c>
      <c r="J67" s="10" t="s">
        <v>56</v>
      </c>
      <c r="K67" s="24">
        <v>2187.6</v>
      </c>
      <c r="L67" s="24">
        <f>M67-K67</f>
        <v>0</v>
      </c>
      <c r="M67" s="24">
        <v>2187.6</v>
      </c>
      <c r="N67" s="24">
        <v>2187.6</v>
      </c>
    </row>
    <row r="68" spans="1:14" s="111" customFormat="1" ht="18" x14ac:dyDescent="0.35">
      <c r="A68" s="11"/>
      <c r="B68" s="496" t="s">
        <v>57</v>
      </c>
      <c r="C68" s="23" t="s">
        <v>1</v>
      </c>
      <c r="D68" s="10" t="s">
        <v>37</v>
      </c>
      <c r="E68" s="10" t="s">
        <v>71</v>
      </c>
      <c r="F68" s="689" t="s">
        <v>41</v>
      </c>
      <c r="G68" s="690" t="s">
        <v>45</v>
      </c>
      <c r="H68" s="690" t="s">
        <v>63</v>
      </c>
      <c r="I68" s="691" t="s">
        <v>377</v>
      </c>
      <c r="J68" s="10" t="s">
        <v>58</v>
      </c>
      <c r="K68" s="24">
        <v>226.3</v>
      </c>
      <c r="L68" s="24">
        <f>M68-K68</f>
        <v>0</v>
      </c>
      <c r="M68" s="24">
        <v>226.3</v>
      </c>
      <c r="N68" s="24">
        <v>226.3</v>
      </c>
    </row>
    <row r="69" spans="1:14" s="111" customFormat="1" ht="18" x14ac:dyDescent="0.35">
      <c r="A69" s="11"/>
      <c r="B69" s="496" t="s">
        <v>64</v>
      </c>
      <c r="C69" s="23" t="s">
        <v>1</v>
      </c>
      <c r="D69" s="10" t="s">
        <v>37</v>
      </c>
      <c r="E69" s="10" t="s">
        <v>71</v>
      </c>
      <c r="F69" s="689" t="s">
        <v>41</v>
      </c>
      <c r="G69" s="690" t="s">
        <v>45</v>
      </c>
      <c r="H69" s="690" t="s">
        <v>52</v>
      </c>
      <c r="I69" s="691" t="s">
        <v>44</v>
      </c>
      <c r="J69" s="10"/>
      <c r="K69" s="24">
        <f>K70+K72</f>
        <v>3227.8</v>
      </c>
      <c r="L69" s="24">
        <f>L70+L72</f>
        <v>0</v>
      </c>
      <c r="M69" s="24">
        <f>M70+M72</f>
        <v>3227.8</v>
      </c>
      <c r="N69" s="24">
        <f>N70+N72</f>
        <v>3227.8</v>
      </c>
    </row>
    <row r="70" spans="1:14" s="111" customFormat="1" ht="54" x14ac:dyDescent="0.35">
      <c r="A70" s="11"/>
      <c r="B70" s="545" t="s">
        <v>350</v>
      </c>
      <c r="C70" s="23" t="s">
        <v>1</v>
      </c>
      <c r="D70" s="10" t="s">
        <v>37</v>
      </c>
      <c r="E70" s="10" t="s">
        <v>71</v>
      </c>
      <c r="F70" s="689" t="s">
        <v>41</v>
      </c>
      <c r="G70" s="690" t="s">
        <v>45</v>
      </c>
      <c r="H70" s="690" t="s">
        <v>52</v>
      </c>
      <c r="I70" s="691" t="s">
        <v>105</v>
      </c>
      <c r="J70" s="10"/>
      <c r="K70" s="24">
        <f>K71</f>
        <v>1138.8</v>
      </c>
      <c r="L70" s="24">
        <f>L71</f>
        <v>0</v>
      </c>
      <c r="M70" s="24">
        <f>M71</f>
        <v>1138.8</v>
      </c>
      <c r="N70" s="24">
        <f>N71</f>
        <v>1138.8</v>
      </c>
    </row>
    <row r="71" spans="1:14" s="111" customFormat="1" ht="54" x14ac:dyDescent="0.35">
      <c r="A71" s="11"/>
      <c r="B71" s="496" t="s">
        <v>55</v>
      </c>
      <c r="C71" s="23" t="s">
        <v>1</v>
      </c>
      <c r="D71" s="10" t="s">
        <v>37</v>
      </c>
      <c r="E71" s="10" t="s">
        <v>71</v>
      </c>
      <c r="F71" s="689" t="s">
        <v>41</v>
      </c>
      <c r="G71" s="690" t="s">
        <v>45</v>
      </c>
      <c r="H71" s="690" t="s">
        <v>52</v>
      </c>
      <c r="I71" s="691" t="s">
        <v>105</v>
      </c>
      <c r="J71" s="10" t="s">
        <v>56</v>
      </c>
      <c r="K71" s="24">
        <v>1138.8</v>
      </c>
      <c r="L71" s="24">
        <f>M71-K71</f>
        <v>0</v>
      </c>
      <c r="M71" s="24">
        <v>1138.8</v>
      </c>
      <c r="N71" s="24">
        <v>1138.8</v>
      </c>
    </row>
    <row r="72" spans="1:14" s="111" customFormat="1" ht="54" x14ac:dyDescent="0.35">
      <c r="A72" s="11"/>
      <c r="B72" s="496" t="s">
        <v>352</v>
      </c>
      <c r="C72" s="23" t="s">
        <v>1</v>
      </c>
      <c r="D72" s="10" t="s">
        <v>37</v>
      </c>
      <c r="E72" s="10" t="s">
        <v>71</v>
      </c>
      <c r="F72" s="689" t="s">
        <v>41</v>
      </c>
      <c r="G72" s="690" t="s">
        <v>45</v>
      </c>
      <c r="H72" s="690" t="s">
        <v>52</v>
      </c>
      <c r="I72" s="691" t="s">
        <v>351</v>
      </c>
      <c r="J72" s="10"/>
      <c r="K72" s="24">
        <f>K73</f>
        <v>2089</v>
      </c>
      <c r="L72" s="24">
        <f>L73</f>
        <v>0</v>
      </c>
      <c r="M72" s="24">
        <f>M73</f>
        <v>2089</v>
      </c>
      <c r="N72" s="24">
        <f>N73</f>
        <v>2089</v>
      </c>
    </row>
    <row r="73" spans="1:14" s="111" customFormat="1" ht="54" x14ac:dyDescent="0.35">
      <c r="A73" s="11"/>
      <c r="B73" s="496" t="s">
        <v>55</v>
      </c>
      <c r="C73" s="23" t="s">
        <v>1</v>
      </c>
      <c r="D73" s="10" t="s">
        <v>37</v>
      </c>
      <c r="E73" s="10" t="s">
        <v>71</v>
      </c>
      <c r="F73" s="689" t="s">
        <v>41</v>
      </c>
      <c r="G73" s="690" t="s">
        <v>45</v>
      </c>
      <c r="H73" s="690" t="s">
        <v>52</v>
      </c>
      <c r="I73" s="691" t="s">
        <v>351</v>
      </c>
      <c r="J73" s="10" t="s">
        <v>56</v>
      </c>
      <c r="K73" s="24">
        <v>2089</v>
      </c>
      <c r="L73" s="24">
        <f>M73-K73</f>
        <v>0</v>
      </c>
      <c r="M73" s="24">
        <v>2089</v>
      </c>
      <c r="N73" s="24">
        <v>2089</v>
      </c>
    </row>
    <row r="74" spans="1:14" s="111" customFormat="1" ht="90" x14ac:dyDescent="0.35">
      <c r="A74" s="11"/>
      <c r="B74" s="496" t="s">
        <v>590</v>
      </c>
      <c r="C74" s="23" t="s">
        <v>1</v>
      </c>
      <c r="D74" s="10" t="s">
        <v>37</v>
      </c>
      <c r="E74" s="10" t="s">
        <v>71</v>
      </c>
      <c r="F74" s="689" t="s">
        <v>41</v>
      </c>
      <c r="G74" s="690" t="s">
        <v>45</v>
      </c>
      <c r="H74" s="690" t="s">
        <v>580</v>
      </c>
      <c r="I74" s="691" t="s">
        <v>44</v>
      </c>
      <c r="J74" s="10"/>
      <c r="K74" s="24">
        <f>K75</f>
        <v>30488.2</v>
      </c>
      <c r="L74" s="24">
        <f>L75</f>
        <v>0</v>
      </c>
      <c r="M74" s="24">
        <f>M75</f>
        <v>30488.2</v>
      </c>
      <c r="N74" s="24">
        <f>N75</f>
        <v>30488.2</v>
      </c>
    </row>
    <row r="75" spans="1:14" s="111" customFormat="1" ht="36" x14ac:dyDescent="0.35">
      <c r="A75" s="11"/>
      <c r="B75" s="529" t="s">
        <v>461</v>
      </c>
      <c r="C75" s="23" t="s">
        <v>1</v>
      </c>
      <c r="D75" s="10" t="s">
        <v>37</v>
      </c>
      <c r="E75" s="10" t="s">
        <v>71</v>
      </c>
      <c r="F75" s="689" t="s">
        <v>41</v>
      </c>
      <c r="G75" s="690" t="s">
        <v>45</v>
      </c>
      <c r="H75" s="690" t="s">
        <v>580</v>
      </c>
      <c r="I75" s="691" t="s">
        <v>91</v>
      </c>
      <c r="J75" s="10"/>
      <c r="K75" s="24">
        <f>K76+K77</f>
        <v>30488.2</v>
      </c>
      <c r="L75" s="24">
        <f>L76+L77</f>
        <v>0</v>
      </c>
      <c r="M75" s="24">
        <f>M76+M77</f>
        <v>30488.2</v>
      </c>
      <c r="N75" s="24">
        <f>N76+N77</f>
        <v>30488.2</v>
      </c>
    </row>
    <row r="76" spans="1:14" s="111" customFormat="1" ht="108" x14ac:dyDescent="0.35">
      <c r="A76" s="11"/>
      <c r="B76" s="496" t="s">
        <v>49</v>
      </c>
      <c r="C76" s="23" t="s">
        <v>1</v>
      </c>
      <c r="D76" s="10" t="s">
        <v>37</v>
      </c>
      <c r="E76" s="10" t="s">
        <v>71</v>
      </c>
      <c r="F76" s="689" t="s">
        <v>41</v>
      </c>
      <c r="G76" s="690" t="s">
        <v>45</v>
      </c>
      <c r="H76" s="690" t="s">
        <v>580</v>
      </c>
      <c r="I76" s="691" t="s">
        <v>91</v>
      </c>
      <c r="J76" s="10" t="s">
        <v>50</v>
      </c>
      <c r="K76" s="24">
        <v>23999.5</v>
      </c>
      <c r="L76" s="24">
        <f>M76-K76</f>
        <v>0</v>
      </c>
      <c r="M76" s="24">
        <v>23999.5</v>
      </c>
      <c r="N76" s="24">
        <v>23999.5</v>
      </c>
    </row>
    <row r="77" spans="1:14" s="111" customFormat="1" ht="54" x14ac:dyDescent="0.35">
      <c r="A77" s="11"/>
      <c r="B77" s="496" t="s">
        <v>55</v>
      </c>
      <c r="C77" s="23" t="s">
        <v>1</v>
      </c>
      <c r="D77" s="10" t="s">
        <v>37</v>
      </c>
      <c r="E77" s="10" t="s">
        <v>71</v>
      </c>
      <c r="F77" s="689" t="s">
        <v>41</v>
      </c>
      <c r="G77" s="690" t="s">
        <v>45</v>
      </c>
      <c r="H77" s="690" t="s">
        <v>580</v>
      </c>
      <c r="I77" s="691" t="s">
        <v>91</v>
      </c>
      <c r="J77" s="10" t="s">
        <v>56</v>
      </c>
      <c r="K77" s="24">
        <f>6314.2+174.5</f>
        <v>6488.7</v>
      </c>
      <c r="L77" s="24">
        <f>M77-K77</f>
        <v>0</v>
      </c>
      <c r="M77" s="24">
        <f>6314.2+174.5</f>
        <v>6488.7</v>
      </c>
      <c r="N77" s="24">
        <v>6488.7</v>
      </c>
    </row>
    <row r="78" spans="1:14" s="111" customFormat="1" ht="36" x14ac:dyDescent="0.35">
      <c r="A78" s="11"/>
      <c r="B78" s="496" t="s">
        <v>78</v>
      </c>
      <c r="C78" s="23" t="s">
        <v>1</v>
      </c>
      <c r="D78" s="10" t="s">
        <v>63</v>
      </c>
      <c r="E78" s="10"/>
      <c r="F78" s="689"/>
      <c r="G78" s="690"/>
      <c r="H78" s="690"/>
      <c r="I78" s="691"/>
      <c r="J78" s="10"/>
      <c r="K78" s="24">
        <f>K79+K87</f>
        <v>12719.499999999996</v>
      </c>
      <c r="L78" s="24">
        <f>L79+L87</f>
        <v>1628</v>
      </c>
      <c r="M78" s="24">
        <f>M79+M87</f>
        <v>14347.499999999996</v>
      </c>
      <c r="N78" s="24">
        <f>N79+N87</f>
        <v>12720.499999999996</v>
      </c>
    </row>
    <row r="79" spans="1:14" s="111" customFormat="1" ht="72" x14ac:dyDescent="0.35">
      <c r="A79" s="11"/>
      <c r="B79" s="573" t="s">
        <v>459</v>
      </c>
      <c r="C79" s="23" t="s">
        <v>1</v>
      </c>
      <c r="D79" s="10" t="s">
        <v>63</v>
      </c>
      <c r="E79" s="10" t="s">
        <v>104</v>
      </c>
      <c r="F79" s="689"/>
      <c r="G79" s="690"/>
      <c r="H79" s="690"/>
      <c r="I79" s="691"/>
      <c r="J79" s="10"/>
      <c r="K79" s="24">
        <f t="shared" ref="K79:N81" si="6">K80</f>
        <v>362.29999999999995</v>
      </c>
      <c r="L79" s="24">
        <f t="shared" si="6"/>
        <v>1628</v>
      </c>
      <c r="M79" s="24">
        <f t="shared" si="6"/>
        <v>1990.3000000000002</v>
      </c>
      <c r="N79" s="24">
        <f t="shared" si="6"/>
        <v>362.29999999999995</v>
      </c>
    </row>
    <row r="80" spans="1:14" s="111" customFormat="1" ht="54" x14ac:dyDescent="0.35">
      <c r="A80" s="11"/>
      <c r="B80" s="496" t="s">
        <v>80</v>
      </c>
      <c r="C80" s="23" t="s">
        <v>1</v>
      </c>
      <c r="D80" s="10" t="s">
        <v>63</v>
      </c>
      <c r="E80" s="10" t="s">
        <v>104</v>
      </c>
      <c r="F80" s="689" t="s">
        <v>81</v>
      </c>
      <c r="G80" s="690" t="s">
        <v>42</v>
      </c>
      <c r="H80" s="690" t="s">
        <v>43</v>
      </c>
      <c r="I80" s="691" t="s">
        <v>44</v>
      </c>
      <c r="J80" s="10"/>
      <c r="K80" s="24">
        <f t="shared" si="6"/>
        <v>362.29999999999995</v>
      </c>
      <c r="L80" s="24">
        <f t="shared" si="6"/>
        <v>1628</v>
      </c>
      <c r="M80" s="24">
        <f t="shared" si="6"/>
        <v>1990.3000000000002</v>
      </c>
      <c r="N80" s="24">
        <f t="shared" si="6"/>
        <v>362.29999999999995</v>
      </c>
    </row>
    <row r="81" spans="1:14" s="111" customFormat="1" ht="54" x14ac:dyDescent="0.35">
      <c r="A81" s="11"/>
      <c r="B81" s="546" t="s">
        <v>82</v>
      </c>
      <c r="C81" s="23" t="s">
        <v>1</v>
      </c>
      <c r="D81" s="10" t="s">
        <v>63</v>
      </c>
      <c r="E81" s="10" t="s">
        <v>104</v>
      </c>
      <c r="F81" s="689" t="s">
        <v>81</v>
      </c>
      <c r="G81" s="690" t="s">
        <v>45</v>
      </c>
      <c r="H81" s="690" t="s">
        <v>43</v>
      </c>
      <c r="I81" s="691" t="s">
        <v>44</v>
      </c>
      <c r="J81" s="10"/>
      <c r="K81" s="24">
        <f t="shared" si="6"/>
        <v>362.29999999999995</v>
      </c>
      <c r="L81" s="24">
        <f t="shared" si="6"/>
        <v>1628</v>
      </c>
      <c r="M81" s="24">
        <f t="shared" si="6"/>
        <v>1990.3000000000002</v>
      </c>
      <c r="N81" s="24">
        <f t="shared" si="6"/>
        <v>362.29999999999995</v>
      </c>
    </row>
    <row r="82" spans="1:14" s="111" customFormat="1" ht="72" x14ac:dyDescent="0.35">
      <c r="A82" s="11"/>
      <c r="B82" s="496" t="s">
        <v>83</v>
      </c>
      <c r="C82" s="23" t="s">
        <v>1</v>
      </c>
      <c r="D82" s="10" t="s">
        <v>63</v>
      </c>
      <c r="E82" s="10" t="s">
        <v>104</v>
      </c>
      <c r="F82" s="689" t="s">
        <v>81</v>
      </c>
      <c r="G82" s="690" t="s">
        <v>45</v>
      </c>
      <c r="H82" s="690" t="s">
        <v>37</v>
      </c>
      <c r="I82" s="691" t="s">
        <v>44</v>
      </c>
      <c r="J82" s="10"/>
      <c r="K82" s="24">
        <f>K83+K85</f>
        <v>362.29999999999995</v>
      </c>
      <c r="L82" s="24">
        <f>L83+L85</f>
        <v>1628</v>
      </c>
      <c r="M82" s="24">
        <f>M83+M85</f>
        <v>1990.3000000000002</v>
      </c>
      <c r="N82" s="24">
        <f>N83+N85</f>
        <v>362.29999999999995</v>
      </c>
    </row>
    <row r="83" spans="1:14" s="111" customFormat="1" ht="36" x14ac:dyDescent="0.35">
      <c r="A83" s="11"/>
      <c r="B83" s="546" t="s">
        <v>448</v>
      </c>
      <c r="C83" s="23" t="s">
        <v>1</v>
      </c>
      <c r="D83" s="10" t="s">
        <v>63</v>
      </c>
      <c r="E83" s="10" t="s">
        <v>104</v>
      </c>
      <c r="F83" s="689" t="s">
        <v>81</v>
      </c>
      <c r="G83" s="690" t="s">
        <v>45</v>
      </c>
      <c r="H83" s="690" t="s">
        <v>37</v>
      </c>
      <c r="I83" s="691" t="s">
        <v>84</v>
      </c>
      <c r="J83" s="10"/>
      <c r="K83" s="24">
        <f>K84</f>
        <v>298.39999999999998</v>
      </c>
      <c r="L83" s="24">
        <f>L84</f>
        <v>1628</v>
      </c>
      <c r="M83" s="24">
        <f>M84</f>
        <v>1926.4</v>
      </c>
      <c r="N83" s="24">
        <f>N84</f>
        <v>298.39999999999998</v>
      </c>
    </row>
    <row r="84" spans="1:14" s="111" customFormat="1" ht="54" x14ac:dyDescent="0.35">
      <c r="A84" s="11"/>
      <c r="B84" s="496" t="s">
        <v>55</v>
      </c>
      <c r="C84" s="23" t="s">
        <v>1</v>
      </c>
      <c r="D84" s="10" t="s">
        <v>63</v>
      </c>
      <c r="E84" s="10" t="s">
        <v>104</v>
      </c>
      <c r="F84" s="689" t="s">
        <v>81</v>
      </c>
      <c r="G84" s="690" t="s">
        <v>45</v>
      </c>
      <c r="H84" s="690" t="s">
        <v>37</v>
      </c>
      <c r="I84" s="691" t="s">
        <v>84</v>
      </c>
      <c r="J84" s="10" t="s">
        <v>56</v>
      </c>
      <c r="K84" s="24">
        <v>298.39999999999998</v>
      </c>
      <c r="L84" s="24">
        <f>M84-K84</f>
        <v>1628</v>
      </c>
      <c r="M84" s="24">
        <f>298.4+1628</f>
        <v>1926.4</v>
      </c>
      <c r="N84" s="24">
        <v>298.39999999999998</v>
      </c>
    </row>
    <row r="85" spans="1:14" s="111" customFormat="1" ht="54" x14ac:dyDescent="0.35">
      <c r="A85" s="11"/>
      <c r="B85" s="496" t="s">
        <v>85</v>
      </c>
      <c r="C85" s="23" t="s">
        <v>1</v>
      </c>
      <c r="D85" s="10" t="s">
        <v>63</v>
      </c>
      <c r="E85" s="10" t="s">
        <v>104</v>
      </c>
      <c r="F85" s="689" t="s">
        <v>81</v>
      </c>
      <c r="G85" s="690" t="s">
        <v>45</v>
      </c>
      <c r="H85" s="690" t="s">
        <v>37</v>
      </c>
      <c r="I85" s="691" t="s">
        <v>86</v>
      </c>
      <c r="J85" s="10"/>
      <c r="K85" s="24">
        <f>K86</f>
        <v>63.9</v>
      </c>
      <c r="L85" s="24">
        <f>L86</f>
        <v>0</v>
      </c>
      <c r="M85" s="24">
        <f>M86</f>
        <v>63.9</v>
      </c>
      <c r="N85" s="24">
        <f>N86</f>
        <v>63.9</v>
      </c>
    </row>
    <row r="86" spans="1:14" s="111" customFormat="1" ht="54" x14ac:dyDescent="0.35">
      <c r="A86" s="11"/>
      <c r="B86" s="496" t="s">
        <v>55</v>
      </c>
      <c r="C86" s="23" t="s">
        <v>1</v>
      </c>
      <c r="D86" s="10" t="s">
        <v>63</v>
      </c>
      <c r="E86" s="10" t="s">
        <v>104</v>
      </c>
      <c r="F86" s="689" t="s">
        <v>81</v>
      </c>
      <c r="G86" s="690" t="s">
        <v>45</v>
      </c>
      <c r="H86" s="690" t="s">
        <v>37</v>
      </c>
      <c r="I86" s="691" t="s">
        <v>86</v>
      </c>
      <c r="J86" s="10" t="s">
        <v>56</v>
      </c>
      <c r="K86" s="24">
        <v>63.9</v>
      </c>
      <c r="L86" s="24">
        <f>M86-K86</f>
        <v>0</v>
      </c>
      <c r="M86" s="24">
        <v>63.9</v>
      </c>
      <c r="N86" s="24">
        <v>63.9</v>
      </c>
    </row>
    <row r="87" spans="1:14" s="111" customFormat="1" ht="54" x14ac:dyDescent="0.35">
      <c r="A87" s="11"/>
      <c r="B87" s="545" t="s">
        <v>87</v>
      </c>
      <c r="C87" s="23" t="s">
        <v>1</v>
      </c>
      <c r="D87" s="10" t="s">
        <v>63</v>
      </c>
      <c r="E87" s="10" t="s">
        <v>88</v>
      </c>
      <c r="F87" s="689"/>
      <c r="G87" s="690"/>
      <c r="H87" s="690"/>
      <c r="I87" s="691"/>
      <c r="J87" s="10"/>
      <c r="K87" s="24">
        <f>K88</f>
        <v>12357.199999999997</v>
      </c>
      <c r="L87" s="24">
        <f>L88</f>
        <v>0</v>
      </c>
      <c r="M87" s="24">
        <f>M88</f>
        <v>12357.199999999997</v>
      </c>
      <c r="N87" s="24">
        <f>N88</f>
        <v>12358.199999999997</v>
      </c>
    </row>
    <row r="88" spans="1:14" s="111" customFormat="1" ht="54" x14ac:dyDescent="0.35">
      <c r="A88" s="11"/>
      <c r="B88" s="496" t="s">
        <v>80</v>
      </c>
      <c r="C88" s="23" t="s">
        <v>1</v>
      </c>
      <c r="D88" s="10" t="s">
        <v>63</v>
      </c>
      <c r="E88" s="10" t="s">
        <v>88</v>
      </c>
      <c r="F88" s="689" t="s">
        <v>81</v>
      </c>
      <c r="G88" s="690" t="s">
        <v>42</v>
      </c>
      <c r="H88" s="690" t="s">
        <v>43</v>
      </c>
      <c r="I88" s="691" t="s">
        <v>44</v>
      </c>
      <c r="J88" s="10"/>
      <c r="K88" s="24">
        <f>K96+K89+K102</f>
        <v>12357.199999999997</v>
      </c>
      <c r="L88" s="24">
        <f>L96+L89+L102</f>
        <v>0</v>
      </c>
      <c r="M88" s="24">
        <f>M96+M89+M102</f>
        <v>12357.199999999997</v>
      </c>
      <c r="N88" s="24">
        <f>N96+N89+N102</f>
        <v>12358.199999999997</v>
      </c>
    </row>
    <row r="89" spans="1:14" s="111" customFormat="1" ht="36" x14ac:dyDescent="0.35">
      <c r="A89" s="11"/>
      <c r="B89" s="545" t="s">
        <v>125</v>
      </c>
      <c r="C89" s="23" t="s">
        <v>1</v>
      </c>
      <c r="D89" s="10" t="s">
        <v>63</v>
      </c>
      <c r="E89" s="10" t="s">
        <v>88</v>
      </c>
      <c r="F89" s="689" t="s">
        <v>81</v>
      </c>
      <c r="G89" s="690" t="s">
        <v>89</v>
      </c>
      <c r="H89" s="690" t="s">
        <v>43</v>
      </c>
      <c r="I89" s="691" t="s">
        <v>44</v>
      </c>
      <c r="J89" s="10"/>
      <c r="K89" s="24">
        <f>K90+K93</f>
        <v>1480.3999999999999</v>
      </c>
      <c r="L89" s="24">
        <f>L90+L93</f>
        <v>0</v>
      </c>
      <c r="M89" s="24">
        <f>M90+M93</f>
        <v>1480.3999999999999</v>
      </c>
      <c r="N89" s="24">
        <f>N90+N93</f>
        <v>1480.3999999999999</v>
      </c>
    </row>
    <row r="90" spans="1:14" s="111" customFormat="1" ht="36" x14ac:dyDescent="0.35">
      <c r="A90" s="11"/>
      <c r="B90" s="545" t="s">
        <v>270</v>
      </c>
      <c r="C90" s="23" t="s">
        <v>1</v>
      </c>
      <c r="D90" s="10" t="s">
        <v>63</v>
      </c>
      <c r="E90" s="10" t="s">
        <v>88</v>
      </c>
      <c r="F90" s="689" t="s">
        <v>81</v>
      </c>
      <c r="G90" s="690" t="s">
        <v>89</v>
      </c>
      <c r="H90" s="690" t="s">
        <v>37</v>
      </c>
      <c r="I90" s="691" t="s">
        <v>44</v>
      </c>
      <c r="J90" s="10"/>
      <c r="K90" s="24">
        <f t="shared" ref="K90:N91" si="7">K91</f>
        <v>21.8</v>
      </c>
      <c r="L90" s="24">
        <f t="shared" si="7"/>
        <v>0</v>
      </c>
      <c r="M90" s="24">
        <f t="shared" si="7"/>
        <v>21.8</v>
      </c>
      <c r="N90" s="24">
        <f t="shared" si="7"/>
        <v>21.8</v>
      </c>
    </row>
    <row r="91" spans="1:14" s="111" customFormat="1" ht="36" x14ac:dyDescent="0.35">
      <c r="A91" s="11"/>
      <c r="B91" s="529" t="s">
        <v>127</v>
      </c>
      <c r="C91" s="23" t="s">
        <v>1</v>
      </c>
      <c r="D91" s="10" t="s">
        <v>63</v>
      </c>
      <c r="E91" s="10" t="s">
        <v>88</v>
      </c>
      <c r="F91" s="689" t="s">
        <v>81</v>
      </c>
      <c r="G91" s="690" t="s">
        <v>89</v>
      </c>
      <c r="H91" s="690" t="s">
        <v>37</v>
      </c>
      <c r="I91" s="691" t="s">
        <v>90</v>
      </c>
      <c r="J91" s="10"/>
      <c r="K91" s="24">
        <f t="shared" si="7"/>
        <v>21.8</v>
      </c>
      <c r="L91" s="24">
        <f t="shared" si="7"/>
        <v>0</v>
      </c>
      <c r="M91" s="24">
        <f t="shared" si="7"/>
        <v>21.8</v>
      </c>
      <c r="N91" s="24">
        <f t="shared" si="7"/>
        <v>21.8</v>
      </c>
    </row>
    <row r="92" spans="1:14" s="111" customFormat="1" ht="54" x14ac:dyDescent="0.35">
      <c r="A92" s="11"/>
      <c r="B92" s="496" t="s">
        <v>55</v>
      </c>
      <c r="C92" s="23" t="s">
        <v>1</v>
      </c>
      <c r="D92" s="10" t="s">
        <v>63</v>
      </c>
      <c r="E92" s="10" t="s">
        <v>88</v>
      </c>
      <c r="F92" s="689" t="s">
        <v>81</v>
      </c>
      <c r="G92" s="690" t="s">
        <v>89</v>
      </c>
      <c r="H92" s="690" t="s">
        <v>37</v>
      </c>
      <c r="I92" s="691" t="s">
        <v>90</v>
      </c>
      <c r="J92" s="10" t="s">
        <v>56</v>
      </c>
      <c r="K92" s="24">
        <v>21.8</v>
      </c>
      <c r="L92" s="24">
        <f>M92-K92</f>
        <v>0</v>
      </c>
      <c r="M92" s="24">
        <v>21.8</v>
      </c>
      <c r="N92" s="24">
        <v>21.8</v>
      </c>
    </row>
    <row r="93" spans="1:14" s="111" customFormat="1" ht="54" x14ac:dyDescent="0.35">
      <c r="A93" s="11"/>
      <c r="B93" s="529" t="s">
        <v>126</v>
      </c>
      <c r="C93" s="23" t="s">
        <v>1</v>
      </c>
      <c r="D93" s="10" t="s">
        <v>63</v>
      </c>
      <c r="E93" s="10" t="s">
        <v>88</v>
      </c>
      <c r="F93" s="689" t="s">
        <v>81</v>
      </c>
      <c r="G93" s="690" t="s">
        <v>89</v>
      </c>
      <c r="H93" s="690" t="s">
        <v>39</v>
      </c>
      <c r="I93" s="691" t="s">
        <v>44</v>
      </c>
      <c r="J93" s="10"/>
      <c r="K93" s="24">
        <f t="shared" ref="K93:N94" si="8">K94</f>
        <v>1458.6</v>
      </c>
      <c r="L93" s="24">
        <f t="shared" si="8"/>
        <v>0</v>
      </c>
      <c r="M93" s="24">
        <f t="shared" si="8"/>
        <v>1458.6</v>
      </c>
      <c r="N93" s="24">
        <f t="shared" si="8"/>
        <v>1458.6</v>
      </c>
    </row>
    <row r="94" spans="1:14" s="111" customFormat="1" ht="36" x14ac:dyDescent="0.35">
      <c r="A94" s="11"/>
      <c r="B94" s="529" t="s">
        <v>127</v>
      </c>
      <c r="C94" s="23" t="s">
        <v>1</v>
      </c>
      <c r="D94" s="10" t="s">
        <v>63</v>
      </c>
      <c r="E94" s="10" t="s">
        <v>88</v>
      </c>
      <c r="F94" s="689" t="s">
        <v>81</v>
      </c>
      <c r="G94" s="690" t="s">
        <v>89</v>
      </c>
      <c r="H94" s="690" t="s">
        <v>39</v>
      </c>
      <c r="I94" s="691" t="s">
        <v>90</v>
      </c>
      <c r="J94" s="10"/>
      <c r="K94" s="24">
        <f t="shared" si="8"/>
        <v>1458.6</v>
      </c>
      <c r="L94" s="24">
        <f t="shared" si="8"/>
        <v>0</v>
      </c>
      <c r="M94" s="24">
        <f t="shared" si="8"/>
        <v>1458.6</v>
      </c>
      <c r="N94" s="24">
        <f t="shared" si="8"/>
        <v>1458.6</v>
      </c>
    </row>
    <row r="95" spans="1:14" s="111" customFormat="1" ht="54" x14ac:dyDescent="0.35">
      <c r="A95" s="11"/>
      <c r="B95" s="496" t="s">
        <v>55</v>
      </c>
      <c r="C95" s="23" t="s">
        <v>1</v>
      </c>
      <c r="D95" s="10" t="s">
        <v>63</v>
      </c>
      <c r="E95" s="10" t="s">
        <v>88</v>
      </c>
      <c r="F95" s="689" t="s">
        <v>81</v>
      </c>
      <c r="G95" s="690" t="s">
        <v>89</v>
      </c>
      <c r="H95" s="690" t="s">
        <v>39</v>
      </c>
      <c r="I95" s="691" t="s">
        <v>90</v>
      </c>
      <c r="J95" s="10" t="s">
        <v>56</v>
      </c>
      <c r="K95" s="24">
        <v>1458.6</v>
      </c>
      <c r="L95" s="24">
        <f>M95-K95</f>
        <v>0</v>
      </c>
      <c r="M95" s="24">
        <v>1458.6</v>
      </c>
      <c r="N95" s="24">
        <v>1458.6</v>
      </c>
    </row>
    <row r="96" spans="1:14" s="111" customFormat="1" ht="72" x14ac:dyDescent="0.35">
      <c r="A96" s="11"/>
      <c r="B96" s="545" t="s">
        <v>366</v>
      </c>
      <c r="C96" s="23" t="s">
        <v>1</v>
      </c>
      <c r="D96" s="10" t="s">
        <v>63</v>
      </c>
      <c r="E96" s="10" t="s">
        <v>88</v>
      </c>
      <c r="F96" s="689" t="s">
        <v>81</v>
      </c>
      <c r="G96" s="690" t="s">
        <v>30</v>
      </c>
      <c r="H96" s="690" t="s">
        <v>43</v>
      </c>
      <c r="I96" s="691" t="s">
        <v>44</v>
      </c>
      <c r="J96" s="10"/>
      <c r="K96" s="24">
        <f t="shared" ref="K96:N97" si="9">K97</f>
        <v>10854.999999999998</v>
      </c>
      <c r="L96" s="24">
        <f t="shared" si="9"/>
        <v>0</v>
      </c>
      <c r="M96" s="24">
        <f t="shared" si="9"/>
        <v>10854.999999999998</v>
      </c>
      <c r="N96" s="24">
        <f t="shared" si="9"/>
        <v>10855.999999999998</v>
      </c>
    </row>
    <row r="97" spans="1:14" s="111" customFormat="1" ht="72" x14ac:dyDescent="0.35">
      <c r="A97" s="11"/>
      <c r="B97" s="529" t="s">
        <v>321</v>
      </c>
      <c r="C97" s="23" t="s">
        <v>1</v>
      </c>
      <c r="D97" s="10" t="s">
        <v>63</v>
      </c>
      <c r="E97" s="10" t="s">
        <v>88</v>
      </c>
      <c r="F97" s="689" t="s">
        <v>81</v>
      </c>
      <c r="G97" s="690" t="s">
        <v>30</v>
      </c>
      <c r="H97" s="690" t="s">
        <v>37</v>
      </c>
      <c r="I97" s="691" t="s">
        <v>44</v>
      </c>
      <c r="J97" s="10"/>
      <c r="K97" s="24">
        <f t="shared" si="9"/>
        <v>10854.999999999998</v>
      </c>
      <c r="L97" s="24">
        <f t="shared" si="9"/>
        <v>0</v>
      </c>
      <c r="M97" s="24">
        <f t="shared" si="9"/>
        <v>10854.999999999998</v>
      </c>
      <c r="N97" s="24">
        <f t="shared" si="9"/>
        <v>10855.999999999998</v>
      </c>
    </row>
    <row r="98" spans="1:14" s="111" customFormat="1" ht="36" x14ac:dyDescent="0.35">
      <c r="A98" s="11"/>
      <c r="B98" s="574" t="s">
        <v>461</v>
      </c>
      <c r="C98" s="23" t="s">
        <v>1</v>
      </c>
      <c r="D98" s="10" t="s">
        <v>63</v>
      </c>
      <c r="E98" s="10" t="s">
        <v>88</v>
      </c>
      <c r="F98" s="689" t="s">
        <v>81</v>
      </c>
      <c r="G98" s="690" t="s">
        <v>30</v>
      </c>
      <c r="H98" s="690" t="s">
        <v>37</v>
      </c>
      <c r="I98" s="691" t="s">
        <v>91</v>
      </c>
      <c r="J98" s="10"/>
      <c r="K98" s="24">
        <f>K99+K100+K101</f>
        <v>10854.999999999998</v>
      </c>
      <c r="L98" s="24">
        <f>L99+L100+L101</f>
        <v>0</v>
      </c>
      <c r="M98" s="24">
        <f>M99+M100+M101</f>
        <v>10854.999999999998</v>
      </c>
      <c r="N98" s="24">
        <f>N99+N100+N101</f>
        <v>10855.999999999998</v>
      </c>
    </row>
    <row r="99" spans="1:14" s="111" customFormat="1" ht="108" x14ac:dyDescent="0.35">
      <c r="A99" s="11"/>
      <c r="B99" s="496" t="s">
        <v>49</v>
      </c>
      <c r="C99" s="23" t="s">
        <v>1</v>
      </c>
      <c r="D99" s="10" t="s">
        <v>63</v>
      </c>
      <c r="E99" s="10" t="s">
        <v>88</v>
      </c>
      <c r="F99" s="689" t="s">
        <v>81</v>
      </c>
      <c r="G99" s="690" t="s">
        <v>30</v>
      </c>
      <c r="H99" s="690" t="s">
        <v>37</v>
      </c>
      <c r="I99" s="691" t="s">
        <v>91</v>
      </c>
      <c r="J99" s="10" t="s">
        <v>50</v>
      </c>
      <c r="K99" s="24">
        <v>8959.9</v>
      </c>
      <c r="L99" s="24">
        <f>M99-K99</f>
        <v>0</v>
      </c>
      <c r="M99" s="24">
        <v>8959.9</v>
      </c>
      <c r="N99" s="24">
        <v>8959.9</v>
      </c>
    </row>
    <row r="100" spans="1:14" s="111" customFormat="1" ht="54" x14ac:dyDescent="0.35">
      <c r="A100" s="11"/>
      <c r="B100" s="496" t="s">
        <v>55</v>
      </c>
      <c r="C100" s="23" t="s">
        <v>1</v>
      </c>
      <c r="D100" s="10" t="s">
        <v>63</v>
      </c>
      <c r="E100" s="10" t="s">
        <v>88</v>
      </c>
      <c r="F100" s="689" t="s">
        <v>81</v>
      </c>
      <c r="G100" s="690" t="s">
        <v>30</v>
      </c>
      <c r="H100" s="690" t="s">
        <v>37</v>
      </c>
      <c r="I100" s="691" t="s">
        <v>91</v>
      </c>
      <c r="J100" s="10" t="s">
        <v>56</v>
      </c>
      <c r="K100" s="24">
        <v>1891.8</v>
      </c>
      <c r="L100" s="24">
        <f>M100-K100</f>
        <v>0</v>
      </c>
      <c r="M100" s="24">
        <v>1891.8</v>
      </c>
      <c r="N100" s="24">
        <v>1892.8</v>
      </c>
    </row>
    <row r="101" spans="1:14" s="111" customFormat="1" ht="18" x14ac:dyDescent="0.35">
      <c r="A101" s="11"/>
      <c r="B101" s="496" t="s">
        <v>57</v>
      </c>
      <c r="C101" s="23" t="s">
        <v>1</v>
      </c>
      <c r="D101" s="10" t="s">
        <v>63</v>
      </c>
      <c r="E101" s="10" t="s">
        <v>88</v>
      </c>
      <c r="F101" s="689" t="s">
        <v>81</v>
      </c>
      <c r="G101" s="690" t="s">
        <v>30</v>
      </c>
      <c r="H101" s="690" t="s">
        <v>37</v>
      </c>
      <c r="I101" s="691" t="s">
        <v>91</v>
      </c>
      <c r="J101" s="10" t="s">
        <v>58</v>
      </c>
      <c r="K101" s="24">
        <v>3.3</v>
      </c>
      <c r="L101" s="24">
        <f>M101-K101</f>
        <v>0</v>
      </c>
      <c r="M101" s="24">
        <v>3.3</v>
      </c>
      <c r="N101" s="24">
        <v>3.3</v>
      </c>
    </row>
    <row r="102" spans="1:14" s="111" customFormat="1" ht="54" x14ac:dyDescent="0.35">
      <c r="A102" s="11"/>
      <c r="B102" s="510" t="s">
        <v>487</v>
      </c>
      <c r="C102" s="23" t="s">
        <v>1</v>
      </c>
      <c r="D102" s="10" t="s">
        <v>63</v>
      </c>
      <c r="E102" s="10" t="s">
        <v>88</v>
      </c>
      <c r="F102" s="689" t="s">
        <v>81</v>
      </c>
      <c r="G102" s="690" t="s">
        <v>31</v>
      </c>
      <c r="H102" s="690" t="s">
        <v>43</v>
      </c>
      <c r="I102" s="691" t="s">
        <v>44</v>
      </c>
      <c r="J102" s="10"/>
      <c r="K102" s="24">
        <f t="shared" ref="K102:N104" si="10">K103</f>
        <v>21.8</v>
      </c>
      <c r="L102" s="24">
        <f t="shared" si="10"/>
        <v>0</v>
      </c>
      <c r="M102" s="24">
        <f t="shared" si="10"/>
        <v>21.8</v>
      </c>
      <c r="N102" s="24">
        <f t="shared" si="10"/>
        <v>21.8</v>
      </c>
    </row>
    <row r="103" spans="1:14" s="111" customFormat="1" ht="72" x14ac:dyDescent="0.35">
      <c r="A103" s="11"/>
      <c r="B103" s="511" t="s">
        <v>488</v>
      </c>
      <c r="C103" s="23" t="s">
        <v>1</v>
      </c>
      <c r="D103" s="10" t="s">
        <v>63</v>
      </c>
      <c r="E103" s="10" t="s">
        <v>88</v>
      </c>
      <c r="F103" s="689" t="s">
        <v>81</v>
      </c>
      <c r="G103" s="690" t="s">
        <v>31</v>
      </c>
      <c r="H103" s="690" t="s">
        <v>37</v>
      </c>
      <c r="I103" s="691" t="s">
        <v>44</v>
      </c>
      <c r="J103" s="10"/>
      <c r="K103" s="24">
        <f t="shared" si="10"/>
        <v>21.8</v>
      </c>
      <c r="L103" s="24">
        <f t="shared" si="10"/>
        <v>0</v>
      </c>
      <c r="M103" s="24">
        <f t="shared" si="10"/>
        <v>21.8</v>
      </c>
      <c r="N103" s="24">
        <f t="shared" si="10"/>
        <v>21.8</v>
      </c>
    </row>
    <row r="104" spans="1:14" s="111" customFormat="1" ht="54" x14ac:dyDescent="0.35">
      <c r="A104" s="11"/>
      <c r="B104" s="512" t="s">
        <v>85</v>
      </c>
      <c r="C104" s="23" t="s">
        <v>1</v>
      </c>
      <c r="D104" s="10" t="s">
        <v>63</v>
      </c>
      <c r="E104" s="10" t="s">
        <v>88</v>
      </c>
      <c r="F104" s="689" t="s">
        <v>81</v>
      </c>
      <c r="G104" s="690" t="s">
        <v>31</v>
      </c>
      <c r="H104" s="690" t="s">
        <v>37</v>
      </c>
      <c r="I104" s="691" t="s">
        <v>86</v>
      </c>
      <c r="J104" s="10"/>
      <c r="K104" s="24">
        <f t="shared" si="10"/>
        <v>21.8</v>
      </c>
      <c r="L104" s="24">
        <f t="shared" si="10"/>
        <v>0</v>
      </c>
      <c r="M104" s="24">
        <f t="shared" si="10"/>
        <v>21.8</v>
      </c>
      <c r="N104" s="24">
        <f t="shared" si="10"/>
        <v>21.8</v>
      </c>
    </row>
    <row r="105" spans="1:14" s="111" customFormat="1" ht="54" x14ac:dyDescent="0.35">
      <c r="A105" s="11"/>
      <c r="B105" s="513" t="s">
        <v>55</v>
      </c>
      <c r="C105" s="23" t="s">
        <v>1</v>
      </c>
      <c r="D105" s="10" t="s">
        <v>63</v>
      </c>
      <c r="E105" s="10" t="s">
        <v>88</v>
      </c>
      <c r="F105" s="689" t="s">
        <v>81</v>
      </c>
      <c r="G105" s="690" t="s">
        <v>31</v>
      </c>
      <c r="H105" s="690" t="s">
        <v>37</v>
      </c>
      <c r="I105" s="691" t="s">
        <v>86</v>
      </c>
      <c r="J105" s="10" t="s">
        <v>56</v>
      </c>
      <c r="K105" s="24">
        <v>21.8</v>
      </c>
      <c r="L105" s="24">
        <f>M105-K105</f>
        <v>0</v>
      </c>
      <c r="M105" s="24">
        <v>21.8</v>
      </c>
      <c r="N105" s="24">
        <v>21.8</v>
      </c>
    </row>
    <row r="106" spans="1:14" s="111" customFormat="1" ht="18" x14ac:dyDescent="0.35">
      <c r="A106" s="11"/>
      <c r="B106" s="496" t="s">
        <v>92</v>
      </c>
      <c r="C106" s="23" t="s">
        <v>1</v>
      </c>
      <c r="D106" s="10" t="s">
        <v>52</v>
      </c>
      <c r="E106" s="10"/>
      <c r="F106" s="689"/>
      <c r="G106" s="690"/>
      <c r="H106" s="690"/>
      <c r="I106" s="691"/>
      <c r="J106" s="10"/>
      <c r="K106" s="24">
        <f>K107+K116+K122</f>
        <v>27573.599999999999</v>
      </c>
      <c r="L106" s="24">
        <f>L107+L116+L122</f>
        <v>0</v>
      </c>
      <c r="M106" s="24">
        <f>M107+M116+M122</f>
        <v>27573.599999999999</v>
      </c>
      <c r="N106" s="24">
        <f>N107+N116+N122</f>
        <v>26840.6</v>
      </c>
    </row>
    <row r="107" spans="1:14" s="7" customFormat="1" ht="18" x14ac:dyDescent="0.35">
      <c r="A107" s="11"/>
      <c r="B107" s="496" t="s">
        <v>93</v>
      </c>
      <c r="C107" s="23" t="s">
        <v>1</v>
      </c>
      <c r="D107" s="10" t="s">
        <v>52</v>
      </c>
      <c r="E107" s="10" t="s">
        <v>65</v>
      </c>
      <c r="F107" s="689"/>
      <c r="G107" s="690"/>
      <c r="H107" s="690"/>
      <c r="I107" s="691"/>
      <c r="J107" s="10"/>
      <c r="K107" s="24">
        <f t="shared" ref="K107:N108" si="11">K108</f>
        <v>19075.7</v>
      </c>
      <c r="L107" s="24">
        <f t="shared" si="11"/>
        <v>0</v>
      </c>
      <c r="M107" s="24">
        <f t="shared" si="11"/>
        <v>19075.7</v>
      </c>
      <c r="N107" s="24">
        <f t="shared" si="11"/>
        <v>19075.7</v>
      </c>
    </row>
    <row r="108" spans="1:14" s="111" customFormat="1" ht="54" x14ac:dyDescent="0.35">
      <c r="A108" s="11"/>
      <c r="B108" s="496" t="s">
        <v>94</v>
      </c>
      <c r="C108" s="23" t="s">
        <v>1</v>
      </c>
      <c r="D108" s="10" t="s">
        <v>52</v>
      </c>
      <c r="E108" s="10" t="s">
        <v>65</v>
      </c>
      <c r="F108" s="689" t="s">
        <v>67</v>
      </c>
      <c r="G108" s="690" t="s">
        <v>42</v>
      </c>
      <c r="H108" s="690" t="s">
        <v>43</v>
      </c>
      <c r="I108" s="691" t="s">
        <v>44</v>
      </c>
      <c r="J108" s="10"/>
      <c r="K108" s="24">
        <f t="shared" si="11"/>
        <v>19075.7</v>
      </c>
      <c r="L108" s="24">
        <f t="shared" si="11"/>
        <v>0</v>
      </c>
      <c r="M108" s="24">
        <f t="shared" si="11"/>
        <v>19075.7</v>
      </c>
      <c r="N108" s="24">
        <f t="shared" si="11"/>
        <v>19075.7</v>
      </c>
    </row>
    <row r="109" spans="1:14" s="7" customFormat="1" ht="36" x14ac:dyDescent="0.35">
      <c r="A109" s="11"/>
      <c r="B109" s="496" t="s">
        <v>337</v>
      </c>
      <c r="C109" s="23" t="s">
        <v>1</v>
      </c>
      <c r="D109" s="10" t="s">
        <v>52</v>
      </c>
      <c r="E109" s="10" t="s">
        <v>65</v>
      </c>
      <c r="F109" s="689" t="s">
        <v>67</v>
      </c>
      <c r="G109" s="690" t="s">
        <v>45</v>
      </c>
      <c r="H109" s="690" t="s">
        <v>43</v>
      </c>
      <c r="I109" s="691" t="s">
        <v>44</v>
      </c>
      <c r="J109" s="10"/>
      <c r="K109" s="24">
        <f>K110+K113</f>
        <v>19075.7</v>
      </c>
      <c r="L109" s="24">
        <f>L110+L113</f>
        <v>0</v>
      </c>
      <c r="M109" s="24">
        <f>M110+M113</f>
        <v>19075.7</v>
      </c>
      <c r="N109" s="24">
        <f>N110+N113</f>
        <v>19075.7</v>
      </c>
    </row>
    <row r="110" spans="1:14" s="7" customFormat="1" ht="54" x14ac:dyDescent="0.35">
      <c r="A110" s="11"/>
      <c r="B110" s="496" t="s">
        <v>95</v>
      </c>
      <c r="C110" s="23" t="s">
        <v>1</v>
      </c>
      <c r="D110" s="10" t="s">
        <v>52</v>
      </c>
      <c r="E110" s="10" t="s">
        <v>65</v>
      </c>
      <c r="F110" s="689" t="s">
        <v>67</v>
      </c>
      <c r="G110" s="690" t="s">
        <v>45</v>
      </c>
      <c r="H110" s="690" t="s">
        <v>37</v>
      </c>
      <c r="I110" s="691" t="s">
        <v>44</v>
      </c>
      <c r="J110" s="10"/>
      <c r="K110" s="24">
        <f t="shared" ref="K110:N111" si="12">K111</f>
        <v>15776.9</v>
      </c>
      <c r="L110" s="24">
        <f t="shared" si="12"/>
        <v>0</v>
      </c>
      <c r="M110" s="24">
        <f t="shared" si="12"/>
        <v>15776.9</v>
      </c>
      <c r="N110" s="24">
        <f t="shared" si="12"/>
        <v>15776.9</v>
      </c>
    </row>
    <row r="111" spans="1:14" s="7" customFormat="1" ht="72" x14ac:dyDescent="0.35">
      <c r="A111" s="11"/>
      <c r="B111" s="544" t="s">
        <v>407</v>
      </c>
      <c r="C111" s="23" t="s">
        <v>1</v>
      </c>
      <c r="D111" s="10" t="s">
        <v>52</v>
      </c>
      <c r="E111" s="10" t="s">
        <v>65</v>
      </c>
      <c r="F111" s="689" t="s">
        <v>67</v>
      </c>
      <c r="G111" s="690" t="s">
        <v>45</v>
      </c>
      <c r="H111" s="690" t="s">
        <v>37</v>
      </c>
      <c r="I111" s="691" t="s">
        <v>61</v>
      </c>
      <c r="J111" s="10"/>
      <c r="K111" s="24">
        <f t="shared" si="12"/>
        <v>15776.9</v>
      </c>
      <c r="L111" s="24">
        <f t="shared" si="12"/>
        <v>0</v>
      </c>
      <c r="M111" s="24">
        <f t="shared" si="12"/>
        <v>15776.9</v>
      </c>
      <c r="N111" s="24">
        <f t="shared" si="12"/>
        <v>15776.9</v>
      </c>
    </row>
    <row r="112" spans="1:14" s="111" customFormat="1" ht="18" x14ac:dyDescent="0.35">
      <c r="A112" s="11"/>
      <c r="B112" s="496" t="s">
        <v>57</v>
      </c>
      <c r="C112" s="23" t="s">
        <v>1</v>
      </c>
      <c r="D112" s="10" t="s">
        <v>52</v>
      </c>
      <c r="E112" s="10" t="s">
        <v>65</v>
      </c>
      <c r="F112" s="689" t="s">
        <v>67</v>
      </c>
      <c r="G112" s="690" t="s">
        <v>45</v>
      </c>
      <c r="H112" s="690" t="s">
        <v>37</v>
      </c>
      <c r="I112" s="691" t="s">
        <v>61</v>
      </c>
      <c r="J112" s="10" t="s">
        <v>58</v>
      </c>
      <c r="K112" s="24">
        <v>15776.9</v>
      </c>
      <c r="L112" s="24">
        <f>M112-K112</f>
        <v>0</v>
      </c>
      <c r="M112" s="24">
        <v>15776.9</v>
      </c>
      <c r="N112" s="24">
        <v>15776.9</v>
      </c>
    </row>
    <row r="113" spans="1:14" s="7" customFormat="1" ht="54" x14ac:dyDescent="0.35">
      <c r="A113" s="11"/>
      <c r="B113" s="496" t="s">
        <v>96</v>
      </c>
      <c r="C113" s="23" t="s">
        <v>1</v>
      </c>
      <c r="D113" s="10" t="s">
        <v>52</v>
      </c>
      <c r="E113" s="10" t="s">
        <v>65</v>
      </c>
      <c r="F113" s="689" t="s">
        <v>67</v>
      </c>
      <c r="G113" s="690" t="s">
        <v>45</v>
      </c>
      <c r="H113" s="690" t="s">
        <v>39</v>
      </c>
      <c r="I113" s="691" t="s">
        <v>44</v>
      </c>
      <c r="J113" s="10"/>
      <c r="K113" s="24">
        <f t="shared" ref="K113:N114" si="13">K114</f>
        <v>3298.8</v>
      </c>
      <c r="L113" s="24">
        <f t="shared" si="13"/>
        <v>0</v>
      </c>
      <c r="M113" s="24">
        <f t="shared" si="13"/>
        <v>3298.8</v>
      </c>
      <c r="N113" s="24">
        <f t="shared" si="13"/>
        <v>3298.8</v>
      </c>
    </row>
    <row r="114" spans="1:14" s="7" customFormat="1" ht="180" x14ac:dyDescent="0.35">
      <c r="A114" s="11"/>
      <c r="B114" s="496" t="s">
        <v>522</v>
      </c>
      <c r="C114" s="23" t="s">
        <v>1</v>
      </c>
      <c r="D114" s="10" t="s">
        <v>52</v>
      </c>
      <c r="E114" s="10" t="s">
        <v>65</v>
      </c>
      <c r="F114" s="689" t="s">
        <v>67</v>
      </c>
      <c r="G114" s="690" t="s">
        <v>45</v>
      </c>
      <c r="H114" s="690" t="s">
        <v>39</v>
      </c>
      <c r="I114" s="691" t="s">
        <v>97</v>
      </c>
      <c r="J114" s="10"/>
      <c r="K114" s="24">
        <f t="shared" si="13"/>
        <v>3298.8</v>
      </c>
      <c r="L114" s="24">
        <f t="shared" si="13"/>
        <v>0</v>
      </c>
      <c r="M114" s="24">
        <f t="shared" si="13"/>
        <v>3298.8</v>
      </c>
      <c r="N114" s="24">
        <f t="shared" si="13"/>
        <v>3298.8</v>
      </c>
    </row>
    <row r="115" spans="1:14" s="111" customFormat="1" ht="54" x14ac:dyDescent="0.35">
      <c r="A115" s="11"/>
      <c r="B115" s="496" t="s">
        <v>55</v>
      </c>
      <c r="C115" s="23" t="s">
        <v>1</v>
      </c>
      <c r="D115" s="10" t="s">
        <v>52</v>
      </c>
      <c r="E115" s="10" t="s">
        <v>65</v>
      </c>
      <c r="F115" s="689" t="s">
        <v>67</v>
      </c>
      <c r="G115" s="690" t="s">
        <v>45</v>
      </c>
      <c r="H115" s="690" t="s">
        <v>39</v>
      </c>
      <c r="I115" s="691" t="s">
        <v>97</v>
      </c>
      <c r="J115" s="10" t="s">
        <v>56</v>
      </c>
      <c r="K115" s="24">
        <v>3298.8</v>
      </c>
      <c r="L115" s="24">
        <f>M115-K115</f>
        <v>0</v>
      </c>
      <c r="M115" s="24">
        <v>3298.8</v>
      </c>
      <c r="N115" s="24">
        <v>3298.8</v>
      </c>
    </row>
    <row r="116" spans="1:14" s="7" customFormat="1" ht="18" x14ac:dyDescent="0.35">
      <c r="A116" s="11"/>
      <c r="B116" s="545" t="s">
        <v>98</v>
      </c>
      <c r="C116" s="23" t="s">
        <v>1</v>
      </c>
      <c r="D116" s="10" t="s">
        <v>52</v>
      </c>
      <c r="E116" s="10" t="s">
        <v>79</v>
      </c>
      <c r="F116" s="689"/>
      <c r="G116" s="690"/>
      <c r="H116" s="690"/>
      <c r="I116" s="691"/>
      <c r="J116" s="10"/>
      <c r="K116" s="24">
        <f t="shared" ref="K116:N120" si="14">K117</f>
        <v>6181.8</v>
      </c>
      <c r="L116" s="24">
        <f t="shared" si="14"/>
        <v>0</v>
      </c>
      <c r="M116" s="24">
        <f t="shared" si="14"/>
        <v>6181.8</v>
      </c>
      <c r="N116" s="24">
        <f t="shared" si="14"/>
        <v>6648.8</v>
      </c>
    </row>
    <row r="117" spans="1:14" s="111" customFormat="1" ht="54" x14ac:dyDescent="0.35">
      <c r="A117" s="11"/>
      <c r="B117" s="496" t="s">
        <v>99</v>
      </c>
      <c r="C117" s="23" t="s">
        <v>1</v>
      </c>
      <c r="D117" s="10" t="s">
        <v>52</v>
      </c>
      <c r="E117" s="10" t="s">
        <v>79</v>
      </c>
      <c r="F117" s="689" t="s">
        <v>100</v>
      </c>
      <c r="G117" s="690" t="s">
        <v>42</v>
      </c>
      <c r="H117" s="690" t="s">
        <v>43</v>
      </c>
      <c r="I117" s="691" t="s">
        <v>44</v>
      </c>
      <c r="J117" s="10"/>
      <c r="K117" s="24">
        <f t="shared" si="14"/>
        <v>6181.8</v>
      </c>
      <c r="L117" s="24">
        <f t="shared" si="14"/>
        <v>0</v>
      </c>
      <c r="M117" s="24">
        <f t="shared" si="14"/>
        <v>6181.8</v>
      </c>
      <c r="N117" s="24">
        <f t="shared" si="14"/>
        <v>6648.8</v>
      </c>
    </row>
    <row r="118" spans="1:14" s="7" customFormat="1" ht="36" x14ac:dyDescent="0.35">
      <c r="A118" s="11"/>
      <c r="B118" s="496" t="s">
        <v>337</v>
      </c>
      <c r="C118" s="23" t="s">
        <v>1</v>
      </c>
      <c r="D118" s="10" t="s">
        <v>52</v>
      </c>
      <c r="E118" s="10" t="s">
        <v>79</v>
      </c>
      <c r="F118" s="689" t="s">
        <v>100</v>
      </c>
      <c r="G118" s="690" t="s">
        <v>45</v>
      </c>
      <c r="H118" s="690" t="s">
        <v>43</v>
      </c>
      <c r="I118" s="691" t="s">
        <v>44</v>
      </c>
      <c r="J118" s="10"/>
      <c r="K118" s="24">
        <f t="shared" si="14"/>
        <v>6181.8</v>
      </c>
      <c r="L118" s="24">
        <f t="shared" si="14"/>
        <v>0</v>
      </c>
      <c r="M118" s="24">
        <f t="shared" si="14"/>
        <v>6181.8</v>
      </c>
      <c r="N118" s="24">
        <f t="shared" si="14"/>
        <v>6648.8</v>
      </c>
    </row>
    <row r="119" spans="1:14" s="7" customFormat="1" ht="90" x14ac:dyDescent="0.35">
      <c r="A119" s="11"/>
      <c r="B119" s="496" t="s">
        <v>101</v>
      </c>
      <c r="C119" s="23" t="s">
        <v>1</v>
      </c>
      <c r="D119" s="10" t="s">
        <v>52</v>
      </c>
      <c r="E119" s="10" t="s">
        <v>79</v>
      </c>
      <c r="F119" s="689" t="s">
        <v>100</v>
      </c>
      <c r="G119" s="690" t="s">
        <v>45</v>
      </c>
      <c r="H119" s="690" t="s">
        <v>37</v>
      </c>
      <c r="I119" s="691" t="s">
        <v>44</v>
      </c>
      <c r="J119" s="10"/>
      <c r="K119" s="24">
        <f t="shared" si="14"/>
        <v>6181.8</v>
      </c>
      <c r="L119" s="24">
        <f t="shared" si="14"/>
        <v>0</v>
      </c>
      <c r="M119" s="24">
        <f t="shared" si="14"/>
        <v>6181.8</v>
      </c>
      <c r="N119" s="24">
        <f t="shared" si="14"/>
        <v>6648.8</v>
      </c>
    </row>
    <row r="120" spans="1:14" s="7" customFormat="1" ht="72" x14ac:dyDescent="0.35">
      <c r="A120" s="11"/>
      <c r="B120" s="546" t="s">
        <v>102</v>
      </c>
      <c r="C120" s="23" t="s">
        <v>1</v>
      </c>
      <c r="D120" s="10" t="s">
        <v>52</v>
      </c>
      <c r="E120" s="10" t="s">
        <v>79</v>
      </c>
      <c r="F120" s="689" t="s">
        <v>100</v>
      </c>
      <c r="G120" s="690" t="s">
        <v>45</v>
      </c>
      <c r="H120" s="690" t="s">
        <v>37</v>
      </c>
      <c r="I120" s="691" t="s">
        <v>103</v>
      </c>
      <c r="J120" s="10"/>
      <c r="K120" s="24">
        <f t="shared" si="14"/>
        <v>6181.8</v>
      </c>
      <c r="L120" s="24">
        <f t="shared" si="14"/>
        <v>0</v>
      </c>
      <c r="M120" s="24">
        <f t="shared" si="14"/>
        <v>6181.8</v>
      </c>
      <c r="N120" s="24">
        <f t="shared" si="14"/>
        <v>6648.8</v>
      </c>
    </row>
    <row r="121" spans="1:14" s="111" customFormat="1" ht="54" x14ac:dyDescent="0.35">
      <c r="A121" s="11"/>
      <c r="B121" s="496" t="s">
        <v>55</v>
      </c>
      <c r="C121" s="23" t="s">
        <v>1</v>
      </c>
      <c r="D121" s="10" t="s">
        <v>52</v>
      </c>
      <c r="E121" s="10" t="s">
        <v>79</v>
      </c>
      <c r="F121" s="689" t="s">
        <v>100</v>
      </c>
      <c r="G121" s="690" t="s">
        <v>45</v>
      </c>
      <c r="H121" s="690" t="s">
        <v>37</v>
      </c>
      <c r="I121" s="691" t="s">
        <v>103</v>
      </c>
      <c r="J121" s="10" t="s">
        <v>56</v>
      </c>
      <c r="K121" s="24">
        <v>6181.8</v>
      </c>
      <c r="L121" s="24">
        <f>M121-K121</f>
        <v>0</v>
      </c>
      <c r="M121" s="24">
        <v>6181.8</v>
      </c>
      <c r="N121" s="24">
        <v>6648.8</v>
      </c>
    </row>
    <row r="122" spans="1:14" s="7" customFormat="1" ht="36" x14ac:dyDescent="0.35">
      <c r="A122" s="11"/>
      <c r="B122" s="545" t="s">
        <v>106</v>
      </c>
      <c r="C122" s="23" t="s">
        <v>1</v>
      </c>
      <c r="D122" s="10" t="s">
        <v>52</v>
      </c>
      <c r="E122" s="10" t="s">
        <v>100</v>
      </c>
      <c r="F122" s="689"/>
      <c r="G122" s="690"/>
      <c r="H122" s="690"/>
      <c r="I122" s="691"/>
      <c r="J122" s="10"/>
      <c r="K122" s="24">
        <f t="shared" ref="K122" si="15">K123+K132+K137</f>
        <v>2316.1</v>
      </c>
      <c r="L122" s="24">
        <f>L123+L132+L137</f>
        <v>0</v>
      </c>
      <c r="M122" s="24">
        <f t="shared" ref="M122:N122" si="16">M123+M132+M137</f>
        <v>2316.1</v>
      </c>
      <c r="N122" s="24">
        <f t="shared" si="16"/>
        <v>1116.0999999999999</v>
      </c>
    </row>
    <row r="123" spans="1:14" s="111" customFormat="1" ht="72" x14ac:dyDescent="0.35">
      <c r="A123" s="11"/>
      <c r="B123" s="496" t="s">
        <v>107</v>
      </c>
      <c r="C123" s="23" t="s">
        <v>1</v>
      </c>
      <c r="D123" s="10" t="s">
        <v>52</v>
      </c>
      <c r="E123" s="10" t="s">
        <v>100</v>
      </c>
      <c r="F123" s="689" t="s">
        <v>71</v>
      </c>
      <c r="G123" s="690" t="s">
        <v>42</v>
      </c>
      <c r="H123" s="690" t="s">
        <v>43</v>
      </c>
      <c r="I123" s="691" t="s">
        <v>44</v>
      </c>
      <c r="J123" s="10"/>
      <c r="K123" s="24">
        <f>K128+K124</f>
        <v>1066.0999999999999</v>
      </c>
      <c r="L123" s="24">
        <f>L128+L124</f>
        <v>0</v>
      </c>
      <c r="M123" s="24">
        <f>M128+M124</f>
        <v>1066.0999999999999</v>
      </c>
      <c r="N123" s="24">
        <f>N128+N124</f>
        <v>1066.0999999999999</v>
      </c>
    </row>
    <row r="124" spans="1:14" s="111" customFormat="1" ht="54" x14ac:dyDescent="0.35">
      <c r="A124" s="11"/>
      <c r="B124" s="545" t="s">
        <v>108</v>
      </c>
      <c r="C124" s="23" t="s">
        <v>1</v>
      </c>
      <c r="D124" s="10" t="s">
        <v>52</v>
      </c>
      <c r="E124" s="10" t="s">
        <v>100</v>
      </c>
      <c r="F124" s="689" t="s">
        <v>71</v>
      </c>
      <c r="G124" s="690" t="s">
        <v>45</v>
      </c>
      <c r="H124" s="690" t="s">
        <v>43</v>
      </c>
      <c r="I124" s="691" t="s">
        <v>44</v>
      </c>
      <c r="J124" s="10"/>
      <c r="K124" s="24">
        <f t="shared" ref="K124:N126" si="17">K125</f>
        <v>340</v>
      </c>
      <c r="L124" s="24">
        <f t="shared" si="17"/>
        <v>0</v>
      </c>
      <c r="M124" s="24">
        <f t="shared" si="17"/>
        <v>340</v>
      </c>
      <c r="N124" s="24">
        <f t="shared" si="17"/>
        <v>340</v>
      </c>
    </row>
    <row r="125" spans="1:14" s="111" customFormat="1" ht="36" x14ac:dyDescent="0.35">
      <c r="A125" s="11"/>
      <c r="B125" s="496" t="s">
        <v>109</v>
      </c>
      <c r="C125" s="23" t="s">
        <v>1</v>
      </c>
      <c r="D125" s="10" t="s">
        <v>52</v>
      </c>
      <c r="E125" s="10" t="s">
        <v>100</v>
      </c>
      <c r="F125" s="689" t="s">
        <v>71</v>
      </c>
      <c r="G125" s="690" t="s">
        <v>45</v>
      </c>
      <c r="H125" s="690" t="s">
        <v>37</v>
      </c>
      <c r="I125" s="691" t="s">
        <v>44</v>
      </c>
      <c r="J125" s="10"/>
      <c r="K125" s="24">
        <f t="shared" si="17"/>
        <v>340</v>
      </c>
      <c r="L125" s="24">
        <f t="shared" si="17"/>
        <v>0</v>
      </c>
      <c r="M125" s="24">
        <f t="shared" si="17"/>
        <v>340</v>
      </c>
      <c r="N125" s="24">
        <f t="shared" si="17"/>
        <v>340</v>
      </c>
    </row>
    <row r="126" spans="1:14" s="111" customFormat="1" ht="36" x14ac:dyDescent="0.35">
      <c r="A126" s="11"/>
      <c r="B126" s="545" t="s">
        <v>110</v>
      </c>
      <c r="C126" s="23" t="s">
        <v>1</v>
      </c>
      <c r="D126" s="10" t="s">
        <v>52</v>
      </c>
      <c r="E126" s="10" t="s">
        <v>100</v>
      </c>
      <c r="F126" s="689" t="s">
        <v>71</v>
      </c>
      <c r="G126" s="690" t="s">
        <v>45</v>
      </c>
      <c r="H126" s="690" t="s">
        <v>37</v>
      </c>
      <c r="I126" s="691" t="s">
        <v>111</v>
      </c>
      <c r="J126" s="10"/>
      <c r="K126" s="24">
        <f t="shared" si="17"/>
        <v>340</v>
      </c>
      <c r="L126" s="24">
        <f t="shared" si="17"/>
        <v>0</v>
      </c>
      <c r="M126" s="24">
        <f t="shared" si="17"/>
        <v>340</v>
      </c>
      <c r="N126" s="24">
        <f t="shared" si="17"/>
        <v>340</v>
      </c>
    </row>
    <row r="127" spans="1:14" s="111" customFormat="1" ht="54" x14ac:dyDescent="0.35">
      <c r="A127" s="11"/>
      <c r="B127" s="496" t="s">
        <v>55</v>
      </c>
      <c r="C127" s="23" t="s">
        <v>1</v>
      </c>
      <c r="D127" s="10" t="s">
        <v>52</v>
      </c>
      <c r="E127" s="10" t="s">
        <v>100</v>
      </c>
      <c r="F127" s="689" t="s">
        <v>71</v>
      </c>
      <c r="G127" s="690" t="s">
        <v>45</v>
      </c>
      <c r="H127" s="690" t="s">
        <v>37</v>
      </c>
      <c r="I127" s="691" t="s">
        <v>111</v>
      </c>
      <c r="J127" s="10" t="s">
        <v>56</v>
      </c>
      <c r="K127" s="24">
        <v>340</v>
      </c>
      <c r="L127" s="24">
        <f>M127-K127</f>
        <v>0</v>
      </c>
      <c r="M127" s="24">
        <v>340</v>
      </c>
      <c r="N127" s="24">
        <v>340</v>
      </c>
    </row>
    <row r="128" spans="1:14" s="111" customFormat="1" ht="36" x14ac:dyDescent="0.35">
      <c r="A128" s="11"/>
      <c r="B128" s="545" t="s">
        <v>112</v>
      </c>
      <c r="C128" s="23" t="s">
        <v>1</v>
      </c>
      <c r="D128" s="10" t="s">
        <v>52</v>
      </c>
      <c r="E128" s="10" t="s">
        <v>100</v>
      </c>
      <c r="F128" s="689" t="s">
        <v>71</v>
      </c>
      <c r="G128" s="690" t="s">
        <v>89</v>
      </c>
      <c r="H128" s="690" t="s">
        <v>43</v>
      </c>
      <c r="I128" s="691" t="s">
        <v>44</v>
      </c>
      <c r="J128" s="10"/>
      <c r="K128" s="24">
        <f t="shared" ref="K128:N130" si="18">K129</f>
        <v>726.1</v>
      </c>
      <c r="L128" s="24">
        <f t="shared" si="18"/>
        <v>0</v>
      </c>
      <c r="M128" s="24">
        <f t="shared" si="18"/>
        <v>726.1</v>
      </c>
      <c r="N128" s="24">
        <f t="shared" si="18"/>
        <v>726.1</v>
      </c>
    </row>
    <row r="129" spans="1:14" s="7" customFormat="1" ht="54" x14ac:dyDescent="0.35">
      <c r="A129" s="11"/>
      <c r="B129" s="545" t="s">
        <v>113</v>
      </c>
      <c r="C129" s="23" t="s">
        <v>1</v>
      </c>
      <c r="D129" s="10" t="s">
        <v>52</v>
      </c>
      <c r="E129" s="10" t="s">
        <v>100</v>
      </c>
      <c r="F129" s="689" t="s">
        <v>71</v>
      </c>
      <c r="G129" s="690" t="s">
        <v>89</v>
      </c>
      <c r="H129" s="690" t="s">
        <v>37</v>
      </c>
      <c r="I129" s="691" t="s">
        <v>44</v>
      </c>
      <c r="J129" s="10"/>
      <c r="K129" s="24">
        <f t="shared" si="18"/>
        <v>726.1</v>
      </c>
      <c r="L129" s="24">
        <f t="shared" si="18"/>
        <v>0</v>
      </c>
      <c r="M129" s="24">
        <f t="shared" si="18"/>
        <v>726.1</v>
      </c>
      <c r="N129" s="24">
        <f t="shared" si="18"/>
        <v>726.1</v>
      </c>
    </row>
    <row r="130" spans="1:14" s="111" customFormat="1" ht="72" x14ac:dyDescent="0.35">
      <c r="A130" s="11"/>
      <c r="B130" s="545" t="s">
        <v>114</v>
      </c>
      <c r="C130" s="23" t="s">
        <v>1</v>
      </c>
      <c r="D130" s="10" t="s">
        <v>52</v>
      </c>
      <c r="E130" s="10" t="s">
        <v>100</v>
      </c>
      <c r="F130" s="689" t="s">
        <v>71</v>
      </c>
      <c r="G130" s="690" t="s">
        <v>89</v>
      </c>
      <c r="H130" s="690" t="s">
        <v>37</v>
      </c>
      <c r="I130" s="691" t="s">
        <v>115</v>
      </c>
      <c r="J130" s="10"/>
      <c r="K130" s="24">
        <f t="shared" si="18"/>
        <v>726.1</v>
      </c>
      <c r="L130" s="24">
        <f t="shared" si="18"/>
        <v>0</v>
      </c>
      <c r="M130" s="24">
        <f t="shared" si="18"/>
        <v>726.1</v>
      </c>
      <c r="N130" s="24">
        <f t="shared" si="18"/>
        <v>726.1</v>
      </c>
    </row>
    <row r="131" spans="1:14" s="7" customFormat="1" ht="54" x14ac:dyDescent="0.35">
      <c r="A131" s="11"/>
      <c r="B131" s="496" t="s">
        <v>55</v>
      </c>
      <c r="C131" s="23" t="s">
        <v>1</v>
      </c>
      <c r="D131" s="10" t="s">
        <v>52</v>
      </c>
      <c r="E131" s="10" t="s">
        <v>100</v>
      </c>
      <c r="F131" s="689" t="s">
        <v>71</v>
      </c>
      <c r="G131" s="690" t="s">
        <v>89</v>
      </c>
      <c r="H131" s="690" t="s">
        <v>37</v>
      </c>
      <c r="I131" s="691" t="s">
        <v>115</v>
      </c>
      <c r="J131" s="10" t="s">
        <v>56</v>
      </c>
      <c r="K131" s="24">
        <v>726.1</v>
      </c>
      <c r="L131" s="24">
        <f>M131-K131</f>
        <v>0</v>
      </c>
      <c r="M131" s="24">
        <v>726.1</v>
      </c>
      <c r="N131" s="24">
        <v>726.1</v>
      </c>
    </row>
    <row r="132" spans="1:14" s="111" customFormat="1" ht="72" x14ac:dyDescent="0.35">
      <c r="A132" s="11"/>
      <c r="B132" s="496" t="s">
        <v>116</v>
      </c>
      <c r="C132" s="23" t="s">
        <v>1</v>
      </c>
      <c r="D132" s="10" t="s">
        <v>52</v>
      </c>
      <c r="E132" s="10" t="s">
        <v>100</v>
      </c>
      <c r="F132" s="689" t="s">
        <v>88</v>
      </c>
      <c r="G132" s="690" t="s">
        <v>42</v>
      </c>
      <c r="H132" s="690" t="s">
        <v>43</v>
      </c>
      <c r="I132" s="691" t="s">
        <v>44</v>
      </c>
      <c r="J132" s="10"/>
      <c r="K132" s="24">
        <f t="shared" ref="K132:N133" si="19">K133</f>
        <v>50</v>
      </c>
      <c r="L132" s="24">
        <f t="shared" si="19"/>
        <v>0</v>
      </c>
      <c r="M132" s="24">
        <f t="shared" si="19"/>
        <v>50</v>
      </c>
      <c r="N132" s="24">
        <f t="shared" si="19"/>
        <v>50</v>
      </c>
    </row>
    <row r="133" spans="1:14" s="111" customFormat="1" ht="36" x14ac:dyDescent="0.35">
      <c r="A133" s="11"/>
      <c r="B133" s="496" t="s">
        <v>337</v>
      </c>
      <c r="C133" s="23" t="s">
        <v>1</v>
      </c>
      <c r="D133" s="10" t="s">
        <v>52</v>
      </c>
      <c r="E133" s="10" t="s">
        <v>100</v>
      </c>
      <c r="F133" s="689" t="s">
        <v>88</v>
      </c>
      <c r="G133" s="690" t="s">
        <v>45</v>
      </c>
      <c r="H133" s="690" t="s">
        <v>43</v>
      </c>
      <c r="I133" s="691" t="s">
        <v>44</v>
      </c>
      <c r="J133" s="10"/>
      <c r="K133" s="24">
        <f t="shared" si="19"/>
        <v>50</v>
      </c>
      <c r="L133" s="24">
        <f t="shared" si="19"/>
        <v>0</v>
      </c>
      <c r="M133" s="24">
        <f t="shared" si="19"/>
        <v>50</v>
      </c>
      <c r="N133" s="24">
        <f t="shared" si="19"/>
        <v>50</v>
      </c>
    </row>
    <row r="134" spans="1:14" s="7" customFormat="1" ht="72" x14ac:dyDescent="0.35">
      <c r="A134" s="11"/>
      <c r="B134" s="545" t="s">
        <v>306</v>
      </c>
      <c r="C134" s="23" t="s">
        <v>1</v>
      </c>
      <c r="D134" s="10" t="s">
        <v>52</v>
      </c>
      <c r="E134" s="10" t="s">
        <v>100</v>
      </c>
      <c r="F134" s="689" t="s">
        <v>88</v>
      </c>
      <c r="G134" s="690" t="s">
        <v>45</v>
      </c>
      <c r="H134" s="690" t="s">
        <v>37</v>
      </c>
      <c r="I134" s="691" t="s">
        <v>44</v>
      </c>
      <c r="J134" s="10"/>
      <c r="K134" s="24">
        <f t="shared" ref="K134:N135" si="20">K135</f>
        <v>50</v>
      </c>
      <c r="L134" s="24">
        <f t="shared" si="20"/>
        <v>0</v>
      </c>
      <c r="M134" s="24">
        <f t="shared" si="20"/>
        <v>50</v>
      </c>
      <c r="N134" s="24">
        <f t="shared" si="20"/>
        <v>50</v>
      </c>
    </row>
    <row r="135" spans="1:14" s="7" customFormat="1" ht="54" x14ac:dyDescent="0.35">
      <c r="A135" s="11"/>
      <c r="B135" s="545" t="s">
        <v>117</v>
      </c>
      <c r="C135" s="23" t="s">
        <v>1</v>
      </c>
      <c r="D135" s="10" t="s">
        <v>52</v>
      </c>
      <c r="E135" s="10" t="s">
        <v>100</v>
      </c>
      <c r="F135" s="689" t="s">
        <v>88</v>
      </c>
      <c r="G135" s="690" t="s">
        <v>45</v>
      </c>
      <c r="H135" s="690" t="s">
        <v>37</v>
      </c>
      <c r="I135" s="691" t="s">
        <v>118</v>
      </c>
      <c r="J135" s="10"/>
      <c r="K135" s="24">
        <f t="shared" si="20"/>
        <v>50</v>
      </c>
      <c r="L135" s="24">
        <f t="shared" si="20"/>
        <v>0</v>
      </c>
      <c r="M135" s="24">
        <f t="shared" si="20"/>
        <v>50</v>
      </c>
      <c r="N135" s="24">
        <f t="shared" si="20"/>
        <v>50</v>
      </c>
    </row>
    <row r="136" spans="1:14" s="7" customFormat="1" ht="54" x14ac:dyDescent="0.35">
      <c r="A136" s="11"/>
      <c r="B136" s="496" t="s">
        <v>55</v>
      </c>
      <c r="C136" s="23" t="s">
        <v>1</v>
      </c>
      <c r="D136" s="10" t="s">
        <v>52</v>
      </c>
      <c r="E136" s="10" t="s">
        <v>100</v>
      </c>
      <c r="F136" s="689" t="s">
        <v>88</v>
      </c>
      <c r="G136" s="690" t="s">
        <v>45</v>
      </c>
      <c r="H136" s="690" t="s">
        <v>37</v>
      </c>
      <c r="I136" s="691" t="s">
        <v>118</v>
      </c>
      <c r="J136" s="10" t="s">
        <v>56</v>
      </c>
      <c r="K136" s="24">
        <v>50</v>
      </c>
      <c r="L136" s="24">
        <f>M136-K136</f>
        <v>0</v>
      </c>
      <c r="M136" s="24">
        <v>50</v>
      </c>
      <c r="N136" s="24">
        <v>50</v>
      </c>
    </row>
    <row r="137" spans="1:14" s="7" customFormat="1" ht="54" x14ac:dyDescent="0.35">
      <c r="A137" s="11"/>
      <c r="B137" s="496" t="s">
        <v>40</v>
      </c>
      <c r="C137" s="23" t="s">
        <v>1</v>
      </c>
      <c r="D137" s="10" t="s">
        <v>52</v>
      </c>
      <c r="E137" s="10" t="s">
        <v>100</v>
      </c>
      <c r="F137" s="689" t="s">
        <v>41</v>
      </c>
      <c r="G137" s="690" t="s">
        <v>42</v>
      </c>
      <c r="H137" s="690" t="s">
        <v>43</v>
      </c>
      <c r="I137" s="691" t="s">
        <v>44</v>
      </c>
      <c r="J137" s="10"/>
      <c r="K137" s="24">
        <f t="shared" ref="K137:N140" si="21">K138</f>
        <v>1200</v>
      </c>
      <c r="L137" s="24">
        <f t="shared" si="21"/>
        <v>0</v>
      </c>
      <c r="M137" s="24">
        <f t="shared" si="21"/>
        <v>1200</v>
      </c>
      <c r="N137" s="24">
        <f t="shared" si="21"/>
        <v>0</v>
      </c>
    </row>
    <row r="138" spans="1:14" s="7" customFormat="1" ht="36" x14ac:dyDescent="0.35">
      <c r="A138" s="11"/>
      <c r="B138" s="496" t="s">
        <v>337</v>
      </c>
      <c r="C138" s="23" t="s">
        <v>1</v>
      </c>
      <c r="D138" s="10" t="s">
        <v>52</v>
      </c>
      <c r="E138" s="10" t="s">
        <v>100</v>
      </c>
      <c r="F138" s="689" t="s">
        <v>41</v>
      </c>
      <c r="G138" s="690" t="s">
        <v>45</v>
      </c>
      <c r="H138" s="690" t="s">
        <v>43</v>
      </c>
      <c r="I138" s="691" t="s">
        <v>44</v>
      </c>
      <c r="J138" s="10"/>
      <c r="K138" s="24">
        <f t="shared" si="21"/>
        <v>1200</v>
      </c>
      <c r="L138" s="24">
        <f t="shared" si="21"/>
        <v>0</v>
      </c>
      <c r="M138" s="24">
        <f t="shared" si="21"/>
        <v>1200</v>
      </c>
      <c r="N138" s="24">
        <f t="shared" si="21"/>
        <v>0</v>
      </c>
    </row>
    <row r="139" spans="1:14" s="7" customFormat="1" ht="54" x14ac:dyDescent="0.35">
      <c r="A139" s="11"/>
      <c r="B139" s="496" t="s">
        <v>329</v>
      </c>
      <c r="C139" s="23" t="s">
        <v>1</v>
      </c>
      <c r="D139" s="10" t="s">
        <v>52</v>
      </c>
      <c r="E139" s="10" t="s">
        <v>100</v>
      </c>
      <c r="F139" s="689" t="s">
        <v>41</v>
      </c>
      <c r="G139" s="690" t="s">
        <v>45</v>
      </c>
      <c r="H139" s="690" t="s">
        <v>88</v>
      </c>
      <c r="I139" s="691" t="s">
        <v>44</v>
      </c>
      <c r="J139" s="10"/>
      <c r="K139" s="24">
        <f t="shared" si="21"/>
        <v>1200</v>
      </c>
      <c r="L139" s="24">
        <f t="shared" si="21"/>
        <v>0</v>
      </c>
      <c r="M139" s="24">
        <f t="shared" si="21"/>
        <v>1200</v>
      </c>
      <c r="N139" s="24">
        <f t="shared" si="21"/>
        <v>0</v>
      </c>
    </row>
    <row r="140" spans="1:14" s="7" customFormat="1" ht="54" x14ac:dyDescent="0.35">
      <c r="A140" s="11"/>
      <c r="B140" s="496" t="s">
        <v>711</v>
      </c>
      <c r="C140" s="23" t="s">
        <v>1</v>
      </c>
      <c r="D140" s="10" t="s">
        <v>52</v>
      </c>
      <c r="E140" s="10" t="s">
        <v>100</v>
      </c>
      <c r="F140" s="689" t="s">
        <v>41</v>
      </c>
      <c r="G140" s="690" t="s">
        <v>45</v>
      </c>
      <c r="H140" s="690" t="s">
        <v>88</v>
      </c>
      <c r="I140" s="691" t="s">
        <v>710</v>
      </c>
      <c r="J140" s="10"/>
      <c r="K140" s="24">
        <f t="shared" si="21"/>
        <v>1200</v>
      </c>
      <c r="L140" s="24">
        <f t="shared" si="21"/>
        <v>0</v>
      </c>
      <c r="M140" s="24">
        <f t="shared" si="21"/>
        <v>1200</v>
      </c>
      <c r="N140" s="24">
        <f t="shared" si="21"/>
        <v>0</v>
      </c>
    </row>
    <row r="141" spans="1:14" s="7" customFormat="1" ht="54" x14ac:dyDescent="0.35">
      <c r="A141" s="11"/>
      <c r="B141" s="496" t="s">
        <v>55</v>
      </c>
      <c r="C141" s="23" t="s">
        <v>1</v>
      </c>
      <c r="D141" s="10" t="s">
        <v>52</v>
      </c>
      <c r="E141" s="10" t="s">
        <v>100</v>
      </c>
      <c r="F141" s="689" t="s">
        <v>41</v>
      </c>
      <c r="G141" s="690" t="s">
        <v>45</v>
      </c>
      <c r="H141" s="690" t="s">
        <v>88</v>
      </c>
      <c r="I141" s="691" t="s">
        <v>710</v>
      </c>
      <c r="J141" s="10" t="s">
        <v>56</v>
      </c>
      <c r="K141" s="24">
        <f>1164+36</f>
        <v>1200</v>
      </c>
      <c r="L141" s="24">
        <f>M141-K141</f>
        <v>0</v>
      </c>
      <c r="M141" s="24">
        <f>1164+36</f>
        <v>1200</v>
      </c>
      <c r="N141" s="24">
        <v>0</v>
      </c>
    </row>
    <row r="142" spans="1:14" s="7" customFormat="1" ht="18" x14ac:dyDescent="0.35">
      <c r="A142" s="11"/>
      <c r="B142" s="579" t="s">
        <v>177</v>
      </c>
      <c r="C142" s="23" t="s">
        <v>1</v>
      </c>
      <c r="D142" s="10" t="s">
        <v>65</v>
      </c>
      <c r="E142" s="10"/>
      <c r="F142" s="689"/>
      <c r="G142" s="690"/>
      <c r="H142" s="690"/>
      <c r="I142" s="691"/>
      <c r="J142" s="10"/>
      <c r="K142" s="24">
        <f t="shared" ref="K142:N143" si="22">K143</f>
        <v>5758.6</v>
      </c>
      <c r="L142" s="24">
        <f t="shared" si="22"/>
        <v>0</v>
      </c>
      <c r="M142" s="24">
        <f t="shared" si="22"/>
        <v>5758.6</v>
      </c>
      <c r="N142" s="24">
        <f t="shared" si="22"/>
        <v>5773.4</v>
      </c>
    </row>
    <row r="143" spans="1:14" s="7" customFormat="1" ht="18" x14ac:dyDescent="0.35">
      <c r="A143" s="11"/>
      <c r="B143" s="583" t="s">
        <v>622</v>
      </c>
      <c r="C143" s="23" t="s">
        <v>1</v>
      </c>
      <c r="D143" s="10" t="s">
        <v>65</v>
      </c>
      <c r="E143" s="10" t="s">
        <v>63</v>
      </c>
      <c r="F143" s="689"/>
      <c r="G143" s="690"/>
      <c r="H143" s="690"/>
      <c r="I143" s="691"/>
      <c r="J143" s="10"/>
      <c r="K143" s="24">
        <f t="shared" si="22"/>
        <v>5758.6</v>
      </c>
      <c r="L143" s="24">
        <f t="shared" si="22"/>
        <v>0</v>
      </c>
      <c r="M143" s="24">
        <f t="shared" si="22"/>
        <v>5758.6</v>
      </c>
      <c r="N143" s="24">
        <f t="shared" si="22"/>
        <v>5773.4</v>
      </c>
    </row>
    <row r="144" spans="1:14" s="7" customFormat="1" ht="72" x14ac:dyDescent="0.35">
      <c r="A144" s="11"/>
      <c r="B144" s="583" t="s">
        <v>623</v>
      </c>
      <c r="C144" s="23" t="s">
        <v>1</v>
      </c>
      <c r="D144" s="10" t="s">
        <v>65</v>
      </c>
      <c r="E144" s="10" t="s">
        <v>63</v>
      </c>
      <c r="F144" s="689" t="s">
        <v>104</v>
      </c>
      <c r="G144" s="690" t="s">
        <v>42</v>
      </c>
      <c r="H144" s="690" t="s">
        <v>43</v>
      </c>
      <c r="I144" s="691" t="s">
        <v>44</v>
      </c>
      <c r="J144" s="10"/>
      <c r="K144" s="24">
        <f t="shared" ref="K144:N147" si="23">K145</f>
        <v>5758.6</v>
      </c>
      <c r="L144" s="24">
        <f t="shared" si="23"/>
        <v>0</v>
      </c>
      <c r="M144" s="24">
        <f t="shared" si="23"/>
        <v>5758.6</v>
      </c>
      <c r="N144" s="24">
        <f t="shared" si="23"/>
        <v>5773.4</v>
      </c>
    </row>
    <row r="145" spans="1:14" s="7" customFormat="1" ht="54" x14ac:dyDescent="0.35">
      <c r="A145" s="11"/>
      <c r="B145" s="579" t="s">
        <v>618</v>
      </c>
      <c r="C145" s="23" t="s">
        <v>1</v>
      </c>
      <c r="D145" s="10" t="s">
        <v>65</v>
      </c>
      <c r="E145" s="10" t="s">
        <v>63</v>
      </c>
      <c r="F145" s="689" t="s">
        <v>104</v>
      </c>
      <c r="G145" s="690" t="s">
        <v>34</v>
      </c>
      <c r="H145" s="690" t="s">
        <v>43</v>
      </c>
      <c r="I145" s="691" t="s">
        <v>44</v>
      </c>
      <c r="J145" s="10"/>
      <c r="K145" s="24">
        <f t="shared" si="23"/>
        <v>5758.6</v>
      </c>
      <c r="L145" s="24">
        <f t="shared" si="23"/>
        <v>0</v>
      </c>
      <c r="M145" s="24">
        <f t="shared" si="23"/>
        <v>5758.6</v>
      </c>
      <c r="N145" s="24">
        <f t="shared" si="23"/>
        <v>5773.4</v>
      </c>
    </row>
    <row r="146" spans="1:14" s="7" customFormat="1" ht="54" x14ac:dyDescent="0.35">
      <c r="A146" s="11"/>
      <c r="B146" s="579" t="s">
        <v>619</v>
      </c>
      <c r="C146" s="23" t="s">
        <v>1</v>
      </c>
      <c r="D146" s="10" t="s">
        <v>65</v>
      </c>
      <c r="E146" s="10" t="s">
        <v>63</v>
      </c>
      <c r="F146" s="689" t="s">
        <v>104</v>
      </c>
      <c r="G146" s="690" t="s">
        <v>34</v>
      </c>
      <c r="H146" s="690" t="s">
        <v>37</v>
      </c>
      <c r="I146" s="691" t="s">
        <v>44</v>
      </c>
      <c r="J146" s="10"/>
      <c r="K146" s="24">
        <f t="shared" si="23"/>
        <v>5758.6</v>
      </c>
      <c r="L146" s="24">
        <f t="shared" si="23"/>
        <v>0</v>
      </c>
      <c r="M146" s="24">
        <f t="shared" si="23"/>
        <v>5758.6</v>
      </c>
      <c r="N146" s="24">
        <f t="shared" si="23"/>
        <v>5773.4</v>
      </c>
    </row>
    <row r="147" spans="1:14" s="7" customFormat="1" ht="36" x14ac:dyDescent="0.35">
      <c r="A147" s="11"/>
      <c r="B147" s="579" t="s">
        <v>620</v>
      </c>
      <c r="C147" s="23" t="s">
        <v>1</v>
      </c>
      <c r="D147" s="10" t="s">
        <v>65</v>
      </c>
      <c r="E147" s="10" t="s">
        <v>63</v>
      </c>
      <c r="F147" s="689" t="s">
        <v>104</v>
      </c>
      <c r="G147" s="690" t="s">
        <v>34</v>
      </c>
      <c r="H147" s="690" t="s">
        <v>37</v>
      </c>
      <c r="I147" s="691" t="s">
        <v>621</v>
      </c>
      <c r="J147" s="10"/>
      <c r="K147" s="24">
        <f t="shared" si="23"/>
        <v>5758.6</v>
      </c>
      <c r="L147" s="24">
        <f t="shared" si="23"/>
        <v>0</v>
      </c>
      <c r="M147" s="24">
        <f t="shared" si="23"/>
        <v>5758.6</v>
      </c>
      <c r="N147" s="24">
        <f t="shared" si="23"/>
        <v>5773.4</v>
      </c>
    </row>
    <row r="148" spans="1:14" s="7" customFormat="1" ht="54" x14ac:dyDescent="0.35">
      <c r="A148" s="11"/>
      <c r="B148" s="579" t="s">
        <v>55</v>
      </c>
      <c r="C148" s="23" t="s">
        <v>1</v>
      </c>
      <c r="D148" s="10" t="s">
        <v>65</v>
      </c>
      <c r="E148" s="10" t="s">
        <v>63</v>
      </c>
      <c r="F148" s="689" t="s">
        <v>104</v>
      </c>
      <c r="G148" s="690" t="s">
        <v>34</v>
      </c>
      <c r="H148" s="690" t="s">
        <v>37</v>
      </c>
      <c r="I148" s="691" t="s">
        <v>621</v>
      </c>
      <c r="J148" s="10" t="s">
        <v>56</v>
      </c>
      <c r="K148" s="24">
        <v>5758.6</v>
      </c>
      <c r="L148" s="24">
        <f>M148-K148</f>
        <v>0</v>
      </c>
      <c r="M148" s="24">
        <v>5758.6</v>
      </c>
      <c r="N148" s="24">
        <v>5773.4</v>
      </c>
    </row>
    <row r="149" spans="1:14" s="7" customFormat="1" ht="18" x14ac:dyDescent="0.35">
      <c r="A149" s="11"/>
      <c r="B149" s="496" t="s">
        <v>179</v>
      </c>
      <c r="C149" s="23" t="s">
        <v>1</v>
      </c>
      <c r="D149" s="10" t="s">
        <v>224</v>
      </c>
      <c r="E149" s="10"/>
      <c r="F149" s="689"/>
      <c r="G149" s="690"/>
      <c r="H149" s="690"/>
      <c r="I149" s="691"/>
      <c r="J149" s="10"/>
      <c r="K149" s="24">
        <f>K150</f>
        <v>91.9</v>
      </c>
      <c r="L149" s="24">
        <f>L150</f>
        <v>0</v>
      </c>
      <c r="M149" s="24">
        <f>M150</f>
        <v>91.9</v>
      </c>
      <c r="N149" s="24">
        <f>N150</f>
        <v>91.9</v>
      </c>
    </row>
    <row r="150" spans="1:14" s="7" customFormat="1" ht="36" x14ac:dyDescent="0.35">
      <c r="A150" s="11"/>
      <c r="B150" s="496" t="s">
        <v>527</v>
      </c>
      <c r="C150" s="23" t="s">
        <v>1</v>
      </c>
      <c r="D150" s="10" t="s">
        <v>224</v>
      </c>
      <c r="E150" s="10" t="s">
        <v>65</v>
      </c>
      <c r="F150" s="689"/>
      <c r="G150" s="690"/>
      <c r="H150" s="690"/>
      <c r="I150" s="691"/>
      <c r="J150" s="10"/>
      <c r="K150" s="24">
        <f t="shared" ref="K150:N154" si="24">K151</f>
        <v>91.9</v>
      </c>
      <c r="L150" s="24">
        <f t="shared" si="24"/>
        <v>0</v>
      </c>
      <c r="M150" s="24">
        <f t="shared" si="24"/>
        <v>91.9</v>
      </c>
      <c r="N150" s="24">
        <f t="shared" si="24"/>
        <v>91.9</v>
      </c>
    </row>
    <row r="151" spans="1:14" s="7" customFormat="1" ht="54" x14ac:dyDescent="0.35">
      <c r="A151" s="11"/>
      <c r="B151" s="496" t="s">
        <v>40</v>
      </c>
      <c r="C151" s="23" t="s">
        <v>1</v>
      </c>
      <c r="D151" s="10" t="s">
        <v>224</v>
      </c>
      <c r="E151" s="10" t="s">
        <v>65</v>
      </c>
      <c r="F151" s="689" t="s">
        <v>41</v>
      </c>
      <c r="G151" s="690" t="s">
        <v>42</v>
      </c>
      <c r="H151" s="690" t="s">
        <v>43</v>
      </c>
      <c r="I151" s="691" t="s">
        <v>44</v>
      </c>
      <c r="J151" s="10"/>
      <c r="K151" s="24">
        <f t="shared" si="24"/>
        <v>91.9</v>
      </c>
      <c r="L151" s="24">
        <f t="shared" si="24"/>
        <v>0</v>
      </c>
      <c r="M151" s="24">
        <f t="shared" si="24"/>
        <v>91.9</v>
      </c>
      <c r="N151" s="24">
        <f t="shared" si="24"/>
        <v>91.9</v>
      </c>
    </row>
    <row r="152" spans="1:14" s="7" customFormat="1" ht="36" x14ac:dyDescent="0.35">
      <c r="A152" s="11"/>
      <c r="B152" s="496" t="s">
        <v>337</v>
      </c>
      <c r="C152" s="23" t="s">
        <v>1</v>
      </c>
      <c r="D152" s="10" t="s">
        <v>224</v>
      </c>
      <c r="E152" s="10" t="s">
        <v>65</v>
      </c>
      <c r="F152" s="689" t="s">
        <v>41</v>
      </c>
      <c r="G152" s="690" t="s">
        <v>45</v>
      </c>
      <c r="H152" s="690" t="s">
        <v>43</v>
      </c>
      <c r="I152" s="691" t="s">
        <v>44</v>
      </c>
      <c r="J152" s="10"/>
      <c r="K152" s="24">
        <f t="shared" si="24"/>
        <v>91.9</v>
      </c>
      <c r="L152" s="24">
        <f t="shared" si="24"/>
        <v>0</v>
      </c>
      <c r="M152" s="24">
        <f t="shared" si="24"/>
        <v>91.9</v>
      </c>
      <c r="N152" s="24">
        <f t="shared" si="24"/>
        <v>91.9</v>
      </c>
    </row>
    <row r="153" spans="1:14" s="7" customFormat="1" ht="18" x14ac:dyDescent="0.35">
      <c r="A153" s="11"/>
      <c r="B153" s="496" t="s">
        <v>62</v>
      </c>
      <c r="C153" s="23" t="s">
        <v>1</v>
      </c>
      <c r="D153" s="10" t="s">
        <v>224</v>
      </c>
      <c r="E153" s="10" t="s">
        <v>65</v>
      </c>
      <c r="F153" s="689" t="s">
        <v>41</v>
      </c>
      <c r="G153" s="690" t="s">
        <v>45</v>
      </c>
      <c r="H153" s="690" t="s">
        <v>63</v>
      </c>
      <c r="I153" s="691" t="s">
        <v>44</v>
      </c>
      <c r="J153" s="10"/>
      <c r="K153" s="24">
        <f t="shared" si="24"/>
        <v>91.9</v>
      </c>
      <c r="L153" s="24">
        <f t="shared" si="24"/>
        <v>0</v>
      </c>
      <c r="M153" s="24">
        <f t="shared" si="24"/>
        <v>91.9</v>
      </c>
      <c r="N153" s="24">
        <f t="shared" si="24"/>
        <v>91.9</v>
      </c>
    </row>
    <row r="154" spans="1:14" s="7" customFormat="1" ht="36" x14ac:dyDescent="0.35">
      <c r="A154" s="11"/>
      <c r="B154" s="496" t="s">
        <v>529</v>
      </c>
      <c r="C154" s="23" t="s">
        <v>1</v>
      </c>
      <c r="D154" s="10" t="s">
        <v>224</v>
      </c>
      <c r="E154" s="10" t="s">
        <v>65</v>
      </c>
      <c r="F154" s="689" t="s">
        <v>41</v>
      </c>
      <c r="G154" s="690" t="s">
        <v>45</v>
      </c>
      <c r="H154" s="690" t="s">
        <v>63</v>
      </c>
      <c r="I154" s="691" t="s">
        <v>528</v>
      </c>
      <c r="J154" s="10"/>
      <c r="K154" s="24">
        <f t="shared" si="24"/>
        <v>91.9</v>
      </c>
      <c r="L154" s="24">
        <f t="shared" si="24"/>
        <v>0</v>
      </c>
      <c r="M154" s="24">
        <f t="shared" si="24"/>
        <v>91.9</v>
      </c>
      <c r="N154" s="24">
        <f t="shared" si="24"/>
        <v>91.9</v>
      </c>
    </row>
    <row r="155" spans="1:14" s="7" customFormat="1" ht="54" x14ac:dyDescent="0.35">
      <c r="A155" s="11"/>
      <c r="B155" s="496" t="s">
        <v>55</v>
      </c>
      <c r="C155" s="23" t="s">
        <v>1</v>
      </c>
      <c r="D155" s="10" t="s">
        <v>224</v>
      </c>
      <c r="E155" s="10" t="s">
        <v>65</v>
      </c>
      <c r="F155" s="689" t="s">
        <v>41</v>
      </c>
      <c r="G155" s="690" t="s">
        <v>45</v>
      </c>
      <c r="H155" s="690" t="s">
        <v>63</v>
      </c>
      <c r="I155" s="691" t="s">
        <v>528</v>
      </c>
      <c r="J155" s="10" t="s">
        <v>56</v>
      </c>
      <c r="K155" s="24">
        <v>91.9</v>
      </c>
      <c r="L155" s="24">
        <f>M155-K155</f>
        <v>0</v>
      </c>
      <c r="M155" s="24">
        <v>91.9</v>
      </c>
      <c r="N155" s="24">
        <v>91.9</v>
      </c>
    </row>
    <row r="156" spans="1:14" s="111" customFormat="1" ht="18" x14ac:dyDescent="0.35">
      <c r="A156" s="11"/>
      <c r="B156" s="496" t="s">
        <v>119</v>
      </c>
      <c r="C156" s="23" t="s">
        <v>1</v>
      </c>
      <c r="D156" s="10" t="s">
        <v>104</v>
      </c>
      <c r="E156" s="10"/>
      <c r="F156" s="689"/>
      <c r="G156" s="690"/>
      <c r="H156" s="690"/>
      <c r="I156" s="691"/>
      <c r="J156" s="10"/>
      <c r="K156" s="24">
        <f>K157+K163</f>
        <v>2431.1999999999998</v>
      </c>
      <c r="L156" s="24">
        <f>L157+L163</f>
        <v>0</v>
      </c>
      <c r="M156" s="24">
        <f>M157+M163</f>
        <v>2431.1999999999998</v>
      </c>
      <c r="N156" s="24">
        <f>N157+N163</f>
        <v>2431.1999999999998</v>
      </c>
    </row>
    <row r="157" spans="1:14" s="111" customFormat="1" ht="18" x14ac:dyDescent="0.35">
      <c r="A157" s="11"/>
      <c r="B157" s="496" t="s">
        <v>353</v>
      </c>
      <c r="C157" s="23" t="s">
        <v>1</v>
      </c>
      <c r="D157" s="10" t="s">
        <v>104</v>
      </c>
      <c r="E157" s="10" t="s">
        <v>37</v>
      </c>
      <c r="F157" s="689"/>
      <c r="G157" s="690"/>
      <c r="H157" s="690"/>
      <c r="I157" s="691"/>
      <c r="J157" s="10"/>
      <c r="K157" s="24">
        <f t="shared" ref="K157:N161" si="25">K158</f>
        <v>1320</v>
      </c>
      <c r="L157" s="24">
        <f t="shared" si="25"/>
        <v>0</v>
      </c>
      <c r="M157" s="24">
        <f t="shared" si="25"/>
        <v>1320</v>
      </c>
      <c r="N157" s="24">
        <f t="shared" si="25"/>
        <v>1320</v>
      </c>
    </row>
    <row r="158" spans="1:14" s="111" customFormat="1" ht="54" x14ac:dyDescent="0.35">
      <c r="A158" s="11"/>
      <c r="B158" s="548" t="s">
        <v>294</v>
      </c>
      <c r="C158" s="23" t="s">
        <v>1</v>
      </c>
      <c r="D158" s="10" t="s">
        <v>104</v>
      </c>
      <c r="E158" s="10" t="s">
        <v>37</v>
      </c>
      <c r="F158" s="689" t="s">
        <v>79</v>
      </c>
      <c r="G158" s="690" t="s">
        <v>42</v>
      </c>
      <c r="H158" s="690" t="s">
        <v>43</v>
      </c>
      <c r="I158" s="691" t="s">
        <v>44</v>
      </c>
      <c r="J158" s="10"/>
      <c r="K158" s="24">
        <f t="shared" si="25"/>
        <v>1320</v>
      </c>
      <c r="L158" s="24">
        <f t="shared" si="25"/>
        <v>0</v>
      </c>
      <c r="M158" s="24">
        <f t="shared" si="25"/>
        <v>1320</v>
      </c>
      <c r="N158" s="24">
        <f t="shared" si="25"/>
        <v>1320</v>
      </c>
    </row>
    <row r="159" spans="1:14" s="111" customFormat="1" ht="36" x14ac:dyDescent="0.35">
      <c r="A159" s="11"/>
      <c r="B159" s="496" t="s">
        <v>337</v>
      </c>
      <c r="C159" s="23" t="s">
        <v>1</v>
      </c>
      <c r="D159" s="10" t="s">
        <v>104</v>
      </c>
      <c r="E159" s="10" t="s">
        <v>37</v>
      </c>
      <c r="F159" s="689" t="s">
        <v>79</v>
      </c>
      <c r="G159" s="690" t="s">
        <v>45</v>
      </c>
      <c r="H159" s="690" t="s">
        <v>43</v>
      </c>
      <c r="I159" s="691" t="s">
        <v>44</v>
      </c>
      <c r="J159" s="10"/>
      <c r="K159" s="24">
        <f t="shared" si="25"/>
        <v>1320</v>
      </c>
      <c r="L159" s="24">
        <f t="shared" si="25"/>
        <v>0</v>
      </c>
      <c r="M159" s="24">
        <f t="shared" si="25"/>
        <v>1320</v>
      </c>
      <c r="N159" s="24">
        <f t="shared" si="25"/>
        <v>1320</v>
      </c>
    </row>
    <row r="160" spans="1:14" s="111" customFormat="1" ht="90" x14ac:dyDescent="0.35">
      <c r="A160" s="11"/>
      <c r="B160" s="529" t="s">
        <v>446</v>
      </c>
      <c r="C160" s="23" t="s">
        <v>1</v>
      </c>
      <c r="D160" s="10" t="s">
        <v>104</v>
      </c>
      <c r="E160" s="10" t="s">
        <v>37</v>
      </c>
      <c r="F160" s="689" t="s">
        <v>79</v>
      </c>
      <c r="G160" s="690" t="s">
        <v>45</v>
      </c>
      <c r="H160" s="690" t="s">
        <v>52</v>
      </c>
      <c r="I160" s="691" t="s">
        <v>44</v>
      </c>
      <c r="J160" s="10"/>
      <c r="K160" s="24">
        <f t="shared" si="25"/>
        <v>1320</v>
      </c>
      <c r="L160" s="24">
        <f t="shared" si="25"/>
        <v>0</v>
      </c>
      <c r="M160" s="24">
        <f t="shared" si="25"/>
        <v>1320</v>
      </c>
      <c r="N160" s="24">
        <f t="shared" si="25"/>
        <v>1320</v>
      </c>
    </row>
    <row r="161" spans="1:14" s="111" customFormat="1" ht="72" x14ac:dyDescent="0.35">
      <c r="A161" s="11"/>
      <c r="B161" s="529" t="s">
        <v>440</v>
      </c>
      <c r="C161" s="23" t="s">
        <v>1</v>
      </c>
      <c r="D161" s="10" t="s">
        <v>104</v>
      </c>
      <c r="E161" s="10" t="s">
        <v>37</v>
      </c>
      <c r="F161" s="689" t="s">
        <v>79</v>
      </c>
      <c r="G161" s="690" t="s">
        <v>45</v>
      </c>
      <c r="H161" s="690" t="s">
        <v>52</v>
      </c>
      <c r="I161" s="691" t="s">
        <v>354</v>
      </c>
      <c r="J161" s="10"/>
      <c r="K161" s="24">
        <f t="shared" si="25"/>
        <v>1320</v>
      </c>
      <c r="L161" s="24">
        <f t="shared" si="25"/>
        <v>0</v>
      </c>
      <c r="M161" s="24">
        <f t="shared" si="25"/>
        <v>1320</v>
      </c>
      <c r="N161" s="24">
        <f t="shared" si="25"/>
        <v>1320</v>
      </c>
    </row>
    <row r="162" spans="1:14" s="111" customFormat="1" ht="36" x14ac:dyDescent="0.35">
      <c r="A162" s="11"/>
      <c r="B162" s="503" t="s">
        <v>120</v>
      </c>
      <c r="C162" s="23" t="s">
        <v>1</v>
      </c>
      <c r="D162" s="10" t="s">
        <v>104</v>
      </c>
      <c r="E162" s="10" t="s">
        <v>37</v>
      </c>
      <c r="F162" s="689" t="s">
        <v>79</v>
      </c>
      <c r="G162" s="690" t="s">
        <v>45</v>
      </c>
      <c r="H162" s="690" t="s">
        <v>52</v>
      </c>
      <c r="I162" s="691" t="s">
        <v>354</v>
      </c>
      <c r="J162" s="10" t="s">
        <v>121</v>
      </c>
      <c r="K162" s="24">
        <v>1320</v>
      </c>
      <c r="L162" s="24">
        <f>M162-K162</f>
        <v>0</v>
      </c>
      <c r="M162" s="24">
        <v>1320</v>
      </c>
      <c r="N162" s="24">
        <v>1320</v>
      </c>
    </row>
    <row r="163" spans="1:14" s="111" customFormat="1" ht="36" x14ac:dyDescent="0.35">
      <c r="A163" s="11"/>
      <c r="B163" s="496" t="s">
        <v>122</v>
      </c>
      <c r="C163" s="23" t="s">
        <v>1</v>
      </c>
      <c r="D163" s="10" t="s">
        <v>104</v>
      </c>
      <c r="E163" s="10" t="s">
        <v>81</v>
      </c>
      <c r="F163" s="689"/>
      <c r="G163" s="690"/>
      <c r="H163" s="690"/>
      <c r="I163" s="691"/>
      <c r="J163" s="10"/>
      <c r="K163" s="24">
        <f t="shared" ref="K163:M166" si="26">K164</f>
        <v>1111.2</v>
      </c>
      <c r="L163" s="24">
        <f t="shared" si="26"/>
        <v>0</v>
      </c>
      <c r="M163" s="24">
        <f t="shared" si="26"/>
        <v>1111.2</v>
      </c>
      <c r="N163" s="24">
        <f>N164</f>
        <v>1111.2</v>
      </c>
    </row>
    <row r="164" spans="1:14" s="111" customFormat="1" ht="72" x14ac:dyDescent="0.35">
      <c r="A164" s="11"/>
      <c r="B164" s="496" t="s">
        <v>72</v>
      </c>
      <c r="C164" s="23" t="s">
        <v>1</v>
      </c>
      <c r="D164" s="10" t="s">
        <v>104</v>
      </c>
      <c r="E164" s="10" t="s">
        <v>81</v>
      </c>
      <c r="F164" s="689" t="s">
        <v>73</v>
      </c>
      <c r="G164" s="690" t="s">
        <v>42</v>
      </c>
      <c r="H164" s="690" t="s">
        <v>43</v>
      </c>
      <c r="I164" s="691" t="s">
        <v>44</v>
      </c>
      <c r="J164" s="10"/>
      <c r="K164" s="24">
        <f t="shared" si="26"/>
        <v>1111.2</v>
      </c>
      <c r="L164" s="24">
        <f t="shared" si="26"/>
        <v>0</v>
      </c>
      <c r="M164" s="24">
        <f t="shared" si="26"/>
        <v>1111.2</v>
      </c>
      <c r="N164" s="24">
        <f>N165</f>
        <v>1111.2</v>
      </c>
    </row>
    <row r="165" spans="1:14" s="111" customFormat="1" ht="36" x14ac:dyDescent="0.35">
      <c r="A165" s="11"/>
      <c r="B165" s="496" t="s">
        <v>337</v>
      </c>
      <c r="C165" s="23" t="s">
        <v>1</v>
      </c>
      <c r="D165" s="10" t="s">
        <v>104</v>
      </c>
      <c r="E165" s="10" t="s">
        <v>81</v>
      </c>
      <c r="F165" s="689" t="s">
        <v>73</v>
      </c>
      <c r="G165" s="690" t="s">
        <v>45</v>
      </c>
      <c r="H165" s="690" t="s">
        <v>43</v>
      </c>
      <c r="I165" s="691" t="s">
        <v>44</v>
      </c>
      <c r="J165" s="10"/>
      <c r="K165" s="24">
        <f t="shared" si="26"/>
        <v>1111.2</v>
      </c>
      <c r="L165" s="24">
        <f t="shared" si="26"/>
        <v>0</v>
      </c>
      <c r="M165" s="24">
        <f t="shared" si="26"/>
        <v>1111.2</v>
      </c>
      <c r="N165" s="24">
        <f>N166</f>
        <v>1111.2</v>
      </c>
    </row>
    <row r="166" spans="1:14" s="111" customFormat="1" ht="54" x14ac:dyDescent="0.35">
      <c r="A166" s="11"/>
      <c r="B166" s="529" t="s">
        <v>265</v>
      </c>
      <c r="C166" s="23" t="s">
        <v>1</v>
      </c>
      <c r="D166" s="10" t="s">
        <v>104</v>
      </c>
      <c r="E166" s="10" t="s">
        <v>81</v>
      </c>
      <c r="F166" s="689" t="s">
        <v>73</v>
      </c>
      <c r="G166" s="690" t="s">
        <v>45</v>
      </c>
      <c r="H166" s="690" t="s">
        <v>37</v>
      </c>
      <c r="I166" s="691" t="s">
        <v>44</v>
      </c>
      <c r="J166" s="10"/>
      <c r="K166" s="24">
        <f t="shared" si="26"/>
        <v>1111.2</v>
      </c>
      <c r="L166" s="24">
        <f t="shared" si="26"/>
        <v>0</v>
      </c>
      <c r="M166" s="24">
        <f t="shared" si="26"/>
        <v>1111.2</v>
      </c>
      <c r="N166" s="24">
        <f>N167</f>
        <v>1111.2</v>
      </c>
    </row>
    <row r="167" spans="1:14" s="111" customFormat="1" ht="54" x14ac:dyDescent="0.35">
      <c r="A167" s="11"/>
      <c r="B167" s="529" t="s">
        <v>74</v>
      </c>
      <c r="C167" s="23" t="s">
        <v>1</v>
      </c>
      <c r="D167" s="10" t="s">
        <v>104</v>
      </c>
      <c r="E167" s="10" t="s">
        <v>81</v>
      </c>
      <c r="F167" s="689" t="s">
        <v>73</v>
      </c>
      <c r="G167" s="690" t="s">
        <v>45</v>
      </c>
      <c r="H167" s="690" t="s">
        <v>37</v>
      </c>
      <c r="I167" s="691" t="s">
        <v>75</v>
      </c>
      <c r="J167" s="10"/>
      <c r="K167" s="24">
        <f>K168</f>
        <v>1111.2</v>
      </c>
      <c r="L167" s="24">
        <f>L168</f>
        <v>0</v>
      </c>
      <c r="M167" s="24">
        <f>M168</f>
        <v>1111.2</v>
      </c>
      <c r="N167" s="24">
        <f>N168</f>
        <v>1111.2</v>
      </c>
    </row>
    <row r="168" spans="1:14" s="111" customFormat="1" ht="54" x14ac:dyDescent="0.35">
      <c r="A168" s="11"/>
      <c r="B168" s="503" t="s">
        <v>76</v>
      </c>
      <c r="C168" s="23" t="s">
        <v>1</v>
      </c>
      <c r="D168" s="10" t="s">
        <v>104</v>
      </c>
      <c r="E168" s="10" t="s">
        <v>81</v>
      </c>
      <c r="F168" s="689" t="s">
        <v>73</v>
      </c>
      <c r="G168" s="690" t="s">
        <v>45</v>
      </c>
      <c r="H168" s="690" t="s">
        <v>37</v>
      </c>
      <c r="I168" s="691" t="s">
        <v>75</v>
      </c>
      <c r="J168" s="10" t="s">
        <v>77</v>
      </c>
      <c r="K168" s="24">
        <v>1111.2</v>
      </c>
      <c r="L168" s="24">
        <f>M168-K168</f>
        <v>0</v>
      </c>
      <c r="M168" s="24">
        <v>1111.2</v>
      </c>
      <c r="N168" s="24">
        <v>1111.2</v>
      </c>
    </row>
    <row r="169" spans="1:14" s="111" customFormat="1" ht="18" x14ac:dyDescent="0.35">
      <c r="A169" s="11"/>
      <c r="B169" s="503"/>
      <c r="C169" s="23"/>
      <c r="D169" s="10"/>
      <c r="E169" s="10"/>
      <c r="F169" s="689"/>
      <c r="G169" s="690"/>
      <c r="H169" s="690"/>
      <c r="I169" s="691"/>
      <c r="J169" s="10"/>
      <c r="K169" s="24"/>
      <c r="L169" s="24"/>
      <c r="M169" s="24"/>
      <c r="N169" s="24"/>
    </row>
    <row r="170" spans="1:14" ht="52.2" x14ac:dyDescent="0.3">
      <c r="A170" s="110">
        <v>2</v>
      </c>
      <c r="B170" s="543" t="s">
        <v>2</v>
      </c>
      <c r="C170" s="18" t="s">
        <v>301</v>
      </c>
      <c r="D170" s="19"/>
      <c r="E170" s="19"/>
      <c r="F170" s="20"/>
      <c r="G170" s="21"/>
      <c r="H170" s="21"/>
      <c r="I170" s="22"/>
      <c r="J170" s="19"/>
      <c r="K170" s="32">
        <f>K171+K196+K189</f>
        <v>41658.699999999997</v>
      </c>
      <c r="L170" s="32">
        <f>L171+L196+L189</f>
        <v>0</v>
      </c>
      <c r="M170" s="32">
        <f>M171+M196+M189</f>
        <v>41658.699999999997</v>
      </c>
      <c r="N170" s="32">
        <f>N171+N196+N189</f>
        <v>41669.199999999997</v>
      </c>
    </row>
    <row r="171" spans="1:14" s="115" customFormat="1" ht="18" x14ac:dyDescent="0.35">
      <c r="A171" s="11"/>
      <c r="B171" s="496" t="s">
        <v>36</v>
      </c>
      <c r="C171" s="23" t="s">
        <v>301</v>
      </c>
      <c r="D171" s="10" t="s">
        <v>37</v>
      </c>
      <c r="E171" s="10"/>
      <c r="F171" s="689"/>
      <c r="G171" s="690"/>
      <c r="H171" s="690"/>
      <c r="I171" s="691"/>
      <c r="J171" s="10"/>
      <c r="K171" s="24">
        <f>K172+K180</f>
        <v>34059.899999999994</v>
      </c>
      <c r="L171" s="24">
        <f>L172+L180</f>
        <v>0</v>
      </c>
      <c r="M171" s="24">
        <f>M172+M180</f>
        <v>34059.899999999994</v>
      </c>
      <c r="N171" s="24">
        <f>N172+N180</f>
        <v>34070.399999999994</v>
      </c>
    </row>
    <row r="172" spans="1:14" s="116" customFormat="1" ht="72" x14ac:dyDescent="0.35">
      <c r="A172" s="11"/>
      <c r="B172" s="496" t="s">
        <v>129</v>
      </c>
      <c r="C172" s="23" t="s">
        <v>301</v>
      </c>
      <c r="D172" s="10" t="s">
        <v>37</v>
      </c>
      <c r="E172" s="10" t="s">
        <v>81</v>
      </c>
      <c r="F172" s="689"/>
      <c r="G172" s="690"/>
      <c r="H172" s="690"/>
      <c r="I172" s="691"/>
      <c r="J172" s="10"/>
      <c r="K172" s="24">
        <f t="shared" ref="K172:N175" si="27">K173</f>
        <v>31235.499999999996</v>
      </c>
      <c r="L172" s="24">
        <f t="shared" si="27"/>
        <v>0</v>
      </c>
      <c r="M172" s="24">
        <f t="shared" si="27"/>
        <v>31235.499999999996</v>
      </c>
      <c r="N172" s="24">
        <f t="shared" si="27"/>
        <v>31236.199999999997</v>
      </c>
    </row>
    <row r="173" spans="1:14" s="111" customFormat="1" ht="54" x14ac:dyDescent="0.35">
      <c r="A173" s="11"/>
      <c r="B173" s="496" t="s">
        <v>223</v>
      </c>
      <c r="C173" s="23" t="s">
        <v>301</v>
      </c>
      <c r="D173" s="10" t="s">
        <v>37</v>
      </c>
      <c r="E173" s="10" t="s">
        <v>81</v>
      </c>
      <c r="F173" s="689" t="s">
        <v>224</v>
      </c>
      <c r="G173" s="690" t="s">
        <v>42</v>
      </c>
      <c r="H173" s="690" t="s">
        <v>43</v>
      </c>
      <c r="I173" s="691" t="s">
        <v>44</v>
      </c>
      <c r="J173" s="10"/>
      <c r="K173" s="24">
        <f t="shared" si="27"/>
        <v>31235.499999999996</v>
      </c>
      <c r="L173" s="24">
        <f t="shared" si="27"/>
        <v>0</v>
      </c>
      <c r="M173" s="24">
        <f t="shared" si="27"/>
        <v>31235.499999999996</v>
      </c>
      <c r="N173" s="24">
        <f t="shared" si="27"/>
        <v>31236.199999999997</v>
      </c>
    </row>
    <row r="174" spans="1:14" s="111" customFormat="1" ht="36" x14ac:dyDescent="0.35">
      <c r="A174" s="11"/>
      <c r="B174" s="496" t="s">
        <v>337</v>
      </c>
      <c r="C174" s="23" t="s">
        <v>301</v>
      </c>
      <c r="D174" s="10" t="s">
        <v>37</v>
      </c>
      <c r="E174" s="10" t="s">
        <v>81</v>
      </c>
      <c r="F174" s="25" t="s">
        <v>224</v>
      </c>
      <c r="G174" s="26" t="s">
        <v>45</v>
      </c>
      <c r="H174" s="690" t="s">
        <v>43</v>
      </c>
      <c r="I174" s="691" t="s">
        <v>44</v>
      </c>
      <c r="J174" s="10"/>
      <c r="K174" s="24">
        <f>K175</f>
        <v>31235.499999999996</v>
      </c>
      <c r="L174" s="24">
        <f>L175</f>
        <v>0</v>
      </c>
      <c r="M174" s="24">
        <f>M175</f>
        <v>31235.499999999996</v>
      </c>
      <c r="N174" s="24">
        <f>N175</f>
        <v>31236.199999999997</v>
      </c>
    </row>
    <row r="175" spans="1:14" s="111" customFormat="1" ht="54" x14ac:dyDescent="0.35">
      <c r="A175" s="11"/>
      <c r="B175" s="496" t="s">
        <v>302</v>
      </c>
      <c r="C175" s="23" t="s">
        <v>301</v>
      </c>
      <c r="D175" s="10" t="s">
        <v>37</v>
      </c>
      <c r="E175" s="10" t="s">
        <v>81</v>
      </c>
      <c r="F175" s="25" t="s">
        <v>224</v>
      </c>
      <c r="G175" s="26" t="s">
        <v>45</v>
      </c>
      <c r="H175" s="690" t="s">
        <v>37</v>
      </c>
      <c r="I175" s="691" t="s">
        <v>44</v>
      </c>
      <c r="J175" s="10"/>
      <c r="K175" s="24">
        <f t="shared" si="27"/>
        <v>31235.499999999996</v>
      </c>
      <c r="L175" s="24">
        <f t="shared" si="27"/>
        <v>0</v>
      </c>
      <c r="M175" s="24">
        <f t="shared" si="27"/>
        <v>31235.499999999996</v>
      </c>
      <c r="N175" s="24">
        <f t="shared" si="27"/>
        <v>31236.199999999997</v>
      </c>
    </row>
    <row r="176" spans="1:14" s="111" customFormat="1" ht="36" x14ac:dyDescent="0.35">
      <c r="A176" s="11"/>
      <c r="B176" s="496" t="s">
        <v>47</v>
      </c>
      <c r="C176" s="23" t="s">
        <v>301</v>
      </c>
      <c r="D176" s="10" t="s">
        <v>37</v>
      </c>
      <c r="E176" s="10" t="s">
        <v>81</v>
      </c>
      <c r="F176" s="25" t="s">
        <v>224</v>
      </c>
      <c r="G176" s="26" t="s">
        <v>45</v>
      </c>
      <c r="H176" s="690" t="s">
        <v>37</v>
      </c>
      <c r="I176" s="691" t="s">
        <v>48</v>
      </c>
      <c r="J176" s="10"/>
      <c r="K176" s="24">
        <f>SUM(K177:K179)</f>
        <v>31235.499999999996</v>
      </c>
      <c r="L176" s="24">
        <f>SUM(L177:L179)</f>
        <v>0</v>
      </c>
      <c r="M176" s="24">
        <f>SUM(M177:M179)</f>
        <v>31235.499999999996</v>
      </c>
      <c r="N176" s="24">
        <f>SUM(N177:N179)</f>
        <v>31236.199999999997</v>
      </c>
    </row>
    <row r="177" spans="1:14" s="111" customFormat="1" ht="108" x14ac:dyDescent="0.35">
      <c r="A177" s="11"/>
      <c r="B177" s="496" t="s">
        <v>49</v>
      </c>
      <c r="C177" s="23" t="s">
        <v>301</v>
      </c>
      <c r="D177" s="10" t="s">
        <v>37</v>
      </c>
      <c r="E177" s="10" t="s">
        <v>81</v>
      </c>
      <c r="F177" s="25" t="s">
        <v>224</v>
      </c>
      <c r="G177" s="26" t="s">
        <v>45</v>
      </c>
      <c r="H177" s="690" t="s">
        <v>37</v>
      </c>
      <c r="I177" s="691" t="s">
        <v>48</v>
      </c>
      <c r="J177" s="10" t="s">
        <v>50</v>
      </c>
      <c r="K177" s="24">
        <v>30515.599999999999</v>
      </c>
      <c r="L177" s="24">
        <f>M177-K177</f>
        <v>0</v>
      </c>
      <c r="M177" s="24">
        <v>30515.599999999999</v>
      </c>
      <c r="N177" s="24">
        <v>30515.599999999999</v>
      </c>
    </row>
    <row r="178" spans="1:14" s="111" customFormat="1" ht="54" x14ac:dyDescent="0.35">
      <c r="A178" s="11"/>
      <c r="B178" s="496" t="s">
        <v>55</v>
      </c>
      <c r="C178" s="23" t="s">
        <v>301</v>
      </c>
      <c r="D178" s="10" t="s">
        <v>37</v>
      </c>
      <c r="E178" s="10" t="s">
        <v>81</v>
      </c>
      <c r="F178" s="25" t="s">
        <v>224</v>
      </c>
      <c r="G178" s="26" t="s">
        <v>45</v>
      </c>
      <c r="H178" s="690" t="s">
        <v>37</v>
      </c>
      <c r="I178" s="691" t="s">
        <v>48</v>
      </c>
      <c r="J178" s="10" t="s">
        <v>56</v>
      </c>
      <c r="K178" s="24">
        <v>715.3</v>
      </c>
      <c r="L178" s="24">
        <f>M178-K178</f>
        <v>0</v>
      </c>
      <c r="M178" s="24">
        <v>715.3</v>
      </c>
      <c r="N178" s="24">
        <v>716.1</v>
      </c>
    </row>
    <row r="179" spans="1:14" s="116" customFormat="1" ht="18" x14ac:dyDescent="0.35">
      <c r="A179" s="11"/>
      <c r="B179" s="496" t="s">
        <v>57</v>
      </c>
      <c r="C179" s="23" t="s">
        <v>301</v>
      </c>
      <c r="D179" s="10" t="s">
        <v>37</v>
      </c>
      <c r="E179" s="10" t="s">
        <v>81</v>
      </c>
      <c r="F179" s="25" t="s">
        <v>224</v>
      </c>
      <c r="G179" s="26" t="s">
        <v>45</v>
      </c>
      <c r="H179" s="690" t="s">
        <v>37</v>
      </c>
      <c r="I179" s="691" t="s">
        <v>48</v>
      </c>
      <c r="J179" s="10" t="s">
        <v>58</v>
      </c>
      <c r="K179" s="24">
        <v>4.5999999999999996</v>
      </c>
      <c r="L179" s="24">
        <f>M179-K179</f>
        <v>0</v>
      </c>
      <c r="M179" s="24">
        <v>4.5999999999999996</v>
      </c>
      <c r="N179" s="24">
        <v>4.5</v>
      </c>
    </row>
    <row r="180" spans="1:14" s="116" customFormat="1" ht="18" x14ac:dyDescent="0.35">
      <c r="A180" s="11"/>
      <c r="B180" s="496" t="s">
        <v>70</v>
      </c>
      <c r="C180" s="23" t="s">
        <v>301</v>
      </c>
      <c r="D180" s="10" t="s">
        <v>37</v>
      </c>
      <c r="E180" s="10" t="s">
        <v>71</v>
      </c>
      <c r="F180" s="25"/>
      <c r="G180" s="26"/>
      <c r="H180" s="690"/>
      <c r="I180" s="691"/>
      <c r="J180" s="10"/>
      <c r="K180" s="24">
        <f t="shared" ref="K180:N181" si="28">K181</f>
        <v>2824.3999999999996</v>
      </c>
      <c r="L180" s="24">
        <f t="shared" si="28"/>
        <v>0</v>
      </c>
      <c r="M180" s="24">
        <f t="shared" si="28"/>
        <v>2824.3999999999996</v>
      </c>
      <c r="N180" s="24">
        <f t="shared" si="28"/>
        <v>2834.2</v>
      </c>
    </row>
    <row r="181" spans="1:14" s="116" customFormat="1" ht="54" x14ac:dyDescent="0.35">
      <c r="A181" s="11"/>
      <c r="B181" s="496" t="s">
        <v>223</v>
      </c>
      <c r="C181" s="23" t="s">
        <v>301</v>
      </c>
      <c r="D181" s="10" t="s">
        <v>37</v>
      </c>
      <c r="E181" s="10" t="s">
        <v>71</v>
      </c>
      <c r="F181" s="25" t="s">
        <v>224</v>
      </c>
      <c r="G181" s="26" t="s">
        <v>42</v>
      </c>
      <c r="H181" s="690" t="s">
        <v>43</v>
      </c>
      <c r="I181" s="691" t="s">
        <v>44</v>
      </c>
      <c r="J181" s="10"/>
      <c r="K181" s="24">
        <f t="shared" si="28"/>
        <v>2824.3999999999996</v>
      </c>
      <c r="L181" s="24">
        <f t="shared" si="28"/>
        <v>0</v>
      </c>
      <c r="M181" s="24">
        <f t="shared" si="28"/>
        <v>2824.3999999999996</v>
      </c>
      <c r="N181" s="24">
        <f t="shared" si="28"/>
        <v>2834.2</v>
      </c>
    </row>
    <row r="182" spans="1:14" s="116" customFormat="1" ht="36" x14ac:dyDescent="0.35">
      <c r="A182" s="11"/>
      <c r="B182" s="496" t="s">
        <v>337</v>
      </c>
      <c r="C182" s="23" t="s">
        <v>301</v>
      </c>
      <c r="D182" s="10" t="s">
        <v>37</v>
      </c>
      <c r="E182" s="10" t="s">
        <v>71</v>
      </c>
      <c r="F182" s="25" t="s">
        <v>224</v>
      </c>
      <c r="G182" s="26" t="s">
        <v>45</v>
      </c>
      <c r="H182" s="690" t="s">
        <v>43</v>
      </c>
      <c r="I182" s="691" t="s">
        <v>44</v>
      </c>
      <c r="J182" s="10"/>
      <c r="K182" s="24">
        <f>K183+K186</f>
        <v>2824.3999999999996</v>
      </c>
      <c r="L182" s="24">
        <f>L183+L186</f>
        <v>0</v>
      </c>
      <c r="M182" s="24">
        <f>M183+M186</f>
        <v>2824.3999999999996</v>
      </c>
      <c r="N182" s="24">
        <f>N183+N186</f>
        <v>2834.2</v>
      </c>
    </row>
    <row r="183" spans="1:14" s="116" customFormat="1" ht="36" x14ac:dyDescent="0.35">
      <c r="A183" s="11"/>
      <c r="B183" s="496" t="s">
        <v>349</v>
      </c>
      <c r="C183" s="23" t="s">
        <v>301</v>
      </c>
      <c r="D183" s="10" t="s">
        <v>37</v>
      </c>
      <c r="E183" s="10" t="s">
        <v>71</v>
      </c>
      <c r="F183" s="25" t="s">
        <v>224</v>
      </c>
      <c r="G183" s="26" t="s">
        <v>45</v>
      </c>
      <c r="H183" s="690" t="s">
        <v>63</v>
      </c>
      <c r="I183" s="691" t="s">
        <v>44</v>
      </c>
      <c r="J183" s="10"/>
      <c r="K183" s="24">
        <f t="shared" ref="K183:N184" si="29">K184</f>
        <v>2807.2</v>
      </c>
      <c r="L183" s="24">
        <f t="shared" si="29"/>
        <v>0</v>
      </c>
      <c r="M183" s="24">
        <f t="shared" si="29"/>
        <v>2807.2</v>
      </c>
      <c r="N183" s="24">
        <f t="shared" si="29"/>
        <v>2817</v>
      </c>
    </row>
    <row r="184" spans="1:14" s="116" customFormat="1" ht="54" x14ac:dyDescent="0.35">
      <c r="A184" s="11"/>
      <c r="B184" s="496" t="s">
        <v>350</v>
      </c>
      <c r="C184" s="23" t="s">
        <v>301</v>
      </c>
      <c r="D184" s="10" t="s">
        <v>37</v>
      </c>
      <c r="E184" s="10" t="s">
        <v>71</v>
      </c>
      <c r="F184" s="25" t="s">
        <v>224</v>
      </c>
      <c r="G184" s="26" t="s">
        <v>45</v>
      </c>
      <c r="H184" s="690" t="s">
        <v>63</v>
      </c>
      <c r="I184" s="691" t="s">
        <v>105</v>
      </c>
      <c r="J184" s="10"/>
      <c r="K184" s="24">
        <f t="shared" si="29"/>
        <v>2807.2</v>
      </c>
      <c r="L184" s="24">
        <f t="shared" si="29"/>
        <v>0</v>
      </c>
      <c r="M184" s="24">
        <f t="shared" si="29"/>
        <v>2807.2</v>
      </c>
      <c r="N184" s="24">
        <f t="shared" si="29"/>
        <v>2817</v>
      </c>
    </row>
    <row r="185" spans="1:14" s="116" customFormat="1" ht="54" x14ac:dyDescent="0.35">
      <c r="A185" s="11"/>
      <c r="B185" s="496" t="s">
        <v>55</v>
      </c>
      <c r="C185" s="23" t="s">
        <v>301</v>
      </c>
      <c r="D185" s="10" t="s">
        <v>37</v>
      </c>
      <c r="E185" s="10" t="s">
        <v>71</v>
      </c>
      <c r="F185" s="25" t="s">
        <v>224</v>
      </c>
      <c r="G185" s="26" t="s">
        <v>45</v>
      </c>
      <c r="H185" s="690" t="s">
        <v>63</v>
      </c>
      <c r="I185" s="691" t="s">
        <v>105</v>
      </c>
      <c r="J185" s="10" t="s">
        <v>56</v>
      </c>
      <c r="K185" s="24">
        <v>2807.2</v>
      </c>
      <c r="L185" s="24">
        <f>M185-K185</f>
        <v>0</v>
      </c>
      <c r="M185" s="24">
        <v>2807.2</v>
      </c>
      <c r="N185" s="24">
        <v>2817</v>
      </c>
    </row>
    <row r="186" spans="1:14" s="116" customFormat="1" ht="36" x14ac:dyDescent="0.35">
      <c r="A186" s="11"/>
      <c r="B186" s="496" t="s">
        <v>465</v>
      </c>
      <c r="C186" s="23" t="s">
        <v>301</v>
      </c>
      <c r="D186" s="10" t="s">
        <v>37</v>
      </c>
      <c r="E186" s="10" t="s">
        <v>71</v>
      </c>
      <c r="F186" s="25" t="s">
        <v>224</v>
      </c>
      <c r="G186" s="26" t="s">
        <v>45</v>
      </c>
      <c r="H186" s="690" t="s">
        <v>65</v>
      </c>
      <c r="I186" s="691" t="s">
        <v>44</v>
      </c>
      <c r="J186" s="10"/>
      <c r="K186" s="24">
        <f t="shared" ref="K186:N187" si="30">K187</f>
        <v>17.2</v>
      </c>
      <c r="L186" s="24">
        <f t="shared" si="30"/>
        <v>0</v>
      </c>
      <c r="M186" s="24">
        <f t="shared" si="30"/>
        <v>17.2</v>
      </c>
      <c r="N186" s="24">
        <f t="shared" si="30"/>
        <v>17.2</v>
      </c>
    </row>
    <row r="187" spans="1:14" s="116" customFormat="1" ht="18" x14ac:dyDescent="0.35">
      <c r="A187" s="11"/>
      <c r="B187" s="496" t="s">
        <v>463</v>
      </c>
      <c r="C187" s="23" t="s">
        <v>301</v>
      </c>
      <c r="D187" s="10" t="s">
        <v>37</v>
      </c>
      <c r="E187" s="10" t="s">
        <v>71</v>
      </c>
      <c r="F187" s="25" t="s">
        <v>224</v>
      </c>
      <c r="G187" s="26" t="s">
        <v>45</v>
      </c>
      <c r="H187" s="690" t="s">
        <v>65</v>
      </c>
      <c r="I187" s="691" t="s">
        <v>464</v>
      </c>
      <c r="J187" s="10"/>
      <c r="K187" s="24">
        <f t="shared" si="30"/>
        <v>17.2</v>
      </c>
      <c r="L187" s="24">
        <f t="shared" si="30"/>
        <v>0</v>
      </c>
      <c r="M187" s="24">
        <f t="shared" si="30"/>
        <v>17.2</v>
      </c>
      <c r="N187" s="24">
        <f t="shared" si="30"/>
        <v>17.2</v>
      </c>
    </row>
    <row r="188" spans="1:14" s="116" customFormat="1" ht="54" x14ac:dyDescent="0.35">
      <c r="A188" s="11"/>
      <c r="B188" s="496" t="s">
        <v>55</v>
      </c>
      <c r="C188" s="23" t="s">
        <v>301</v>
      </c>
      <c r="D188" s="10" t="s">
        <v>37</v>
      </c>
      <c r="E188" s="10" t="s">
        <v>71</v>
      </c>
      <c r="F188" s="25" t="s">
        <v>224</v>
      </c>
      <c r="G188" s="26" t="s">
        <v>45</v>
      </c>
      <c r="H188" s="690" t="s">
        <v>65</v>
      </c>
      <c r="I188" s="691" t="s">
        <v>464</v>
      </c>
      <c r="J188" s="10" t="s">
        <v>56</v>
      </c>
      <c r="K188" s="24">
        <v>17.2</v>
      </c>
      <c r="L188" s="24">
        <f>M188-K188</f>
        <v>0</v>
      </c>
      <c r="M188" s="24">
        <v>17.2</v>
      </c>
      <c r="N188" s="24">
        <v>17.2</v>
      </c>
    </row>
    <row r="189" spans="1:14" s="116" customFormat="1" ht="18" x14ac:dyDescent="0.35">
      <c r="A189" s="11"/>
      <c r="B189" s="496" t="s">
        <v>179</v>
      </c>
      <c r="C189" s="23" t="s">
        <v>301</v>
      </c>
      <c r="D189" s="10" t="s">
        <v>224</v>
      </c>
      <c r="E189" s="10"/>
      <c r="F189" s="25"/>
      <c r="G189" s="26"/>
      <c r="H189" s="690"/>
      <c r="I189" s="691"/>
      <c r="J189" s="10"/>
      <c r="K189" s="24">
        <f t="shared" ref="K189:N194" si="31">K190</f>
        <v>98.8</v>
      </c>
      <c r="L189" s="24">
        <f t="shared" si="31"/>
        <v>0</v>
      </c>
      <c r="M189" s="24">
        <f t="shared" si="31"/>
        <v>98.8</v>
      </c>
      <c r="N189" s="24">
        <f t="shared" si="31"/>
        <v>98.8</v>
      </c>
    </row>
    <row r="190" spans="1:14" s="116" customFormat="1" ht="36" x14ac:dyDescent="0.35">
      <c r="A190" s="11"/>
      <c r="B190" s="496" t="s">
        <v>527</v>
      </c>
      <c r="C190" s="23" t="s">
        <v>301</v>
      </c>
      <c r="D190" s="10" t="s">
        <v>224</v>
      </c>
      <c r="E190" s="10" t="s">
        <v>65</v>
      </c>
      <c r="F190" s="25"/>
      <c r="G190" s="26"/>
      <c r="H190" s="690"/>
      <c r="I190" s="691"/>
      <c r="J190" s="10"/>
      <c r="K190" s="24">
        <f t="shared" si="31"/>
        <v>98.8</v>
      </c>
      <c r="L190" s="24">
        <f t="shared" si="31"/>
        <v>0</v>
      </c>
      <c r="M190" s="24">
        <f t="shared" si="31"/>
        <v>98.8</v>
      </c>
      <c r="N190" s="24">
        <f t="shared" si="31"/>
        <v>98.8</v>
      </c>
    </row>
    <row r="191" spans="1:14" s="116" customFormat="1" ht="54" x14ac:dyDescent="0.35">
      <c r="A191" s="11"/>
      <c r="B191" s="496" t="s">
        <v>223</v>
      </c>
      <c r="C191" s="23" t="s">
        <v>301</v>
      </c>
      <c r="D191" s="10" t="s">
        <v>224</v>
      </c>
      <c r="E191" s="10" t="s">
        <v>65</v>
      </c>
      <c r="F191" s="25" t="s">
        <v>224</v>
      </c>
      <c r="G191" s="26" t="s">
        <v>42</v>
      </c>
      <c r="H191" s="690" t="s">
        <v>43</v>
      </c>
      <c r="I191" s="691" t="s">
        <v>44</v>
      </c>
      <c r="J191" s="10"/>
      <c r="K191" s="24">
        <f t="shared" si="31"/>
        <v>98.8</v>
      </c>
      <c r="L191" s="24">
        <f t="shared" si="31"/>
        <v>0</v>
      </c>
      <c r="M191" s="24">
        <f t="shared" si="31"/>
        <v>98.8</v>
      </c>
      <c r="N191" s="24">
        <f t="shared" si="31"/>
        <v>98.8</v>
      </c>
    </row>
    <row r="192" spans="1:14" s="116" customFormat="1" ht="36" x14ac:dyDescent="0.35">
      <c r="A192" s="11"/>
      <c r="B192" s="496" t="s">
        <v>337</v>
      </c>
      <c r="C192" s="23" t="s">
        <v>301</v>
      </c>
      <c r="D192" s="10" t="s">
        <v>224</v>
      </c>
      <c r="E192" s="10" t="s">
        <v>65</v>
      </c>
      <c r="F192" s="25" t="s">
        <v>224</v>
      </c>
      <c r="G192" s="26" t="s">
        <v>45</v>
      </c>
      <c r="H192" s="690" t="s">
        <v>43</v>
      </c>
      <c r="I192" s="691" t="s">
        <v>44</v>
      </c>
      <c r="J192" s="10"/>
      <c r="K192" s="24">
        <f t="shared" si="31"/>
        <v>98.8</v>
      </c>
      <c r="L192" s="24">
        <f t="shared" si="31"/>
        <v>0</v>
      </c>
      <c r="M192" s="24">
        <f t="shared" si="31"/>
        <v>98.8</v>
      </c>
      <c r="N192" s="24">
        <f t="shared" si="31"/>
        <v>98.8</v>
      </c>
    </row>
    <row r="193" spans="1:14" s="116" customFormat="1" ht="54" x14ac:dyDescent="0.35">
      <c r="A193" s="11"/>
      <c r="B193" s="496" t="s">
        <v>302</v>
      </c>
      <c r="C193" s="23" t="s">
        <v>301</v>
      </c>
      <c r="D193" s="10" t="s">
        <v>224</v>
      </c>
      <c r="E193" s="10" t="s">
        <v>65</v>
      </c>
      <c r="F193" s="25" t="s">
        <v>224</v>
      </c>
      <c r="G193" s="26" t="s">
        <v>45</v>
      </c>
      <c r="H193" s="690" t="s">
        <v>37</v>
      </c>
      <c r="I193" s="691" t="s">
        <v>44</v>
      </c>
      <c r="J193" s="10"/>
      <c r="K193" s="24">
        <f t="shared" si="31"/>
        <v>98.8</v>
      </c>
      <c r="L193" s="24">
        <f t="shared" si="31"/>
        <v>0</v>
      </c>
      <c r="M193" s="24">
        <f t="shared" si="31"/>
        <v>98.8</v>
      </c>
      <c r="N193" s="24">
        <f t="shared" si="31"/>
        <v>98.8</v>
      </c>
    </row>
    <row r="194" spans="1:14" s="116" customFormat="1" ht="36" x14ac:dyDescent="0.35">
      <c r="A194" s="11"/>
      <c r="B194" s="496" t="s">
        <v>529</v>
      </c>
      <c r="C194" s="23" t="s">
        <v>301</v>
      </c>
      <c r="D194" s="10" t="s">
        <v>224</v>
      </c>
      <c r="E194" s="10" t="s">
        <v>65</v>
      </c>
      <c r="F194" s="25" t="s">
        <v>224</v>
      </c>
      <c r="G194" s="26" t="s">
        <v>45</v>
      </c>
      <c r="H194" s="690" t="s">
        <v>37</v>
      </c>
      <c r="I194" s="691" t="s">
        <v>528</v>
      </c>
      <c r="J194" s="10"/>
      <c r="K194" s="24">
        <f t="shared" si="31"/>
        <v>98.8</v>
      </c>
      <c r="L194" s="24">
        <f t="shared" si="31"/>
        <v>0</v>
      </c>
      <c r="M194" s="24">
        <f t="shared" si="31"/>
        <v>98.8</v>
      </c>
      <c r="N194" s="24">
        <f t="shared" si="31"/>
        <v>98.8</v>
      </c>
    </row>
    <row r="195" spans="1:14" s="116" customFormat="1" ht="54" x14ac:dyDescent="0.35">
      <c r="A195" s="11"/>
      <c r="B195" s="496" t="s">
        <v>55</v>
      </c>
      <c r="C195" s="23" t="s">
        <v>301</v>
      </c>
      <c r="D195" s="10" t="s">
        <v>224</v>
      </c>
      <c r="E195" s="10" t="s">
        <v>65</v>
      </c>
      <c r="F195" s="25" t="s">
        <v>224</v>
      </c>
      <c r="G195" s="26" t="s">
        <v>45</v>
      </c>
      <c r="H195" s="690" t="s">
        <v>37</v>
      </c>
      <c r="I195" s="691" t="s">
        <v>528</v>
      </c>
      <c r="J195" s="10" t="s">
        <v>56</v>
      </c>
      <c r="K195" s="24">
        <v>98.8</v>
      </c>
      <c r="L195" s="24">
        <f>M195-K195</f>
        <v>0</v>
      </c>
      <c r="M195" s="24">
        <v>98.8</v>
      </c>
      <c r="N195" s="24">
        <v>98.8</v>
      </c>
    </row>
    <row r="196" spans="1:14" s="116" customFormat="1" ht="54" x14ac:dyDescent="0.35">
      <c r="A196" s="11"/>
      <c r="B196" s="496" t="s">
        <v>200</v>
      </c>
      <c r="C196" s="23" t="s">
        <v>301</v>
      </c>
      <c r="D196" s="10" t="s">
        <v>88</v>
      </c>
      <c r="E196" s="10"/>
      <c r="F196" s="25"/>
      <c r="G196" s="26"/>
      <c r="H196" s="690"/>
      <c r="I196" s="691"/>
      <c r="J196" s="10"/>
      <c r="K196" s="24">
        <f t="shared" ref="K196:N199" si="32">K197</f>
        <v>7500</v>
      </c>
      <c r="L196" s="24">
        <f t="shared" si="32"/>
        <v>0</v>
      </c>
      <c r="M196" s="24">
        <f t="shared" si="32"/>
        <v>7500</v>
      </c>
      <c r="N196" s="24">
        <f t="shared" si="32"/>
        <v>7500</v>
      </c>
    </row>
    <row r="197" spans="1:14" s="116" customFormat="1" ht="54" x14ac:dyDescent="0.35">
      <c r="A197" s="11"/>
      <c r="B197" s="546" t="s">
        <v>201</v>
      </c>
      <c r="C197" s="23" t="s">
        <v>301</v>
      </c>
      <c r="D197" s="10" t="s">
        <v>88</v>
      </c>
      <c r="E197" s="10" t="s">
        <v>37</v>
      </c>
      <c r="F197" s="25"/>
      <c r="G197" s="26"/>
      <c r="H197" s="690"/>
      <c r="I197" s="691"/>
      <c r="J197" s="10"/>
      <c r="K197" s="24">
        <f t="shared" si="32"/>
        <v>7500</v>
      </c>
      <c r="L197" s="24">
        <f t="shared" si="32"/>
        <v>0</v>
      </c>
      <c r="M197" s="24">
        <f t="shared" si="32"/>
        <v>7500</v>
      </c>
      <c r="N197" s="24">
        <f t="shared" si="32"/>
        <v>7500</v>
      </c>
    </row>
    <row r="198" spans="1:14" s="116" customFormat="1" ht="54" x14ac:dyDescent="0.35">
      <c r="A198" s="11"/>
      <c r="B198" s="496" t="s">
        <v>223</v>
      </c>
      <c r="C198" s="23" t="s">
        <v>301</v>
      </c>
      <c r="D198" s="10" t="s">
        <v>88</v>
      </c>
      <c r="E198" s="10" t="s">
        <v>37</v>
      </c>
      <c r="F198" s="25" t="s">
        <v>224</v>
      </c>
      <c r="G198" s="26" t="s">
        <v>42</v>
      </c>
      <c r="H198" s="690" t="s">
        <v>43</v>
      </c>
      <c r="I198" s="691" t="s">
        <v>44</v>
      </c>
      <c r="J198" s="10"/>
      <c r="K198" s="24">
        <f t="shared" si="32"/>
        <v>7500</v>
      </c>
      <c r="L198" s="24">
        <f t="shared" si="32"/>
        <v>0</v>
      </c>
      <c r="M198" s="24">
        <f t="shared" si="32"/>
        <v>7500</v>
      </c>
      <c r="N198" s="24">
        <f t="shared" si="32"/>
        <v>7500</v>
      </c>
    </row>
    <row r="199" spans="1:14" s="116" customFormat="1" ht="36" x14ac:dyDescent="0.35">
      <c r="A199" s="11"/>
      <c r="B199" s="496" t="s">
        <v>337</v>
      </c>
      <c r="C199" s="23" t="s">
        <v>301</v>
      </c>
      <c r="D199" s="10" t="s">
        <v>88</v>
      </c>
      <c r="E199" s="10" t="s">
        <v>37</v>
      </c>
      <c r="F199" s="25" t="s">
        <v>224</v>
      </c>
      <c r="G199" s="26" t="s">
        <v>45</v>
      </c>
      <c r="H199" s="690" t="s">
        <v>43</v>
      </c>
      <c r="I199" s="691" t="s">
        <v>44</v>
      </c>
      <c r="J199" s="10"/>
      <c r="K199" s="24">
        <f t="shared" si="32"/>
        <v>7500</v>
      </c>
      <c r="L199" s="24">
        <f t="shared" si="32"/>
        <v>0</v>
      </c>
      <c r="M199" s="24">
        <f t="shared" si="32"/>
        <v>7500</v>
      </c>
      <c r="N199" s="24">
        <f t="shared" si="32"/>
        <v>7500</v>
      </c>
    </row>
    <row r="200" spans="1:14" s="116" customFormat="1" ht="36" x14ac:dyDescent="0.35">
      <c r="A200" s="11"/>
      <c r="B200" s="496" t="s">
        <v>303</v>
      </c>
      <c r="C200" s="23" t="s">
        <v>301</v>
      </c>
      <c r="D200" s="10" t="s">
        <v>88</v>
      </c>
      <c r="E200" s="10" t="s">
        <v>37</v>
      </c>
      <c r="F200" s="25" t="s">
        <v>224</v>
      </c>
      <c r="G200" s="26" t="s">
        <v>45</v>
      </c>
      <c r="H200" s="690" t="s">
        <v>39</v>
      </c>
      <c r="I200" s="691" t="s">
        <v>44</v>
      </c>
      <c r="J200" s="10"/>
      <c r="K200" s="24">
        <f t="shared" ref="K200:N201" si="33">K201</f>
        <v>7500</v>
      </c>
      <c r="L200" s="24">
        <f t="shared" si="33"/>
        <v>0</v>
      </c>
      <c r="M200" s="24">
        <f t="shared" si="33"/>
        <v>7500</v>
      </c>
      <c r="N200" s="24">
        <f t="shared" si="33"/>
        <v>7500</v>
      </c>
    </row>
    <row r="201" spans="1:14" s="116" customFormat="1" ht="36" x14ac:dyDescent="0.35">
      <c r="A201" s="11"/>
      <c r="B201" s="496" t="s">
        <v>257</v>
      </c>
      <c r="C201" s="23" t="s">
        <v>301</v>
      </c>
      <c r="D201" s="10" t="s">
        <v>88</v>
      </c>
      <c r="E201" s="10" t="s">
        <v>37</v>
      </c>
      <c r="F201" s="25" t="s">
        <v>224</v>
      </c>
      <c r="G201" s="26" t="s">
        <v>45</v>
      </c>
      <c r="H201" s="690" t="s">
        <v>39</v>
      </c>
      <c r="I201" s="691" t="s">
        <v>404</v>
      </c>
      <c r="J201" s="10"/>
      <c r="K201" s="24">
        <f t="shared" si="33"/>
        <v>7500</v>
      </c>
      <c r="L201" s="24">
        <f t="shared" si="33"/>
        <v>0</v>
      </c>
      <c r="M201" s="24">
        <f t="shared" si="33"/>
        <v>7500</v>
      </c>
      <c r="N201" s="24">
        <f t="shared" si="33"/>
        <v>7500</v>
      </c>
    </row>
    <row r="202" spans="1:14" s="116" customFormat="1" ht="18" x14ac:dyDescent="0.35">
      <c r="A202" s="11"/>
      <c r="B202" s="496" t="s">
        <v>123</v>
      </c>
      <c r="C202" s="23" t="s">
        <v>301</v>
      </c>
      <c r="D202" s="10" t="s">
        <v>88</v>
      </c>
      <c r="E202" s="10" t="s">
        <v>37</v>
      </c>
      <c r="F202" s="25" t="s">
        <v>224</v>
      </c>
      <c r="G202" s="26" t="s">
        <v>45</v>
      </c>
      <c r="H202" s="690" t="s">
        <v>39</v>
      </c>
      <c r="I202" s="691" t="s">
        <v>404</v>
      </c>
      <c r="J202" s="10" t="s">
        <v>124</v>
      </c>
      <c r="K202" s="24">
        <v>7500</v>
      </c>
      <c r="L202" s="24">
        <f>M202-K202</f>
        <v>0</v>
      </c>
      <c r="M202" s="24">
        <v>7500</v>
      </c>
      <c r="N202" s="24">
        <v>7500</v>
      </c>
    </row>
    <row r="203" spans="1:14" s="116" customFormat="1" ht="18" x14ac:dyDescent="0.35">
      <c r="A203" s="11"/>
      <c r="B203" s="496"/>
      <c r="C203" s="23"/>
      <c r="D203" s="10"/>
      <c r="E203" s="10"/>
      <c r="F203" s="25"/>
      <c r="G203" s="26"/>
      <c r="H203" s="690"/>
      <c r="I203" s="691"/>
      <c r="J203" s="10"/>
      <c r="K203" s="24"/>
      <c r="L203" s="24"/>
      <c r="M203" s="24"/>
      <c r="N203" s="24"/>
    </row>
    <row r="204" spans="1:14" s="117" customFormat="1" ht="52.2" x14ac:dyDescent="0.3">
      <c r="A204" s="110">
        <v>3</v>
      </c>
      <c r="B204" s="543" t="s">
        <v>35</v>
      </c>
      <c r="C204" s="18" t="s">
        <v>128</v>
      </c>
      <c r="D204" s="19"/>
      <c r="E204" s="19"/>
      <c r="F204" s="20"/>
      <c r="G204" s="21"/>
      <c r="H204" s="21"/>
      <c r="I204" s="22"/>
      <c r="J204" s="19"/>
      <c r="K204" s="32">
        <f t="shared" ref="K204:N207" si="34">K205</f>
        <v>6414.2</v>
      </c>
      <c r="L204" s="32">
        <f t="shared" si="34"/>
        <v>0</v>
      </c>
      <c r="M204" s="32">
        <f t="shared" si="34"/>
        <v>6414.2</v>
      </c>
      <c r="N204" s="32">
        <f t="shared" si="34"/>
        <v>6414.3</v>
      </c>
    </row>
    <row r="205" spans="1:14" s="117" customFormat="1" ht="18" x14ac:dyDescent="0.35">
      <c r="A205" s="11"/>
      <c r="B205" s="496" t="s">
        <v>36</v>
      </c>
      <c r="C205" s="23" t="s">
        <v>128</v>
      </c>
      <c r="D205" s="10" t="s">
        <v>37</v>
      </c>
      <c r="E205" s="10"/>
      <c r="F205" s="689"/>
      <c r="G205" s="690"/>
      <c r="H205" s="690"/>
      <c r="I205" s="691"/>
      <c r="J205" s="10"/>
      <c r="K205" s="24">
        <f t="shared" si="34"/>
        <v>6414.2</v>
      </c>
      <c r="L205" s="24">
        <f t="shared" si="34"/>
        <v>0</v>
      </c>
      <c r="M205" s="24">
        <f t="shared" si="34"/>
        <v>6414.2</v>
      </c>
      <c r="N205" s="24">
        <f t="shared" si="34"/>
        <v>6414.3</v>
      </c>
    </row>
    <row r="206" spans="1:14" s="117" customFormat="1" ht="72" x14ac:dyDescent="0.35">
      <c r="A206" s="11"/>
      <c r="B206" s="496" t="s">
        <v>129</v>
      </c>
      <c r="C206" s="23" t="s">
        <v>128</v>
      </c>
      <c r="D206" s="10" t="s">
        <v>37</v>
      </c>
      <c r="E206" s="10" t="s">
        <v>81</v>
      </c>
      <c r="F206" s="689"/>
      <c r="G206" s="690"/>
      <c r="H206" s="690"/>
      <c r="I206" s="691"/>
      <c r="J206" s="10"/>
      <c r="K206" s="24">
        <f t="shared" si="34"/>
        <v>6414.2</v>
      </c>
      <c r="L206" s="24">
        <f t="shared" si="34"/>
        <v>0</v>
      </c>
      <c r="M206" s="24">
        <f t="shared" si="34"/>
        <v>6414.2</v>
      </c>
      <c r="N206" s="24">
        <f t="shared" si="34"/>
        <v>6414.3</v>
      </c>
    </row>
    <row r="207" spans="1:14" s="117" customFormat="1" ht="36" x14ac:dyDescent="0.35">
      <c r="A207" s="11"/>
      <c r="B207" s="529" t="s">
        <v>130</v>
      </c>
      <c r="C207" s="23" t="s">
        <v>128</v>
      </c>
      <c r="D207" s="10" t="s">
        <v>37</v>
      </c>
      <c r="E207" s="10" t="s">
        <v>81</v>
      </c>
      <c r="F207" s="689" t="s">
        <v>131</v>
      </c>
      <c r="G207" s="690" t="s">
        <v>42</v>
      </c>
      <c r="H207" s="690" t="s">
        <v>43</v>
      </c>
      <c r="I207" s="691" t="s">
        <v>44</v>
      </c>
      <c r="J207" s="10"/>
      <c r="K207" s="24">
        <f t="shared" si="34"/>
        <v>6414.2</v>
      </c>
      <c r="L207" s="24">
        <f t="shared" si="34"/>
        <v>0</v>
      </c>
      <c r="M207" s="24">
        <f t="shared" si="34"/>
        <v>6414.2</v>
      </c>
      <c r="N207" s="24">
        <f t="shared" si="34"/>
        <v>6414.3</v>
      </c>
    </row>
    <row r="208" spans="1:14" s="117" customFormat="1" ht="36" x14ac:dyDescent="0.35">
      <c r="A208" s="11"/>
      <c r="B208" s="529" t="s">
        <v>132</v>
      </c>
      <c r="C208" s="23" t="s">
        <v>128</v>
      </c>
      <c r="D208" s="10" t="s">
        <v>37</v>
      </c>
      <c r="E208" s="10" t="s">
        <v>81</v>
      </c>
      <c r="F208" s="689" t="s">
        <v>131</v>
      </c>
      <c r="G208" s="690" t="s">
        <v>45</v>
      </c>
      <c r="H208" s="690" t="s">
        <v>43</v>
      </c>
      <c r="I208" s="691" t="s">
        <v>44</v>
      </c>
      <c r="J208" s="10"/>
      <c r="K208" s="24">
        <f>K209</f>
        <v>6414.2</v>
      </c>
      <c r="L208" s="24">
        <f>L209</f>
        <v>0</v>
      </c>
      <c r="M208" s="24">
        <f>M209</f>
        <v>6414.2</v>
      </c>
      <c r="N208" s="24">
        <f>N209</f>
        <v>6414.3</v>
      </c>
    </row>
    <row r="209" spans="1:14" s="117" customFormat="1" ht="36" x14ac:dyDescent="0.35">
      <c r="A209" s="11"/>
      <c r="B209" s="496" t="s">
        <v>47</v>
      </c>
      <c r="C209" s="23" t="s">
        <v>128</v>
      </c>
      <c r="D209" s="10" t="s">
        <v>37</v>
      </c>
      <c r="E209" s="10" t="s">
        <v>81</v>
      </c>
      <c r="F209" s="689" t="s">
        <v>131</v>
      </c>
      <c r="G209" s="690" t="s">
        <v>45</v>
      </c>
      <c r="H209" s="690" t="s">
        <v>43</v>
      </c>
      <c r="I209" s="691" t="s">
        <v>48</v>
      </c>
      <c r="J209" s="10"/>
      <c r="K209" s="24">
        <f>K210+K211+K212</f>
        <v>6414.2</v>
      </c>
      <c r="L209" s="24">
        <f>L210+L211+L212</f>
        <v>0</v>
      </c>
      <c r="M209" s="24">
        <f>M210+M211+M212</f>
        <v>6414.2</v>
      </c>
      <c r="N209" s="24">
        <f>N210+N211+N212</f>
        <v>6414.3</v>
      </c>
    </row>
    <row r="210" spans="1:14" s="117" customFormat="1" ht="108" x14ac:dyDescent="0.35">
      <c r="A210" s="11"/>
      <c r="B210" s="496" t="s">
        <v>49</v>
      </c>
      <c r="C210" s="23" t="s">
        <v>128</v>
      </c>
      <c r="D210" s="10" t="s">
        <v>37</v>
      </c>
      <c r="E210" s="10" t="s">
        <v>81</v>
      </c>
      <c r="F210" s="689" t="s">
        <v>131</v>
      </c>
      <c r="G210" s="690" t="s">
        <v>45</v>
      </c>
      <c r="H210" s="690" t="s">
        <v>43</v>
      </c>
      <c r="I210" s="691" t="s">
        <v>48</v>
      </c>
      <c r="J210" s="10" t="s">
        <v>50</v>
      </c>
      <c r="K210" s="24">
        <v>6119.5</v>
      </c>
      <c r="L210" s="24">
        <f>M210-K210</f>
        <v>0</v>
      </c>
      <c r="M210" s="24">
        <v>6119.5</v>
      </c>
      <c r="N210" s="24">
        <v>6119.5</v>
      </c>
    </row>
    <row r="211" spans="1:14" s="117" customFormat="1" ht="54" x14ac:dyDescent="0.35">
      <c r="A211" s="11"/>
      <c r="B211" s="496" t="s">
        <v>55</v>
      </c>
      <c r="C211" s="23" t="s">
        <v>128</v>
      </c>
      <c r="D211" s="10" t="s">
        <v>37</v>
      </c>
      <c r="E211" s="10" t="s">
        <v>81</v>
      </c>
      <c r="F211" s="689" t="s">
        <v>131</v>
      </c>
      <c r="G211" s="690" t="s">
        <v>45</v>
      </c>
      <c r="H211" s="690" t="s">
        <v>43</v>
      </c>
      <c r="I211" s="691" t="s">
        <v>48</v>
      </c>
      <c r="J211" s="10" t="s">
        <v>56</v>
      </c>
      <c r="K211" s="24">
        <v>284.7</v>
      </c>
      <c r="L211" s="24">
        <f>M211-K211</f>
        <v>0</v>
      </c>
      <c r="M211" s="24">
        <v>284.7</v>
      </c>
      <c r="N211" s="24">
        <v>284.8</v>
      </c>
    </row>
    <row r="212" spans="1:14" s="117" customFormat="1" ht="18" x14ac:dyDescent="0.35">
      <c r="A212" s="11"/>
      <c r="B212" s="496" t="s">
        <v>57</v>
      </c>
      <c r="C212" s="23" t="s">
        <v>128</v>
      </c>
      <c r="D212" s="10" t="s">
        <v>37</v>
      </c>
      <c r="E212" s="10" t="s">
        <v>81</v>
      </c>
      <c r="F212" s="689" t="s">
        <v>131</v>
      </c>
      <c r="G212" s="690" t="s">
        <v>45</v>
      </c>
      <c r="H212" s="690" t="s">
        <v>43</v>
      </c>
      <c r="I212" s="691" t="s">
        <v>48</v>
      </c>
      <c r="J212" s="10" t="s">
        <v>58</v>
      </c>
      <c r="K212" s="24">
        <v>10</v>
      </c>
      <c r="L212" s="24">
        <f>M212-K212</f>
        <v>0</v>
      </c>
      <c r="M212" s="24">
        <v>10</v>
      </c>
      <c r="N212" s="24">
        <v>10</v>
      </c>
    </row>
    <row r="213" spans="1:14" s="117" customFormat="1" ht="18" x14ac:dyDescent="0.35">
      <c r="A213" s="11"/>
      <c r="B213" s="496"/>
      <c r="C213" s="23"/>
      <c r="D213" s="10"/>
      <c r="E213" s="10"/>
      <c r="F213" s="689"/>
      <c r="G213" s="690"/>
      <c r="H213" s="690"/>
      <c r="I213" s="691"/>
      <c r="J213" s="10"/>
      <c r="K213" s="24"/>
      <c r="L213" s="24"/>
      <c r="M213" s="24"/>
      <c r="N213" s="24"/>
    </row>
    <row r="214" spans="1:14" s="125" customFormat="1" ht="52.2" x14ac:dyDescent="0.3">
      <c r="A214" s="118">
        <v>4</v>
      </c>
      <c r="B214" s="575" t="s">
        <v>6</v>
      </c>
      <c r="C214" s="119" t="s">
        <v>412</v>
      </c>
      <c r="D214" s="120"/>
      <c r="E214" s="120"/>
      <c r="F214" s="121"/>
      <c r="G214" s="122"/>
      <c r="H214" s="122"/>
      <c r="I214" s="123"/>
      <c r="J214" s="120"/>
      <c r="K214" s="124">
        <f t="shared" ref="K214" si="35">K215+K272+K257+K250+K281</f>
        <v>173385.50000000003</v>
      </c>
      <c r="L214" s="124">
        <f>L215+L272+L257+L250+L281</f>
        <v>0</v>
      </c>
      <c r="M214" s="124">
        <f t="shared" ref="M214:N214" si="36">M215+M272+M257+M250+M281</f>
        <v>173385.50000000003</v>
      </c>
      <c r="N214" s="124">
        <f t="shared" si="36"/>
        <v>83135.899999999994</v>
      </c>
    </row>
    <row r="215" spans="1:14" s="131" customFormat="1" ht="18" x14ac:dyDescent="0.35">
      <c r="A215" s="126"/>
      <c r="B215" s="540" t="s">
        <v>36</v>
      </c>
      <c r="C215" s="127" t="s">
        <v>412</v>
      </c>
      <c r="D215" s="128" t="s">
        <v>37</v>
      </c>
      <c r="E215" s="85"/>
      <c r="F215" s="129"/>
      <c r="G215" s="83"/>
      <c r="H215" s="83"/>
      <c r="I215" s="84"/>
      <c r="J215" s="85"/>
      <c r="K215" s="130">
        <f>K216</f>
        <v>31923.131600000004</v>
      </c>
      <c r="L215" s="130">
        <f>L216</f>
        <v>0</v>
      </c>
      <c r="M215" s="130">
        <f>M216</f>
        <v>31923.131600000004</v>
      </c>
      <c r="N215" s="130">
        <f>N216</f>
        <v>35109.031600000002</v>
      </c>
    </row>
    <row r="216" spans="1:14" s="125" customFormat="1" ht="18" x14ac:dyDescent="0.35">
      <c r="A216" s="126"/>
      <c r="B216" s="540" t="s">
        <v>70</v>
      </c>
      <c r="C216" s="127" t="s">
        <v>412</v>
      </c>
      <c r="D216" s="128" t="s">
        <v>37</v>
      </c>
      <c r="E216" s="128" t="s">
        <v>71</v>
      </c>
      <c r="F216" s="129"/>
      <c r="G216" s="83"/>
      <c r="H216" s="83"/>
      <c r="I216" s="84"/>
      <c r="J216" s="85"/>
      <c r="K216" s="130">
        <f>K217+K244+K240</f>
        <v>31923.131600000004</v>
      </c>
      <c r="L216" s="130">
        <f>L217+L244+L240</f>
        <v>0</v>
      </c>
      <c r="M216" s="130">
        <f>M217+M244+M240</f>
        <v>31923.131600000004</v>
      </c>
      <c r="N216" s="130">
        <f>N217+N244+N240</f>
        <v>35109.031600000002</v>
      </c>
    </row>
    <row r="217" spans="1:14" s="131" customFormat="1" ht="54" x14ac:dyDescent="0.35">
      <c r="A217" s="126"/>
      <c r="B217" s="540" t="s">
        <v>225</v>
      </c>
      <c r="C217" s="127" t="s">
        <v>412</v>
      </c>
      <c r="D217" s="128" t="s">
        <v>37</v>
      </c>
      <c r="E217" s="128" t="s">
        <v>71</v>
      </c>
      <c r="F217" s="93" t="s">
        <v>226</v>
      </c>
      <c r="G217" s="83" t="s">
        <v>42</v>
      </c>
      <c r="H217" s="83" t="s">
        <v>43</v>
      </c>
      <c r="I217" s="84" t="s">
        <v>44</v>
      </c>
      <c r="J217" s="85"/>
      <c r="K217" s="130">
        <f>K218+K222</f>
        <v>25516.300000000003</v>
      </c>
      <c r="L217" s="130">
        <f>L218+L222</f>
        <v>0</v>
      </c>
      <c r="M217" s="130">
        <f>M218+M222</f>
        <v>25516.300000000003</v>
      </c>
      <c r="N217" s="130">
        <f>N218+N222</f>
        <v>28698.300000000003</v>
      </c>
    </row>
    <row r="218" spans="1:14" s="131" customFormat="1" ht="36" x14ac:dyDescent="0.35">
      <c r="A218" s="126"/>
      <c r="B218" s="540" t="s">
        <v>227</v>
      </c>
      <c r="C218" s="127" t="s">
        <v>412</v>
      </c>
      <c r="D218" s="128" t="s">
        <v>37</v>
      </c>
      <c r="E218" s="128" t="s">
        <v>71</v>
      </c>
      <c r="F218" s="132" t="s">
        <v>226</v>
      </c>
      <c r="G218" s="133" t="s">
        <v>45</v>
      </c>
      <c r="H218" s="133" t="s">
        <v>43</v>
      </c>
      <c r="I218" s="134" t="s">
        <v>44</v>
      </c>
      <c r="J218" s="85"/>
      <c r="K218" s="130">
        <f t="shared" ref="K218:N220" si="37">K219</f>
        <v>0</v>
      </c>
      <c r="L218" s="130">
        <f t="shared" si="37"/>
        <v>0</v>
      </c>
      <c r="M218" s="130">
        <f t="shared" si="37"/>
        <v>0</v>
      </c>
      <c r="N218" s="130">
        <f t="shared" si="37"/>
        <v>825.3</v>
      </c>
    </row>
    <row r="219" spans="1:14" s="125" customFormat="1" ht="36" x14ac:dyDescent="0.35">
      <c r="A219" s="126"/>
      <c r="B219" s="551" t="s">
        <v>336</v>
      </c>
      <c r="C219" s="127" t="s">
        <v>412</v>
      </c>
      <c r="D219" s="128" t="s">
        <v>37</v>
      </c>
      <c r="E219" s="128" t="s">
        <v>71</v>
      </c>
      <c r="F219" s="82" t="s">
        <v>226</v>
      </c>
      <c r="G219" s="83" t="s">
        <v>45</v>
      </c>
      <c r="H219" s="83" t="s">
        <v>39</v>
      </c>
      <c r="I219" s="84" t="s">
        <v>44</v>
      </c>
      <c r="J219" s="85"/>
      <c r="K219" s="130">
        <f>K220</f>
        <v>0</v>
      </c>
      <c r="L219" s="130">
        <f>L220</f>
        <v>0</v>
      </c>
      <c r="M219" s="130">
        <f>M220</f>
        <v>0</v>
      </c>
      <c r="N219" s="130">
        <f>N220</f>
        <v>825.3</v>
      </c>
    </row>
    <row r="220" spans="1:14" s="125" customFormat="1" ht="36" x14ac:dyDescent="0.35">
      <c r="A220" s="126"/>
      <c r="B220" s="551" t="s">
        <v>335</v>
      </c>
      <c r="C220" s="127" t="s">
        <v>412</v>
      </c>
      <c r="D220" s="128" t="s">
        <v>37</v>
      </c>
      <c r="E220" s="128" t="s">
        <v>71</v>
      </c>
      <c r="F220" s="82" t="s">
        <v>226</v>
      </c>
      <c r="G220" s="83" t="s">
        <v>45</v>
      </c>
      <c r="H220" s="83" t="s">
        <v>39</v>
      </c>
      <c r="I220" s="84" t="s">
        <v>334</v>
      </c>
      <c r="J220" s="85"/>
      <c r="K220" s="130">
        <f t="shared" si="37"/>
        <v>0</v>
      </c>
      <c r="L220" s="130">
        <f t="shared" si="37"/>
        <v>0</v>
      </c>
      <c r="M220" s="130">
        <f t="shared" si="37"/>
        <v>0</v>
      </c>
      <c r="N220" s="130">
        <f t="shared" si="37"/>
        <v>825.3</v>
      </c>
    </row>
    <row r="221" spans="1:14" s="125" customFormat="1" ht="54" x14ac:dyDescent="0.35">
      <c r="A221" s="126"/>
      <c r="B221" s="551" t="s">
        <v>55</v>
      </c>
      <c r="C221" s="127" t="s">
        <v>412</v>
      </c>
      <c r="D221" s="128" t="s">
        <v>37</v>
      </c>
      <c r="E221" s="128" t="s">
        <v>71</v>
      </c>
      <c r="F221" s="82" t="s">
        <v>226</v>
      </c>
      <c r="G221" s="83" t="s">
        <v>45</v>
      </c>
      <c r="H221" s="83" t="s">
        <v>39</v>
      </c>
      <c r="I221" s="84" t="s">
        <v>334</v>
      </c>
      <c r="J221" s="85" t="s">
        <v>56</v>
      </c>
      <c r="K221" s="130">
        <f>820.1-820.1</f>
        <v>0</v>
      </c>
      <c r="L221" s="24">
        <f>M221-K221</f>
        <v>0</v>
      </c>
      <c r="M221" s="130">
        <f>820.1-820.1</f>
        <v>0</v>
      </c>
      <c r="N221" s="130">
        <v>825.3</v>
      </c>
    </row>
    <row r="222" spans="1:14" s="125" customFormat="1" ht="36" x14ac:dyDescent="0.35">
      <c r="A222" s="126"/>
      <c r="B222" s="540" t="s">
        <v>229</v>
      </c>
      <c r="C222" s="127" t="s">
        <v>412</v>
      </c>
      <c r="D222" s="128" t="s">
        <v>37</v>
      </c>
      <c r="E222" s="128" t="s">
        <v>71</v>
      </c>
      <c r="F222" s="93" t="s">
        <v>226</v>
      </c>
      <c r="G222" s="83" t="s">
        <v>89</v>
      </c>
      <c r="H222" s="83" t="s">
        <v>43</v>
      </c>
      <c r="I222" s="84" t="s">
        <v>44</v>
      </c>
      <c r="J222" s="85"/>
      <c r="K222" s="130">
        <f>K223+K234+K237</f>
        <v>25516.300000000003</v>
      </c>
      <c r="L222" s="130">
        <f>L223+L234+L237</f>
        <v>0</v>
      </c>
      <c r="M222" s="130">
        <f>M223+M234+M237</f>
        <v>25516.300000000003</v>
      </c>
      <c r="N222" s="130">
        <f>N223+N234+N237</f>
        <v>27873.000000000004</v>
      </c>
    </row>
    <row r="223" spans="1:14" s="131" customFormat="1" ht="72" x14ac:dyDescent="0.35">
      <c r="A223" s="126"/>
      <c r="B223" s="540" t="s">
        <v>300</v>
      </c>
      <c r="C223" s="127" t="s">
        <v>412</v>
      </c>
      <c r="D223" s="128" t="s">
        <v>37</v>
      </c>
      <c r="E223" s="128" t="s">
        <v>71</v>
      </c>
      <c r="F223" s="93" t="s">
        <v>226</v>
      </c>
      <c r="G223" s="83" t="s">
        <v>89</v>
      </c>
      <c r="H223" s="83" t="s">
        <v>37</v>
      </c>
      <c r="I223" s="84" t="s">
        <v>44</v>
      </c>
      <c r="J223" s="85"/>
      <c r="K223" s="130">
        <f>K224+K228+K232</f>
        <v>25503.800000000003</v>
      </c>
      <c r="L223" s="130">
        <f>L224+L228+L232</f>
        <v>0</v>
      </c>
      <c r="M223" s="130">
        <f>M224+M228+M232</f>
        <v>25503.800000000003</v>
      </c>
      <c r="N223" s="130">
        <f>N224+N228+N232</f>
        <v>27095.600000000002</v>
      </c>
    </row>
    <row r="224" spans="1:14" s="125" customFormat="1" ht="36" x14ac:dyDescent="0.35">
      <c r="A224" s="126"/>
      <c r="B224" s="540" t="s">
        <v>47</v>
      </c>
      <c r="C224" s="127" t="s">
        <v>412</v>
      </c>
      <c r="D224" s="128" t="s">
        <v>37</v>
      </c>
      <c r="E224" s="128" t="s">
        <v>71</v>
      </c>
      <c r="F224" s="135" t="s">
        <v>226</v>
      </c>
      <c r="G224" s="133" t="s">
        <v>89</v>
      </c>
      <c r="H224" s="133" t="s">
        <v>37</v>
      </c>
      <c r="I224" s="134" t="s">
        <v>48</v>
      </c>
      <c r="J224" s="85"/>
      <c r="K224" s="130">
        <f>K225+K226+K227</f>
        <v>15766.800000000001</v>
      </c>
      <c r="L224" s="130">
        <f>L225+L226+L227</f>
        <v>0</v>
      </c>
      <c r="M224" s="130">
        <f>M225+M226+M227</f>
        <v>15766.800000000001</v>
      </c>
      <c r="N224" s="130">
        <f>N225+N226+N227</f>
        <v>16119.400000000001</v>
      </c>
    </row>
    <row r="225" spans="1:14" s="131" customFormat="1" ht="108" x14ac:dyDescent="0.35">
      <c r="A225" s="126"/>
      <c r="B225" s="496" t="s">
        <v>49</v>
      </c>
      <c r="C225" s="127" t="s">
        <v>412</v>
      </c>
      <c r="D225" s="128" t="s">
        <v>37</v>
      </c>
      <c r="E225" s="128" t="s">
        <v>71</v>
      </c>
      <c r="F225" s="93" t="s">
        <v>226</v>
      </c>
      <c r="G225" s="83" t="s">
        <v>89</v>
      </c>
      <c r="H225" s="83" t="s">
        <v>37</v>
      </c>
      <c r="I225" s="84" t="s">
        <v>48</v>
      </c>
      <c r="J225" s="85" t="s">
        <v>50</v>
      </c>
      <c r="K225" s="130">
        <v>15765.6</v>
      </c>
      <c r="L225" s="24">
        <f>M225-K225</f>
        <v>0</v>
      </c>
      <c r="M225" s="130">
        <v>15765.6</v>
      </c>
      <c r="N225" s="130">
        <v>15765.6</v>
      </c>
    </row>
    <row r="226" spans="1:14" s="131" customFormat="1" ht="54" x14ac:dyDescent="0.35">
      <c r="A226" s="126"/>
      <c r="B226" s="551" t="s">
        <v>55</v>
      </c>
      <c r="C226" s="127" t="s">
        <v>412</v>
      </c>
      <c r="D226" s="128" t="s">
        <v>37</v>
      </c>
      <c r="E226" s="128" t="s">
        <v>71</v>
      </c>
      <c r="F226" s="93" t="s">
        <v>226</v>
      </c>
      <c r="G226" s="83" t="s">
        <v>89</v>
      </c>
      <c r="H226" s="83" t="s">
        <v>37</v>
      </c>
      <c r="I226" s="84" t="s">
        <v>48</v>
      </c>
      <c r="J226" s="85" t="s">
        <v>56</v>
      </c>
      <c r="K226" s="130">
        <f>352.3-352.3</f>
        <v>0</v>
      </c>
      <c r="L226" s="24">
        <f>M226-K226</f>
        <v>0</v>
      </c>
      <c r="M226" s="130">
        <f>352.3-352.3</f>
        <v>0</v>
      </c>
      <c r="N226" s="130">
        <v>352.6</v>
      </c>
    </row>
    <row r="227" spans="1:14" s="131" customFormat="1" ht="18" x14ac:dyDescent="0.35">
      <c r="A227" s="126"/>
      <c r="B227" s="540" t="s">
        <v>57</v>
      </c>
      <c r="C227" s="127" t="s">
        <v>412</v>
      </c>
      <c r="D227" s="128" t="s">
        <v>37</v>
      </c>
      <c r="E227" s="128" t="s">
        <v>71</v>
      </c>
      <c r="F227" s="93" t="s">
        <v>226</v>
      </c>
      <c r="G227" s="83" t="s">
        <v>89</v>
      </c>
      <c r="H227" s="83" t="s">
        <v>37</v>
      </c>
      <c r="I227" s="84" t="s">
        <v>48</v>
      </c>
      <c r="J227" s="85" t="s">
        <v>58</v>
      </c>
      <c r="K227" s="130">
        <v>1.2</v>
      </c>
      <c r="L227" s="24">
        <f>M227-K227</f>
        <v>0</v>
      </c>
      <c r="M227" s="130">
        <v>1.2</v>
      </c>
      <c r="N227" s="130">
        <v>1.2</v>
      </c>
    </row>
    <row r="228" spans="1:14" s="131" customFormat="1" ht="36" x14ac:dyDescent="0.35">
      <c r="A228" s="126"/>
      <c r="B228" s="574" t="s">
        <v>461</v>
      </c>
      <c r="C228" s="127" t="s">
        <v>412</v>
      </c>
      <c r="D228" s="128" t="s">
        <v>37</v>
      </c>
      <c r="E228" s="128" t="s">
        <v>71</v>
      </c>
      <c r="F228" s="93" t="s">
        <v>226</v>
      </c>
      <c r="G228" s="83" t="s">
        <v>89</v>
      </c>
      <c r="H228" s="83" t="s">
        <v>37</v>
      </c>
      <c r="I228" s="84" t="s">
        <v>91</v>
      </c>
      <c r="J228" s="85"/>
      <c r="K228" s="130">
        <f>K229+K230+K231</f>
        <v>9737</v>
      </c>
      <c r="L228" s="130">
        <f>L229+L230+L231</f>
        <v>0</v>
      </c>
      <c r="M228" s="130">
        <f>M229+M230+M231</f>
        <v>9737</v>
      </c>
      <c r="N228" s="130">
        <f>N229+N230+N231</f>
        <v>10281.799999999999</v>
      </c>
    </row>
    <row r="229" spans="1:14" s="131" customFormat="1" ht="108" x14ac:dyDescent="0.35">
      <c r="A229" s="126"/>
      <c r="B229" s="496" t="s">
        <v>49</v>
      </c>
      <c r="C229" s="127" t="s">
        <v>412</v>
      </c>
      <c r="D229" s="128" t="s">
        <v>37</v>
      </c>
      <c r="E229" s="128" t="s">
        <v>71</v>
      </c>
      <c r="F229" s="93" t="s">
        <v>226</v>
      </c>
      <c r="G229" s="83" t="s">
        <v>89</v>
      </c>
      <c r="H229" s="83" t="s">
        <v>37</v>
      </c>
      <c r="I229" s="84" t="s">
        <v>91</v>
      </c>
      <c r="J229" s="85" t="s">
        <v>50</v>
      </c>
      <c r="K229" s="130">
        <v>9628.6</v>
      </c>
      <c r="L229" s="24">
        <f>M229-K229</f>
        <v>0</v>
      </c>
      <c r="M229" s="130">
        <v>9628.6</v>
      </c>
      <c r="N229" s="130">
        <v>9628.6</v>
      </c>
    </row>
    <row r="230" spans="1:14" s="131" customFormat="1" ht="54" x14ac:dyDescent="0.35">
      <c r="A230" s="126"/>
      <c r="B230" s="551" t="s">
        <v>55</v>
      </c>
      <c r="C230" s="127" t="s">
        <v>412</v>
      </c>
      <c r="D230" s="128" t="s">
        <v>37</v>
      </c>
      <c r="E230" s="128" t="s">
        <v>71</v>
      </c>
      <c r="F230" s="135" t="s">
        <v>226</v>
      </c>
      <c r="G230" s="133" t="s">
        <v>89</v>
      </c>
      <c r="H230" s="133" t="s">
        <v>37</v>
      </c>
      <c r="I230" s="134" t="s">
        <v>91</v>
      </c>
      <c r="J230" s="85" t="s">
        <v>56</v>
      </c>
      <c r="K230" s="130">
        <f>629.6-542.7</f>
        <v>86.899999999999977</v>
      </c>
      <c r="L230" s="24">
        <f>M230-K230</f>
        <v>0</v>
      </c>
      <c r="M230" s="130">
        <f>629.6-542.7</f>
        <v>86.899999999999977</v>
      </c>
      <c r="N230" s="130">
        <v>632.9</v>
      </c>
    </row>
    <row r="231" spans="1:14" s="131" customFormat="1" ht="18" x14ac:dyDescent="0.35">
      <c r="A231" s="126"/>
      <c r="B231" s="540" t="s">
        <v>57</v>
      </c>
      <c r="C231" s="127" t="s">
        <v>412</v>
      </c>
      <c r="D231" s="128" t="s">
        <v>37</v>
      </c>
      <c r="E231" s="128" t="s">
        <v>71</v>
      </c>
      <c r="F231" s="93" t="s">
        <v>226</v>
      </c>
      <c r="G231" s="83" t="s">
        <v>89</v>
      </c>
      <c r="H231" s="83" t="s">
        <v>37</v>
      </c>
      <c r="I231" s="84" t="s">
        <v>91</v>
      </c>
      <c r="J231" s="85" t="s">
        <v>58</v>
      </c>
      <c r="K231" s="130">
        <v>21.5</v>
      </c>
      <c r="L231" s="24">
        <f>M231-K231</f>
        <v>0</v>
      </c>
      <c r="M231" s="130">
        <v>21.5</v>
      </c>
      <c r="N231" s="130">
        <v>20.3</v>
      </c>
    </row>
    <row r="232" spans="1:14" s="131" customFormat="1" ht="54" x14ac:dyDescent="0.35">
      <c r="A232" s="126"/>
      <c r="B232" s="551" t="s">
        <v>352</v>
      </c>
      <c r="C232" s="127" t="s">
        <v>412</v>
      </c>
      <c r="D232" s="128" t="s">
        <v>37</v>
      </c>
      <c r="E232" s="128" t="s">
        <v>71</v>
      </c>
      <c r="F232" s="93" t="s">
        <v>226</v>
      </c>
      <c r="G232" s="83" t="s">
        <v>89</v>
      </c>
      <c r="H232" s="83" t="s">
        <v>37</v>
      </c>
      <c r="I232" s="84" t="s">
        <v>351</v>
      </c>
      <c r="J232" s="85"/>
      <c r="K232" s="130">
        <f>K233</f>
        <v>0</v>
      </c>
      <c r="L232" s="130">
        <f>L233</f>
        <v>0</v>
      </c>
      <c r="M232" s="130">
        <f>M233</f>
        <v>0</v>
      </c>
      <c r="N232" s="130">
        <f>N233</f>
        <v>694.4</v>
      </c>
    </row>
    <row r="233" spans="1:14" s="131" customFormat="1" ht="54" x14ac:dyDescent="0.35">
      <c r="A233" s="126"/>
      <c r="B233" s="551" t="s">
        <v>55</v>
      </c>
      <c r="C233" s="127" t="s">
        <v>412</v>
      </c>
      <c r="D233" s="128" t="s">
        <v>37</v>
      </c>
      <c r="E233" s="128" t="s">
        <v>71</v>
      </c>
      <c r="F233" s="93" t="s">
        <v>226</v>
      </c>
      <c r="G233" s="83" t="s">
        <v>89</v>
      </c>
      <c r="H233" s="83" t="s">
        <v>37</v>
      </c>
      <c r="I233" s="160" t="s">
        <v>351</v>
      </c>
      <c r="J233" s="85" t="s">
        <v>56</v>
      </c>
      <c r="K233" s="130">
        <f>694.4-694.4</f>
        <v>0</v>
      </c>
      <c r="L233" s="24">
        <f>M233-K233</f>
        <v>0</v>
      </c>
      <c r="M233" s="130">
        <f>694.4-694.4</f>
        <v>0</v>
      </c>
      <c r="N233" s="130">
        <v>694.4</v>
      </c>
    </row>
    <row r="234" spans="1:14" s="131" customFormat="1" ht="36" x14ac:dyDescent="0.35">
      <c r="A234" s="126"/>
      <c r="B234" s="553" t="s">
        <v>349</v>
      </c>
      <c r="C234" s="162" t="s">
        <v>412</v>
      </c>
      <c r="D234" s="163" t="s">
        <v>37</v>
      </c>
      <c r="E234" s="163" t="s">
        <v>71</v>
      </c>
      <c r="F234" s="93" t="s">
        <v>226</v>
      </c>
      <c r="G234" s="94" t="s">
        <v>89</v>
      </c>
      <c r="H234" s="94" t="s">
        <v>39</v>
      </c>
      <c r="I234" s="95" t="s">
        <v>44</v>
      </c>
      <c r="J234" s="96"/>
      <c r="K234" s="130">
        <f t="shared" ref="K234:N235" si="38">K235</f>
        <v>0</v>
      </c>
      <c r="L234" s="130">
        <f t="shared" si="38"/>
        <v>0</v>
      </c>
      <c r="M234" s="130">
        <f t="shared" si="38"/>
        <v>0</v>
      </c>
      <c r="N234" s="130">
        <f t="shared" si="38"/>
        <v>764.9</v>
      </c>
    </row>
    <row r="235" spans="1:14" s="131" customFormat="1" ht="54" x14ac:dyDescent="0.35">
      <c r="A235" s="126"/>
      <c r="B235" s="554" t="s">
        <v>350</v>
      </c>
      <c r="C235" s="127" t="s">
        <v>412</v>
      </c>
      <c r="D235" s="128" t="s">
        <v>37</v>
      </c>
      <c r="E235" s="128" t="s">
        <v>71</v>
      </c>
      <c r="F235" s="136" t="s">
        <v>226</v>
      </c>
      <c r="G235" s="94" t="s">
        <v>89</v>
      </c>
      <c r="H235" s="94" t="s">
        <v>39</v>
      </c>
      <c r="I235" s="95" t="s">
        <v>105</v>
      </c>
      <c r="J235" s="97"/>
      <c r="K235" s="130">
        <f t="shared" si="38"/>
        <v>0</v>
      </c>
      <c r="L235" s="130">
        <f t="shared" si="38"/>
        <v>0</v>
      </c>
      <c r="M235" s="130">
        <f t="shared" si="38"/>
        <v>0</v>
      </c>
      <c r="N235" s="130">
        <f t="shared" si="38"/>
        <v>764.9</v>
      </c>
    </row>
    <row r="236" spans="1:14" s="131" customFormat="1" ht="54" x14ac:dyDescent="0.35">
      <c r="A236" s="126"/>
      <c r="B236" s="555" t="s">
        <v>55</v>
      </c>
      <c r="C236" s="127" t="s">
        <v>412</v>
      </c>
      <c r="D236" s="128" t="s">
        <v>37</v>
      </c>
      <c r="E236" s="128" t="s">
        <v>71</v>
      </c>
      <c r="F236" s="136" t="s">
        <v>226</v>
      </c>
      <c r="G236" s="99" t="s">
        <v>89</v>
      </c>
      <c r="H236" s="99" t="s">
        <v>39</v>
      </c>
      <c r="I236" s="169" t="s">
        <v>105</v>
      </c>
      <c r="J236" s="170" t="s">
        <v>56</v>
      </c>
      <c r="K236" s="130">
        <f>764.9-764.9</f>
        <v>0</v>
      </c>
      <c r="L236" s="24">
        <f>M236-K236</f>
        <v>0</v>
      </c>
      <c r="M236" s="130">
        <f>764.9-764.9</f>
        <v>0</v>
      </c>
      <c r="N236" s="130">
        <v>764.9</v>
      </c>
    </row>
    <row r="237" spans="1:14" s="131" customFormat="1" ht="36" x14ac:dyDescent="0.35">
      <c r="A237" s="126"/>
      <c r="B237" s="556" t="s">
        <v>372</v>
      </c>
      <c r="C237" s="127" t="s">
        <v>412</v>
      </c>
      <c r="D237" s="128" t="s">
        <v>37</v>
      </c>
      <c r="E237" s="128" t="s">
        <v>71</v>
      </c>
      <c r="F237" s="136" t="s">
        <v>226</v>
      </c>
      <c r="G237" s="94" t="s">
        <v>89</v>
      </c>
      <c r="H237" s="94" t="s">
        <v>63</v>
      </c>
      <c r="I237" s="95" t="s">
        <v>44</v>
      </c>
      <c r="J237" s="97"/>
      <c r="K237" s="130">
        <f t="shared" ref="K237:N238" si="39">K238</f>
        <v>12.5</v>
      </c>
      <c r="L237" s="130">
        <f t="shared" si="39"/>
        <v>0</v>
      </c>
      <c r="M237" s="130">
        <f t="shared" si="39"/>
        <v>12.5</v>
      </c>
      <c r="N237" s="130">
        <f t="shared" si="39"/>
        <v>12.5</v>
      </c>
    </row>
    <row r="238" spans="1:14" s="131" customFormat="1" ht="36" x14ac:dyDescent="0.35">
      <c r="A238" s="126"/>
      <c r="B238" s="556" t="s">
        <v>335</v>
      </c>
      <c r="C238" s="127" t="s">
        <v>412</v>
      </c>
      <c r="D238" s="128" t="s">
        <v>37</v>
      </c>
      <c r="E238" s="128" t="s">
        <v>71</v>
      </c>
      <c r="F238" s="98" t="s">
        <v>226</v>
      </c>
      <c r="G238" s="99" t="s">
        <v>89</v>
      </c>
      <c r="H238" s="99" t="s">
        <v>63</v>
      </c>
      <c r="I238" s="169" t="s">
        <v>334</v>
      </c>
      <c r="J238" s="97"/>
      <c r="K238" s="130">
        <f t="shared" si="39"/>
        <v>12.5</v>
      </c>
      <c r="L238" s="130">
        <f t="shared" si="39"/>
        <v>0</v>
      </c>
      <c r="M238" s="130">
        <f t="shared" si="39"/>
        <v>12.5</v>
      </c>
      <c r="N238" s="130">
        <f t="shared" si="39"/>
        <v>12.5</v>
      </c>
    </row>
    <row r="239" spans="1:14" s="131" customFormat="1" ht="18" x14ac:dyDescent="0.35">
      <c r="A239" s="126"/>
      <c r="B239" s="540" t="s">
        <v>57</v>
      </c>
      <c r="C239" s="172" t="s">
        <v>412</v>
      </c>
      <c r="D239" s="128" t="s">
        <v>37</v>
      </c>
      <c r="E239" s="128" t="s">
        <v>71</v>
      </c>
      <c r="F239" s="93" t="s">
        <v>226</v>
      </c>
      <c r="G239" s="94" t="s">
        <v>89</v>
      </c>
      <c r="H239" s="94" t="s">
        <v>63</v>
      </c>
      <c r="I239" s="95" t="s">
        <v>334</v>
      </c>
      <c r="J239" s="97" t="s">
        <v>58</v>
      </c>
      <c r="K239" s="130">
        <v>12.5</v>
      </c>
      <c r="L239" s="24">
        <f>M239-K239</f>
        <v>0</v>
      </c>
      <c r="M239" s="130">
        <v>12.5</v>
      </c>
      <c r="N239" s="130">
        <v>12.5</v>
      </c>
    </row>
    <row r="240" spans="1:14" s="131" customFormat="1" ht="36" x14ac:dyDescent="0.35">
      <c r="A240" s="126"/>
      <c r="B240" s="525" t="s">
        <v>337</v>
      </c>
      <c r="C240" s="483" t="s">
        <v>412</v>
      </c>
      <c r="D240" s="474" t="s">
        <v>37</v>
      </c>
      <c r="E240" s="474" t="s">
        <v>71</v>
      </c>
      <c r="F240" s="379" t="s">
        <v>79</v>
      </c>
      <c r="G240" s="380" t="s">
        <v>45</v>
      </c>
      <c r="H240" s="380" t="s">
        <v>43</v>
      </c>
      <c r="I240" s="381" t="s">
        <v>44</v>
      </c>
      <c r="J240" s="382"/>
      <c r="K240" s="130">
        <f t="shared" ref="K240:N242" si="40">K241</f>
        <v>45.631599999999999</v>
      </c>
      <c r="L240" s="130">
        <f t="shared" si="40"/>
        <v>0</v>
      </c>
      <c r="M240" s="130">
        <f t="shared" si="40"/>
        <v>45.631599999999999</v>
      </c>
      <c r="N240" s="130">
        <f t="shared" si="40"/>
        <v>45.631599999999999</v>
      </c>
    </row>
    <row r="241" spans="1:14" s="131" customFormat="1" ht="90" x14ac:dyDescent="0.35">
      <c r="A241" s="126"/>
      <c r="B241" s="525" t="s">
        <v>299</v>
      </c>
      <c r="C241" s="483" t="s">
        <v>412</v>
      </c>
      <c r="D241" s="474" t="s">
        <v>37</v>
      </c>
      <c r="E241" s="474" t="s">
        <v>71</v>
      </c>
      <c r="F241" s="379" t="s">
        <v>79</v>
      </c>
      <c r="G241" s="380" t="s">
        <v>45</v>
      </c>
      <c r="H241" s="380" t="s">
        <v>39</v>
      </c>
      <c r="I241" s="381" t="s">
        <v>44</v>
      </c>
      <c r="J241" s="382"/>
      <c r="K241" s="130">
        <f t="shared" si="40"/>
        <v>45.631599999999999</v>
      </c>
      <c r="L241" s="130">
        <f t="shared" si="40"/>
        <v>0</v>
      </c>
      <c r="M241" s="130">
        <f t="shared" si="40"/>
        <v>45.631599999999999</v>
      </c>
      <c r="N241" s="130">
        <f t="shared" si="40"/>
        <v>45.631599999999999</v>
      </c>
    </row>
    <row r="242" spans="1:14" s="131" customFormat="1" ht="108" x14ac:dyDescent="0.35">
      <c r="A242" s="126"/>
      <c r="B242" s="522" t="s">
        <v>414</v>
      </c>
      <c r="C242" s="473" t="s">
        <v>412</v>
      </c>
      <c r="D242" s="474" t="s">
        <v>37</v>
      </c>
      <c r="E242" s="474" t="s">
        <v>71</v>
      </c>
      <c r="F242" s="336" t="s">
        <v>79</v>
      </c>
      <c r="G242" s="337" t="s">
        <v>45</v>
      </c>
      <c r="H242" s="337" t="s">
        <v>39</v>
      </c>
      <c r="I242" s="338" t="s">
        <v>415</v>
      </c>
      <c r="J242" s="339"/>
      <c r="K242" s="130">
        <f t="shared" si="40"/>
        <v>45.631599999999999</v>
      </c>
      <c r="L242" s="130">
        <f t="shared" si="40"/>
        <v>0</v>
      </c>
      <c r="M242" s="130">
        <f t="shared" si="40"/>
        <v>45.631599999999999</v>
      </c>
      <c r="N242" s="130">
        <f t="shared" si="40"/>
        <v>45.631599999999999</v>
      </c>
    </row>
    <row r="243" spans="1:14" s="131" customFormat="1" ht="54" x14ac:dyDescent="0.35">
      <c r="A243" s="126"/>
      <c r="B243" s="525" t="s">
        <v>55</v>
      </c>
      <c r="C243" s="473" t="s">
        <v>412</v>
      </c>
      <c r="D243" s="474" t="s">
        <v>37</v>
      </c>
      <c r="E243" s="474" t="s">
        <v>71</v>
      </c>
      <c r="F243" s="336" t="s">
        <v>79</v>
      </c>
      <c r="G243" s="337" t="s">
        <v>45</v>
      </c>
      <c r="H243" s="337" t="s">
        <v>39</v>
      </c>
      <c r="I243" s="338" t="s">
        <v>415</v>
      </c>
      <c r="J243" s="484" t="s">
        <v>56</v>
      </c>
      <c r="K243" s="130">
        <f>50.2-0.0148-4.5536</f>
        <v>45.631599999999999</v>
      </c>
      <c r="L243" s="24">
        <f>M243-K243</f>
        <v>0</v>
      </c>
      <c r="M243" s="130">
        <f>50.2-0.0148-4.5536</f>
        <v>45.631599999999999</v>
      </c>
      <c r="N243" s="130">
        <f>50.2-0.0148-4.5536</f>
        <v>45.631599999999999</v>
      </c>
    </row>
    <row r="244" spans="1:14" s="131" customFormat="1" ht="54" x14ac:dyDescent="0.35">
      <c r="A244" s="126"/>
      <c r="B244" s="557" t="s">
        <v>40</v>
      </c>
      <c r="C244" s="127" t="s">
        <v>412</v>
      </c>
      <c r="D244" s="128" t="s">
        <v>37</v>
      </c>
      <c r="E244" s="128" t="s">
        <v>71</v>
      </c>
      <c r="F244" s="136" t="s">
        <v>41</v>
      </c>
      <c r="G244" s="83" t="s">
        <v>42</v>
      </c>
      <c r="H244" s="83" t="s">
        <v>43</v>
      </c>
      <c r="I244" s="84" t="s">
        <v>44</v>
      </c>
      <c r="J244" s="85"/>
      <c r="K244" s="130">
        <f t="shared" ref="K244:N246" si="41">K245</f>
        <v>6361.2</v>
      </c>
      <c r="L244" s="130">
        <f t="shared" si="41"/>
        <v>0</v>
      </c>
      <c r="M244" s="130">
        <f t="shared" si="41"/>
        <v>6361.2</v>
      </c>
      <c r="N244" s="130">
        <f t="shared" si="41"/>
        <v>6365.0999999999995</v>
      </c>
    </row>
    <row r="245" spans="1:14" s="131" customFormat="1" ht="36" x14ac:dyDescent="0.35">
      <c r="A245" s="126"/>
      <c r="B245" s="551" t="s">
        <v>337</v>
      </c>
      <c r="C245" s="127" t="s">
        <v>412</v>
      </c>
      <c r="D245" s="128" t="s">
        <v>37</v>
      </c>
      <c r="E245" s="128" t="s">
        <v>71</v>
      </c>
      <c r="F245" s="93" t="s">
        <v>41</v>
      </c>
      <c r="G245" s="83" t="s">
        <v>45</v>
      </c>
      <c r="H245" s="83" t="s">
        <v>43</v>
      </c>
      <c r="I245" s="84" t="s">
        <v>44</v>
      </c>
      <c r="J245" s="85"/>
      <c r="K245" s="130">
        <f t="shared" si="41"/>
        <v>6361.2</v>
      </c>
      <c r="L245" s="130">
        <f t="shared" si="41"/>
        <v>0</v>
      </c>
      <c r="M245" s="130">
        <f t="shared" si="41"/>
        <v>6361.2</v>
      </c>
      <c r="N245" s="130">
        <f t="shared" si="41"/>
        <v>6365.0999999999995</v>
      </c>
    </row>
    <row r="246" spans="1:14" s="131" customFormat="1" ht="72" x14ac:dyDescent="0.35">
      <c r="A246" s="126"/>
      <c r="B246" s="540" t="s">
        <v>298</v>
      </c>
      <c r="C246" s="127" t="s">
        <v>412</v>
      </c>
      <c r="D246" s="128" t="s">
        <v>37</v>
      </c>
      <c r="E246" s="128" t="s">
        <v>71</v>
      </c>
      <c r="F246" s="93" t="s">
        <v>41</v>
      </c>
      <c r="G246" s="83" t="s">
        <v>45</v>
      </c>
      <c r="H246" s="83" t="s">
        <v>81</v>
      </c>
      <c r="I246" s="84" t="s">
        <v>44</v>
      </c>
      <c r="J246" s="85"/>
      <c r="K246" s="130">
        <f t="shared" si="41"/>
        <v>6361.2</v>
      </c>
      <c r="L246" s="130">
        <f t="shared" si="41"/>
        <v>0</v>
      </c>
      <c r="M246" s="130">
        <f t="shared" si="41"/>
        <v>6361.2</v>
      </c>
      <c r="N246" s="130">
        <f t="shared" si="41"/>
        <v>6365.0999999999995</v>
      </c>
    </row>
    <row r="247" spans="1:14" s="131" customFormat="1" ht="36" x14ac:dyDescent="0.35">
      <c r="A247" s="126"/>
      <c r="B247" s="574" t="s">
        <v>461</v>
      </c>
      <c r="C247" s="127" t="s">
        <v>412</v>
      </c>
      <c r="D247" s="128" t="s">
        <v>37</v>
      </c>
      <c r="E247" s="128" t="s">
        <v>71</v>
      </c>
      <c r="F247" s="93" t="s">
        <v>41</v>
      </c>
      <c r="G247" s="83" t="s">
        <v>45</v>
      </c>
      <c r="H247" s="83" t="s">
        <v>81</v>
      </c>
      <c r="I247" s="84" t="s">
        <v>91</v>
      </c>
      <c r="J247" s="85"/>
      <c r="K247" s="130">
        <f>K248+K249</f>
        <v>6361.2</v>
      </c>
      <c r="L247" s="130">
        <f>L248+L249</f>
        <v>0</v>
      </c>
      <c r="M247" s="130">
        <f>M248+M249</f>
        <v>6361.2</v>
      </c>
      <c r="N247" s="130">
        <f>N248+N249</f>
        <v>6365.0999999999995</v>
      </c>
    </row>
    <row r="248" spans="1:14" s="131" customFormat="1" ht="108" x14ac:dyDescent="0.35">
      <c r="A248" s="126"/>
      <c r="B248" s="496" t="s">
        <v>49</v>
      </c>
      <c r="C248" s="127" t="s">
        <v>412</v>
      </c>
      <c r="D248" s="128" t="s">
        <v>37</v>
      </c>
      <c r="E248" s="128" t="s">
        <v>71</v>
      </c>
      <c r="F248" s="93" t="s">
        <v>41</v>
      </c>
      <c r="G248" s="83" t="s">
        <v>45</v>
      </c>
      <c r="H248" s="83" t="s">
        <v>81</v>
      </c>
      <c r="I248" s="84" t="s">
        <v>91</v>
      </c>
      <c r="J248" s="85" t="s">
        <v>50</v>
      </c>
      <c r="K248" s="130">
        <v>5898.7</v>
      </c>
      <c r="L248" s="24">
        <f>M248-K248</f>
        <v>0</v>
      </c>
      <c r="M248" s="130">
        <v>5898.7</v>
      </c>
      <c r="N248" s="130">
        <v>5898.7</v>
      </c>
    </row>
    <row r="249" spans="1:14" s="131" customFormat="1" ht="54" x14ac:dyDescent="0.35">
      <c r="A249" s="126"/>
      <c r="B249" s="551" t="s">
        <v>55</v>
      </c>
      <c r="C249" s="127" t="s">
        <v>412</v>
      </c>
      <c r="D249" s="128" t="s">
        <v>37</v>
      </c>
      <c r="E249" s="128" t="s">
        <v>71</v>
      </c>
      <c r="F249" s="93" t="s">
        <v>41</v>
      </c>
      <c r="G249" s="83" t="s">
        <v>45</v>
      </c>
      <c r="H249" s="83" t="s">
        <v>81</v>
      </c>
      <c r="I249" s="84" t="s">
        <v>91</v>
      </c>
      <c r="J249" s="85" t="s">
        <v>56</v>
      </c>
      <c r="K249" s="195">
        <v>462.5</v>
      </c>
      <c r="L249" s="24">
        <f>M249-K249</f>
        <v>0</v>
      </c>
      <c r="M249" s="195">
        <v>462.5</v>
      </c>
      <c r="N249" s="195">
        <v>466.4</v>
      </c>
    </row>
    <row r="250" spans="1:14" s="131" customFormat="1" ht="18" x14ac:dyDescent="0.35">
      <c r="A250" s="126"/>
      <c r="B250" s="540" t="s">
        <v>177</v>
      </c>
      <c r="C250" s="127" t="s">
        <v>412</v>
      </c>
      <c r="D250" s="128" t="s">
        <v>65</v>
      </c>
      <c r="E250" s="128"/>
      <c r="F250" s="82"/>
      <c r="G250" s="83"/>
      <c r="H250" s="83"/>
      <c r="I250" s="104"/>
      <c r="J250" s="85"/>
      <c r="K250" s="257">
        <f t="shared" ref="K250:N255" si="42">K251</f>
        <v>63486.700000000004</v>
      </c>
      <c r="L250" s="24">
        <f t="shared" si="42"/>
        <v>0</v>
      </c>
      <c r="M250" s="257">
        <f t="shared" si="42"/>
        <v>63486.700000000004</v>
      </c>
      <c r="N250" s="257">
        <f t="shared" si="42"/>
        <v>0</v>
      </c>
    </row>
    <row r="251" spans="1:14" s="131" customFormat="1" ht="18" x14ac:dyDescent="0.35">
      <c r="A251" s="126"/>
      <c r="B251" s="540" t="s">
        <v>331</v>
      </c>
      <c r="C251" s="127" t="s">
        <v>412</v>
      </c>
      <c r="D251" s="128" t="s">
        <v>65</v>
      </c>
      <c r="E251" s="128" t="s">
        <v>39</v>
      </c>
      <c r="F251" s="82"/>
      <c r="G251" s="83"/>
      <c r="H251" s="83"/>
      <c r="I251" s="104"/>
      <c r="J251" s="85"/>
      <c r="K251" s="257">
        <f t="shared" si="42"/>
        <v>63486.700000000004</v>
      </c>
      <c r="L251" s="24">
        <f t="shared" si="42"/>
        <v>0</v>
      </c>
      <c r="M251" s="257">
        <f t="shared" si="42"/>
        <v>63486.700000000004</v>
      </c>
      <c r="N251" s="257">
        <f t="shared" si="42"/>
        <v>0</v>
      </c>
    </row>
    <row r="252" spans="1:14" s="131" customFormat="1" ht="72" x14ac:dyDescent="0.35">
      <c r="A252" s="126"/>
      <c r="B252" s="561" t="s">
        <v>330</v>
      </c>
      <c r="C252" s="127" t="s">
        <v>412</v>
      </c>
      <c r="D252" s="128" t="s">
        <v>65</v>
      </c>
      <c r="E252" s="128" t="s">
        <v>39</v>
      </c>
      <c r="F252" s="82" t="s">
        <v>104</v>
      </c>
      <c r="G252" s="83" t="s">
        <v>42</v>
      </c>
      <c r="H252" s="83" t="s">
        <v>43</v>
      </c>
      <c r="I252" s="104" t="s">
        <v>44</v>
      </c>
      <c r="J252" s="85"/>
      <c r="K252" s="257">
        <f t="shared" si="42"/>
        <v>63486.700000000004</v>
      </c>
      <c r="L252" s="24">
        <f t="shared" si="42"/>
        <v>0</v>
      </c>
      <c r="M252" s="257">
        <f t="shared" si="42"/>
        <v>63486.700000000004</v>
      </c>
      <c r="N252" s="257">
        <f t="shared" si="42"/>
        <v>0</v>
      </c>
    </row>
    <row r="253" spans="1:14" s="131" customFormat="1" ht="54" x14ac:dyDescent="0.35">
      <c r="A253" s="126"/>
      <c r="B253" s="551" t="s">
        <v>332</v>
      </c>
      <c r="C253" s="127" t="s">
        <v>412</v>
      </c>
      <c r="D253" s="128" t="s">
        <v>65</v>
      </c>
      <c r="E253" s="128" t="s">
        <v>39</v>
      </c>
      <c r="F253" s="82" t="s">
        <v>104</v>
      </c>
      <c r="G253" s="83" t="s">
        <v>45</v>
      </c>
      <c r="H253" s="83" t="s">
        <v>43</v>
      </c>
      <c r="I253" s="104" t="s">
        <v>44</v>
      </c>
      <c r="J253" s="85"/>
      <c r="K253" s="257">
        <f t="shared" si="42"/>
        <v>63486.700000000004</v>
      </c>
      <c r="L253" s="24">
        <f t="shared" si="42"/>
        <v>0</v>
      </c>
      <c r="M253" s="257">
        <f t="shared" si="42"/>
        <v>63486.700000000004</v>
      </c>
      <c r="N253" s="257">
        <f t="shared" si="42"/>
        <v>0</v>
      </c>
    </row>
    <row r="254" spans="1:14" s="131" customFormat="1" ht="54" x14ac:dyDescent="0.35">
      <c r="A254" s="126"/>
      <c r="B254" s="551" t="s">
        <v>371</v>
      </c>
      <c r="C254" s="127" t="s">
        <v>412</v>
      </c>
      <c r="D254" s="128" t="s">
        <v>65</v>
      </c>
      <c r="E254" s="128" t="s">
        <v>39</v>
      </c>
      <c r="F254" s="82" t="s">
        <v>104</v>
      </c>
      <c r="G254" s="83" t="s">
        <v>45</v>
      </c>
      <c r="H254" s="83" t="s">
        <v>37</v>
      </c>
      <c r="I254" s="104" t="s">
        <v>44</v>
      </c>
      <c r="J254" s="85"/>
      <c r="K254" s="257">
        <f t="shared" si="42"/>
        <v>63486.700000000004</v>
      </c>
      <c r="L254" s="24">
        <f t="shared" si="42"/>
        <v>0</v>
      </c>
      <c r="M254" s="257">
        <f t="shared" si="42"/>
        <v>63486.700000000004</v>
      </c>
      <c r="N254" s="257">
        <f t="shared" si="42"/>
        <v>0</v>
      </c>
    </row>
    <row r="255" spans="1:14" s="131" customFormat="1" ht="72" x14ac:dyDescent="0.35">
      <c r="A255" s="126"/>
      <c r="B255" s="551" t="s">
        <v>497</v>
      </c>
      <c r="C255" s="127" t="s">
        <v>412</v>
      </c>
      <c r="D255" s="128" t="s">
        <v>65</v>
      </c>
      <c r="E255" s="128" t="s">
        <v>39</v>
      </c>
      <c r="F255" s="82" t="s">
        <v>104</v>
      </c>
      <c r="G255" s="83" t="s">
        <v>45</v>
      </c>
      <c r="H255" s="83" t="s">
        <v>37</v>
      </c>
      <c r="I255" s="104" t="s">
        <v>413</v>
      </c>
      <c r="J255" s="85"/>
      <c r="K255" s="257">
        <f t="shared" si="42"/>
        <v>63486.700000000004</v>
      </c>
      <c r="L255" s="24">
        <f t="shared" si="42"/>
        <v>0</v>
      </c>
      <c r="M255" s="257">
        <f t="shared" si="42"/>
        <v>63486.700000000004</v>
      </c>
      <c r="N255" s="257">
        <f t="shared" si="42"/>
        <v>0</v>
      </c>
    </row>
    <row r="256" spans="1:14" s="131" customFormat="1" ht="54" x14ac:dyDescent="0.35">
      <c r="A256" s="126"/>
      <c r="B256" s="551" t="s">
        <v>203</v>
      </c>
      <c r="C256" s="127" t="s">
        <v>412</v>
      </c>
      <c r="D256" s="128" t="s">
        <v>65</v>
      </c>
      <c r="E256" s="128" t="s">
        <v>39</v>
      </c>
      <c r="F256" s="82" t="s">
        <v>104</v>
      </c>
      <c r="G256" s="83" t="s">
        <v>45</v>
      </c>
      <c r="H256" s="83" t="s">
        <v>37</v>
      </c>
      <c r="I256" s="104" t="s">
        <v>413</v>
      </c>
      <c r="J256" s="85" t="s">
        <v>204</v>
      </c>
      <c r="K256" s="257">
        <f>3174.4+60312.3</f>
        <v>63486.700000000004</v>
      </c>
      <c r="L256" s="24">
        <f>M256-K256</f>
        <v>0</v>
      </c>
      <c r="M256" s="257">
        <f>3174.4+60312.3</f>
        <v>63486.700000000004</v>
      </c>
      <c r="N256" s="257">
        <v>0</v>
      </c>
    </row>
    <row r="257" spans="1:14" s="131" customFormat="1" ht="18" x14ac:dyDescent="0.35">
      <c r="A257" s="126"/>
      <c r="B257" s="562" t="s">
        <v>179</v>
      </c>
      <c r="C257" s="127" t="s">
        <v>412</v>
      </c>
      <c r="D257" s="128" t="s">
        <v>224</v>
      </c>
      <c r="E257" s="128"/>
      <c r="F257" s="82"/>
      <c r="G257" s="83"/>
      <c r="H257" s="83"/>
      <c r="I257" s="104"/>
      <c r="J257" s="85"/>
      <c r="K257" s="24">
        <f>K258+K264</f>
        <v>18881.100000000002</v>
      </c>
      <c r="L257" s="24">
        <f>L258+L264</f>
        <v>0</v>
      </c>
      <c r="M257" s="24">
        <f>M258+M264</f>
        <v>18881.100000000002</v>
      </c>
      <c r="N257" s="24">
        <f>N258+N264</f>
        <v>838</v>
      </c>
    </row>
    <row r="258" spans="1:14" s="131" customFormat="1" ht="18" x14ac:dyDescent="0.35">
      <c r="A258" s="126"/>
      <c r="B258" s="562" t="s">
        <v>181</v>
      </c>
      <c r="C258" s="127" t="s">
        <v>412</v>
      </c>
      <c r="D258" s="128" t="s">
        <v>224</v>
      </c>
      <c r="E258" s="128" t="s">
        <v>37</v>
      </c>
      <c r="F258" s="82"/>
      <c r="G258" s="83"/>
      <c r="H258" s="83"/>
      <c r="I258" s="84"/>
      <c r="J258" s="85"/>
      <c r="K258" s="265">
        <f t="shared" ref="K258:N260" si="43">K259</f>
        <v>50.5</v>
      </c>
      <c r="L258" s="265">
        <f t="shared" si="43"/>
        <v>0</v>
      </c>
      <c r="M258" s="265">
        <f t="shared" si="43"/>
        <v>50.5</v>
      </c>
      <c r="N258" s="130">
        <f t="shared" si="43"/>
        <v>0</v>
      </c>
    </row>
    <row r="259" spans="1:14" s="131" customFormat="1" ht="54" x14ac:dyDescent="0.35">
      <c r="A259" s="126"/>
      <c r="B259" s="562" t="s">
        <v>434</v>
      </c>
      <c r="C259" s="127" t="s">
        <v>412</v>
      </c>
      <c r="D259" s="128" t="s">
        <v>224</v>
      </c>
      <c r="E259" s="128" t="s">
        <v>37</v>
      </c>
      <c r="F259" s="82" t="s">
        <v>39</v>
      </c>
      <c r="G259" s="83" t="s">
        <v>42</v>
      </c>
      <c r="H259" s="83" t="s">
        <v>43</v>
      </c>
      <c r="I259" s="84" t="s">
        <v>44</v>
      </c>
      <c r="J259" s="85"/>
      <c r="K259" s="265">
        <f t="shared" si="43"/>
        <v>50.5</v>
      </c>
      <c r="L259" s="265">
        <f t="shared" si="43"/>
        <v>0</v>
      </c>
      <c r="M259" s="265">
        <f t="shared" si="43"/>
        <v>50.5</v>
      </c>
      <c r="N259" s="130">
        <f t="shared" si="43"/>
        <v>0</v>
      </c>
    </row>
    <row r="260" spans="1:14" s="131" customFormat="1" ht="36" x14ac:dyDescent="0.35">
      <c r="A260" s="126"/>
      <c r="B260" s="562" t="s">
        <v>206</v>
      </c>
      <c r="C260" s="127" t="s">
        <v>412</v>
      </c>
      <c r="D260" s="128" t="s">
        <v>224</v>
      </c>
      <c r="E260" s="128" t="s">
        <v>37</v>
      </c>
      <c r="F260" s="82" t="s">
        <v>39</v>
      </c>
      <c r="G260" s="83" t="s">
        <v>45</v>
      </c>
      <c r="H260" s="83" t="s">
        <v>43</v>
      </c>
      <c r="I260" s="84" t="s">
        <v>44</v>
      </c>
      <c r="J260" s="85"/>
      <c r="K260" s="265">
        <f t="shared" si="43"/>
        <v>50.5</v>
      </c>
      <c r="L260" s="265">
        <f t="shared" si="43"/>
        <v>0</v>
      </c>
      <c r="M260" s="265">
        <f t="shared" si="43"/>
        <v>50.5</v>
      </c>
      <c r="N260" s="130">
        <f t="shared" si="43"/>
        <v>0</v>
      </c>
    </row>
    <row r="261" spans="1:14" s="131" customFormat="1" ht="36" x14ac:dyDescent="0.35">
      <c r="A261" s="126"/>
      <c r="B261" s="562" t="s">
        <v>266</v>
      </c>
      <c r="C261" s="127" t="s">
        <v>412</v>
      </c>
      <c r="D261" s="128" t="s">
        <v>224</v>
      </c>
      <c r="E261" s="128" t="s">
        <v>37</v>
      </c>
      <c r="F261" s="82" t="s">
        <v>39</v>
      </c>
      <c r="G261" s="83" t="s">
        <v>45</v>
      </c>
      <c r="H261" s="83" t="s">
        <v>37</v>
      </c>
      <c r="I261" s="104" t="s">
        <v>44</v>
      </c>
      <c r="J261" s="85"/>
      <c r="K261" s="265">
        <f t="shared" ref="K261:N262" si="44">K262</f>
        <v>50.5</v>
      </c>
      <c r="L261" s="265">
        <f t="shared" si="44"/>
        <v>0</v>
      </c>
      <c r="M261" s="265">
        <f t="shared" si="44"/>
        <v>50.5</v>
      </c>
      <c r="N261" s="265">
        <f t="shared" si="44"/>
        <v>0</v>
      </c>
    </row>
    <row r="262" spans="1:14" s="131" customFormat="1" ht="36" x14ac:dyDescent="0.35">
      <c r="A262" s="126"/>
      <c r="B262" s="496" t="s">
        <v>208</v>
      </c>
      <c r="C262" s="127" t="s">
        <v>412</v>
      </c>
      <c r="D262" s="128" t="s">
        <v>224</v>
      </c>
      <c r="E262" s="128" t="s">
        <v>37</v>
      </c>
      <c r="F262" s="82" t="s">
        <v>39</v>
      </c>
      <c r="G262" s="83" t="s">
        <v>45</v>
      </c>
      <c r="H262" s="83" t="s">
        <v>37</v>
      </c>
      <c r="I262" s="104" t="s">
        <v>273</v>
      </c>
      <c r="J262" s="85"/>
      <c r="K262" s="432">
        <f t="shared" si="44"/>
        <v>50.5</v>
      </c>
      <c r="L262" s="432">
        <f t="shared" si="44"/>
        <v>0</v>
      </c>
      <c r="M262" s="432">
        <f t="shared" si="44"/>
        <v>50.5</v>
      </c>
      <c r="N262" s="265">
        <f t="shared" si="44"/>
        <v>0</v>
      </c>
    </row>
    <row r="263" spans="1:14" s="131" customFormat="1" ht="54" x14ac:dyDescent="0.35">
      <c r="A263" s="126"/>
      <c r="B263" s="562" t="s">
        <v>203</v>
      </c>
      <c r="C263" s="127" t="s">
        <v>412</v>
      </c>
      <c r="D263" s="128" t="s">
        <v>224</v>
      </c>
      <c r="E263" s="128" t="s">
        <v>37</v>
      </c>
      <c r="F263" s="82" t="s">
        <v>39</v>
      </c>
      <c r="G263" s="83" t="s">
        <v>45</v>
      </c>
      <c r="H263" s="83" t="s">
        <v>37</v>
      </c>
      <c r="I263" s="104" t="s">
        <v>273</v>
      </c>
      <c r="J263" s="129" t="s">
        <v>204</v>
      </c>
      <c r="K263" s="257">
        <v>50.5</v>
      </c>
      <c r="L263" s="24">
        <f>M263-K263</f>
        <v>0</v>
      </c>
      <c r="M263" s="257">
        <v>50.5</v>
      </c>
      <c r="N263" s="265">
        <v>0</v>
      </c>
    </row>
    <row r="264" spans="1:14" s="131" customFormat="1" ht="18" x14ac:dyDescent="0.35">
      <c r="A264" s="126"/>
      <c r="B264" s="562" t="s">
        <v>183</v>
      </c>
      <c r="C264" s="127" t="s">
        <v>412</v>
      </c>
      <c r="D264" s="128" t="s">
        <v>224</v>
      </c>
      <c r="E264" s="128" t="s">
        <v>39</v>
      </c>
      <c r="F264" s="82"/>
      <c r="G264" s="83"/>
      <c r="H264" s="83"/>
      <c r="I264" s="104"/>
      <c r="J264" s="85"/>
      <c r="K264" s="433">
        <f t="shared" ref="K264:N268" si="45">K265</f>
        <v>18830.600000000002</v>
      </c>
      <c r="L264" s="433">
        <f t="shared" si="45"/>
        <v>0</v>
      </c>
      <c r="M264" s="433">
        <f t="shared" si="45"/>
        <v>18830.600000000002</v>
      </c>
      <c r="N264" s="433">
        <f t="shared" si="45"/>
        <v>838</v>
      </c>
    </row>
    <row r="265" spans="1:14" s="131" customFormat="1" ht="54" x14ac:dyDescent="0.35">
      <c r="A265" s="126"/>
      <c r="B265" s="562" t="s">
        <v>205</v>
      </c>
      <c r="C265" s="127" t="s">
        <v>412</v>
      </c>
      <c r="D265" s="128" t="s">
        <v>224</v>
      </c>
      <c r="E265" s="128" t="s">
        <v>39</v>
      </c>
      <c r="F265" s="82" t="s">
        <v>39</v>
      </c>
      <c r="G265" s="83" t="s">
        <v>42</v>
      </c>
      <c r="H265" s="83" t="s">
        <v>43</v>
      </c>
      <c r="I265" s="84" t="s">
        <v>44</v>
      </c>
      <c r="J265" s="85"/>
      <c r="K265" s="265">
        <f t="shared" si="45"/>
        <v>18830.600000000002</v>
      </c>
      <c r="L265" s="265">
        <f>L266</f>
        <v>0</v>
      </c>
      <c r="M265" s="265">
        <f t="shared" si="45"/>
        <v>18830.600000000002</v>
      </c>
      <c r="N265" s="265">
        <f t="shared" si="45"/>
        <v>838</v>
      </c>
    </row>
    <row r="266" spans="1:14" s="131" customFormat="1" ht="36" x14ac:dyDescent="0.35">
      <c r="A266" s="126"/>
      <c r="B266" s="562" t="s">
        <v>206</v>
      </c>
      <c r="C266" s="127" t="s">
        <v>412</v>
      </c>
      <c r="D266" s="128" t="s">
        <v>224</v>
      </c>
      <c r="E266" s="128" t="s">
        <v>39</v>
      </c>
      <c r="F266" s="82" t="s">
        <v>39</v>
      </c>
      <c r="G266" s="83" t="s">
        <v>45</v>
      </c>
      <c r="H266" s="83" t="s">
        <v>43</v>
      </c>
      <c r="I266" s="84" t="s">
        <v>44</v>
      </c>
      <c r="J266" s="85"/>
      <c r="K266" s="265">
        <f t="shared" si="45"/>
        <v>18830.600000000002</v>
      </c>
      <c r="L266" s="265">
        <f>L267</f>
        <v>0</v>
      </c>
      <c r="M266" s="265">
        <f t="shared" si="45"/>
        <v>18830.600000000002</v>
      </c>
      <c r="N266" s="265">
        <f t="shared" si="45"/>
        <v>838</v>
      </c>
    </row>
    <row r="267" spans="1:14" s="131" customFormat="1" ht="18" x14ac:dyDescent="0.35">
      <c r="A267" s="126"/>
      <c r="B267" s="562" t="s">
        <v>271</v>
      </c>
      <c r="C267" s="127" t="s">
        <v>412</v>
      </c>
      <c r="D267" s="128" t="s">
        <v>224</v>
      </c>
      <c r="E267" s="128" t="s">
        <v>39</v>
      </c>
      <c r="F267" s="82" t="s">
        <v>39</v>
      </c>
      <c r="G267" s="83" t="s">
        <v>45</v>
      </c>
      <c r="H267" s="83" t="s">
        <v>39</v>
      </c>
      <c r="I267" s="84" t="s">
        <v>44</v>
      </c>
      <c r="J267" s="85"/>
      <c r="K267" s="265">
        <f>K268+K270</f>
        <v>18830.600000000002</v>
      </c>
      <c r="L267" s="265">
        <f>L268+L270</f>
        <v>0</v>
      </c>
      <c r="M267" s="265">
        <f>M268+M270</f>
        <v>18830.600000000002</v>
      </c>
      <c r="N267" s="265">
        <f t="shared" ref="N267" si="46">N268+N270</f>
        <v>838</v>
      </c>
    </row>
    <row r="268" spans="1:14" s="131" customFormat="1" ht="36" x14ac:dyDescent="0.35">
      <c r="A268" s="126"/>
      <c r="B268" s="562" t="s">
        <v>208</v>
      </c>
      <c r="C268" s="127" t="s">
        <v>412</v>
      </c>
      <c r="D268" s="128" t="s">
        <v>224</v>
      </c>
      <c r="E268" s="128" t="s">
        <v>39</v>
      </c>
      <c r="F268" s="82" t="s">
        <v>39</v>
      </c>
      <c r="G268" s="83" t="s">
        <v>45</v>
      </c>
      <c r="H268" s="83" t="s">
        <v>39</v>
      </c>
      <c r="I268" s="84" t="s">
        <v>273</v>
      </c>
      <c r="J268" s="85"/>
      <c r="K268" s="265">
        <f t="shared" si="45"/>
        <v>862.4</v>
      </c>
      <c r="L268" s="265">
        <f t="shared" si="45"/>
        <v>0</v>
      </c>
      <c r="M268" s="265">
        <f t="shared" si="45"/>
        <v>862.4</v>
      </c>
      <c r="N268" s="265">
        <f t="shared" si="45"/>
        <v>838</v>
      </c>
    </row>
    <row r="269" spans="1:14" s="131" customFormat="1" ht="54" x14ac:dyDescent="0.35">
      <c r="A269" s="126"/>
      <c r="B269" s="562" t="s">
        <v>203</v>
      </c>
      <c r="C269" s="127" t="s">
        <v>412</v>
      </c>
      <c r="D269" s="128" t="s">
        <v>224</v>
      </c>
      <c r="E269" s="128" t="s">
        <v>39</v>
      </c>
      <c r="F269" s="82" t="s">
        <v>39</v>
      </c>
      <c r="G269" s="83" t="s">
        <v>45</v>
      </c>
      <c r="H269" s="83" t="s">
        <v>39</v>
      </c>
      <c r="I269" s="84" t="s">
        <v>273</v>
      </c>
      <c r="J269" s="85" t="s">
        <v>204</v>
      </c>
      <c r="K269" s="265">
        <f>1363.3-500.9</f>
        <v>862.4</v>
      </c>
      <c r="L269" s="24">
        <f>M269-K269</f>
        <v>0</v>
      </c>
      <c r="M269" s="265">
        <f>1363.3-500.9</f>
        <v>862.4</v>
      </c>
      <c r="N269" s="130">
        <v>838</v>
      </c>
    </row>
    <row r="270" spans="1:14" s="131" customFormat="1" ht="108" x14ac:dyDescent="0.35">
      <c r="A270" s="126"/>
      <c r="B270" s="585" t="s">
        <v>500</v>
      </c>
      <c r="C270" s="586" t="s">
        <v>412</v>
      </c>
      <c r="D270" s="587" t="s">
        <v>224</v>
      </c>
      <c r="E270" s="587" t="s">
        <v>39</v>
      </c>
      <c r="F270" s="357" t="s">
        <v>39</v>
      </c>
      <c r="G270" s="358" t="s">
        <v>45</v>
      </c>
      <c r="H270" s="358" t="s">
        <v>39</v>
      </c>
      <c r="I270" s="359" t="s">
        <v>499</v>
      </c>
      <c r="J270" s="417"/>
      <c r="K270" s="24">
        <f t="shared" ref="K270:N270" si="47">K271</f>
        <v>17968.2</v>
      </c>
      <c r="L270" s="24">
        <f>L271</f>
        <v>0</v>
      </c>
      <c r="M270" s="24">
        <f t="shared" si="47"/>
        <v>17968.2</v>
      </c>
      <c r="N270" s="24">
        <f t="shared" si="47"/>
        <v>0</v>
      </c>
    </row>
    <row r="271" spans="1:14" s="131" customFormat="1" ht="54" x14ac:dyDescent="0.35">
      <c r="A271" s="126"/>
      <c r="B271" s="585" t="s">
        <v>203</v>
      </c>
      <c r="C271" s="600" t="s">
        <v>412</v>
      </c>
      <c r="D271" s="601" t="s">
        <v>224</v>
      </c>
      <c r="E271" s="601" t="s">
        <v>39</v>
      </c>
      <c r="F271" s="593" t="s">
        <v>39</v>
      </c>
      <c r="G271" s="594" t="s">
        <v>45</v>
      </c>
      <c r="H271" s="594" t="s">
        <v>39</v>
      </c>
      <c r="I271" s="595" t="s">
        <v>499</v>
      </c>
      <c r="J271" s="417" t="s">
        <v>204</v>
      </c>
      <c r="K271" s="265">
        <v>17968.2</v>
      </c>
      <c r="L271" s="24">
        <f>M271-K271</f>
        <v>0</v>
      </c>
      <c r="M271" s="265">
        <v>17968.2</v>
      </c>
      <c r="N271" s="130">
        <v>0</v>
      </c>
    </row>
    <row r="272" spans="1:14" s="139" customFormat="1" ht="18" x14ac:dyDescent="0.35">
      <c r="A272" s="137"/>
      <c r="B272" s="563" t="s">
        <v>119</v>
      </c>
      <c r="C272" s="138" t="s">
        <v>412</v>
      </c>
      <c r="D272" s="103" t="s">
        <v>104</v>
      </c>
      <c r="E272" s="103"/>
      <c r="F272" s="100"/>
      <c r="G272" s="101"/>
      <c r="H272" s="101"/>
      <c r="I272" s="102"/>
      <c r="J272" s="103"/>
      <c r="K272" s="130">
        <f>K273+K419</f>
        <v>47188.868399999999</v>
      </c>
      <c r="L272" s="263">
        <f>L273+L419</f>
        <v>0</v>
      </c>
      <c r="M272" s="130">
        <f>M273+M419</f>
        <v>47188.868399999999</v>
      </c>
      <c r="N272" s="130">
        <f>N273+N419</f>
        <v>47188.868399999999</v>
      </c>
    </row>
    <row r="273" spans="1:14" s="139" customFormat="1" ht="18" x14ac:dyDescent="0.35">
      <c r="A273" s="137"/>
      <c r="B273" s="551" t="s">
        <v>193</v>
      </c>
      <c r="C273" s="138" t="s">
        <v>412</v>
      </c>
      <c r="D273" s="103" t="s">
        <v>104</v>
      </c>
      <c r="E273" s="103" t="s">
        <v>52</v>
      </c>
      <c r="F273" s="100"/>
      <c r="G273" s="101"/>
      <c r="H273" s="101"/>
      <c r="I273" s="102"/>
      <c r="J273" s="103"/>
      <c r="K273" s="130">
        <f t="shared" ref="K273:N275" si="48">K274</f>
        <v>47188.868399999999</v>
      </c>
      <c r="L273" s="130">
        <f t="shared" si="48"/>
        <v>0</v>
      </c>
      <c r="M273" s="130">
        <f t="shared" si="48"/>
        <v>47188.868399999999</v>
      </c>
      <c r="N273" s="130">
        <f t="shared" si="48"/>
        <v>47188.868399999999</v>
      </c>
    </row>
    <row r="274" spans="1:14" s="139" customFormat="1" ht="54" x14ac:dyDescent="0.35">
      <c r="A274" s="137"/>
      <c r="B274" s="559" t="s">
        <v>230</v>
      </c>
      <c r="C274" s="138" t="s">
        <v>412</v>
      </c>
      <c r="D274" s="103" t="s">
        <v>104</v>
      </c>
      <c r="E274" s="103" t="s">
        <v>52</v>
      </c>
      <c r="F274" s="100" t="s">
        <v>79</v>
      </c>
      <c r="G274" s="101" t="s">
        <v>42</v>
      </c>
      <c r="H274" s="101" t="s">
        <v>43</v>
      </c>
      <c r="I274" s="102" t="s">
        <v>44</v>
      </c>
      <c r="J274" s="103"/>
      <c r="K274" s="130">
        <f t="shared" si="48"/>
        <v>47188.868399999999</v>
      </c>
      <c r="L274" s="130">
        <f t="shared" si="48"/>
        <v>0</v>
      </c>
      <c r="M274" s="130">
        <f t="shared" si="48"/>
        <v>47188.868399999999</v>
      </c>
      <c r="N274" s="130">
        <f t="shared" si="48"/>
        <v>47188.868399999999</v>
      </c>
    </row>
    <row r="275" spans="1:14" s="139" customFormat="1" ht="36" x14ac:dyDescent="0.35">
      <c r="A275" s="137"/>
      <c r="B275" s="551" t="s">
        <v>337</v>
      </c>
      <c r="C275" s="138" t="s">
        <v>412</v>
      </c>
      <c r="D275" s="103" t="s">
        <v>104</v>
      </c>
      <c r="E275" s="103" t="s">
        <v>52</v>
      </c>
      <c r="F275" s="100" t="s">
        <v>79</v>
      </c>
      <c r="G275" s="101" t="s">
        <v>45</v>
      </c>
      <c r="H275" s="101" t="s">
        <v>43</v>
      </c>
      <c r="I275" s="102" t="s">
        <v>44</v>
      </c>
      <c r="J275" s="103"/>
      <c r="K275" s="130">
        <f t="shared" si="48"/>
        <v>47188.868399999999</v>
      </c>
      <c r="L275" s="130">
        <f t="shared" si="48"/>
        <v>0</v>
      </c>
      <c r="M275" s="130">
        <f t="shared" si="48"/>
        <v>47188.868399999999</v>
      </c>
      <c r="N275" s="130">
        <f t="shared" si="48"/>
        <v>47188.868399999999</v>
      </c>
    </row>
    <row r="276" spans="1:14" s="140" customFormat="1" ht="90" x14ac:dyDescent="0.35">
      <c r="A276" s="137"/>
      <c r="B276" s="551" t="s">
        <v>299</v>
      </c>
      <c r="C276" s="138" t="s">
        <v>412</v>
      </c>
      <c r="D276" s="103" t="s">
        <v>104</v>
      </c>
      <c r="E276" s="103" t="s">
        <v>52</v>
      </c>
      <c r="F276" s="100" t="s">
        <v>79</v>
      </c>
      <c r="G276" s="101" t="s">
        <v>45</v>
      </c>
      <c r="H276" s="101" t="s">
        <v>39</v>
      </c>
      <c r="I276" s="102" t="s">
        <v>44</v>
      </c>
      <c r="J276" s="103"/>
      <c r="K276" s="130">
        <f>K277+K279</f>
        <v>47188.868399999999</v>
      </c>
      <c r="L276" s="130">
        <f>L277+L279</f>
        <v>0</v>
      </c>
      <c r="M276" s="130">
        <f>M277+M279</f>
        <v>47188.868399999999</v>
      </c>
      <c r="N276" s="130">
        <f>N277+N279</f>
        <v>47188.868399999999</v>
      </c>
    </row>
    <row r="277" spans="1:14" s="131" customFormat="1" ht="108" x14ac:dyDescent="0.35">
      <c r="A277" s="126"/>
      <c r="B277" s="540" t="s">
        <v>414</v>
      </c>
      <c r="C277" s="127" t="s">
        <v>412</v>
      </c>
      <c r="D277" s="128" t="s">
        <v>104</v>
      </c>
      <c r="E277" s="128" t="s">
        <v>52</v>
      </c>
      <c r="F277" s="82" t="s">
        <v>79</v>
      </c>
      <c r="G277" s="83" t="s">
        <v>45</v>
      </c>
      <c r="H277" s="83" t="s">
        <v>39</v>
      </c>
      <c r="I277" s="104" t="s">
        <v>415</v>
      </c>
      <c r="J277" s="85"/>
      <c r="K277" s="130">
        <f>K278</f>
        <v>31459.168399999999</v>
      </c>
      <c r="L277" s="130">
        <f>L278</f>
        <v>0</v>
      </c>
      <c r="M277" s="130">
        <f>M278</f>
        <v>31459.168399999999</v>
      </c>
      <c r="N277" s="130">
        <f>N278</f>
        <v>31459.168399999999</v>
      </c>
    </row>
    <row r="278" spans="1:14" s="131" customFormat="1" ht="54" x14ac:dyDescent="0.35">
      <c r="A278" s="126"/>
      <c r="B278" s="540" t="s">
        <v>203</v>
      </c>
      <c r="C278" s="127" t="s">
        <v>412</v>
      </c>
      <c r="D278" s="128" t="s">
        <v>104</v>
      </c>
      <c r="E278" s="128" t="s">
        <v>52</v>
      </c>
      <c r="F278" s="82" t="s">
        <v>79</v>
      </c>
      <c r="G278" s="83" t="s">
        <v>45</v>
      </c>
      <c r="H278" s="83" t="s">
        <v>39</v>
      </c>
      <c r="I278" s="104" t="s">
        <v>415</v>
      </c>
      <c r="J278" s="85" t="s">
        <v>204</v>
      </c>
      <c r="K278" s="195">
        <f>33362.9+0.0148-1903.7464</f>
        <v>31459.168399999999</v>
      </c>
      <c r="L278" s="24">
        <f>M278-K278</f>
        <v>0</v>
      </c>
      <c r="M278" s="195">
        <f>33362.9+0.0148-1903.7464</f>
        <v>31459.168399999999</v>
      </c>
      <c r="N278" s="195">
        <f>33362.9+0.0148-1903.7464</f>
        <v>31459.168399999999</v>
      </c>
    </row>
    <row r="279" spans="1:14" s="131" customFormat="1" ht="108" x14ac:dyDescent="0.35">
      <c r="A279" s="126"/>
      <c r="B279" s="540" t="s">
        <v>414</v>
      </c>
      <c r="C279" s="127" t="s">
        <v>412</v>
      </c>
      <c r="D279" s="128" t="s">
        <v>104</v>
      </c>
      <c r="E279" s="128" t="s">
        <v>52</v>
      </c>
      <c r="F279" s="82" t="s">
        <v>79</v>
      </c>
      <c r="G279" s="83" t="s">
        <v>45</v>
      </c>
      <c r="H279" s="83" t="s">
        <v>39</v>
      </c>
      <c r="I279" s="104" t="s">
        <v>550</v>
      </c>
      <c r="J279" s="129"/>
      <c r="K279" s="257">
        <f>K280</f>
        <v>15729.7</v>
      </c>
      <c r="L279" s="257">
        <f>L280</f>
        <v>0</v>
      </c>
      <c r="M279" s="257">
        <f>M280</f>
        <v>15729.7</v>
      </c>
      <c r="N279" s="257">
        <f>N280</f>
        <v>15729.7</v>
      </c>
    </row>
    <row r="280" spans="1:14" s="131" customFormat="1" ht="54" x14ac:dyDescent="0.35">
      <c r="A280" s="626"/>
      <c r="B280" s="502" t="s">
        <v>203</v>
      </c>
      <c r="C280" s="172" t="s">
        <v>412</v>
      </c>
      <c r="D280" s="268" t="s">
        <v>104</v>
      </c>
      <c r="E280" s="268" t="s">
        <v>52</v>
      </c>
      <c r="F280" s="82" t="s">
        <v>79</v>
      </c>
      <c r="G280" s="83" t="s">
        <v>45</v>
      </c>
      <c r="H280" s="83" t="s">
        <v>39</v>
      </c>
      <c r="I280" s="104" t="s">
        <v>550</v>
      </c>
      <c r="J280" s="652" t="s">
        <v>204</v>
      </c>
      <c r="K280" s="257">
        <f>18535-2805.3</f>
        <v>15729.7</v>
      </c>
      <c r="L280" s="24">
        <f>M280-K280</f>
        <v>0</v>
      </c>
      <c r="M280" s="257">
        <f>18535-2805.3</f>
        <v>15729.7</v>
      </c>
      <c r="N280" s="257">
        <f>18535-2805.3</f>
        <v>15729.7</v>
      </c>
    </row>
    <row r="281" spans="1:14" s="131" customFormat="1" ht="18" x14ac:dyDescent="0.35">
      <c r="A281" s="212"/>
      <c r="B281" s="500" t="s">
        <v>320</v>
      </c>
      <c r="C281" s="649" t="s">
        <v>412</v>
      </c>
      <c r="D281" s="318" t="s">
        <v>67</v>
      </c>
      <c r="E281" s="318"/>
      <c r="F281" s="655"/>
      <c r="G281" s="160"/>
      <c r="H281" s="160"/>
      <c r="I281" s="656"/>
      <c r="J281" s="654"/>
      <c r="K281" s="24">
        <f t="shared" ref="K281:N286" si="49">K282</f>
        <v>11905.7</v>
      </c>
      <c r="L281" s="24">
        <f t="shared" ref="L281:L286" si="50">L282</f>
        <v>0</v>
      </c>
      <c r="M281" s="24">
        <f t="shared" si="49"/>
        <v>11905.7</v>
      </c>
      <c r="N281" s="24">
        <f t="shared" si="49"/>
        <v>0</v>
      </c>
    </row>
    <row r="282" spans="1:14" s="131" customFormat="1" ht="18" x14ac:dyDescent="0.35">
      <c r="A282" s="212"/>
      <c r="B282" s="546" t="s">
        <v>358</v>
      </c>
      <c r="C282" s="172" t="s">
        <v>412</v>
      </c>
      <c r="D282" s="318" t="s">
        <v>67</v>
      </c>
      <c r="E282" s="318" t="s">
        <v>37</v>
      </c>
      <c r="F282" s="682"/>
      <c r="G282" s="683"/>
      <c r="H282" s="683"/>
      <c r="I282" s="684"/>
      <c r="J282" s="654"/>
      <c r="K282" s="24">
        <f t="shared" si="49"/>
        <v>11905.7</v>
      </c>
      <c r="L282" s="24">
        <f t="shared" si="50"/>
        <v>0</v>
      </c>
      <c r="M282" s="24">
        <f t="shared" si="49"/>
        <v>11905.7</v>
      </c>
      <c r="N282" s="24">
        <f t="shared" si="49"/>
        <v>0</v>
      </c>
    </row>
    <row r="283" spans="1:14" s="131" customFormat="1" ht="54" x14ac:dyDescent="0.35">
      <c r="A283" s="212"/>
      <c r="B283" s="496" t="s">
        <v>217</v>
      </c>
      <c r="C283" s="172" t="s">
        <v>412</v>
      </c>
      <c r="D283" s="318" t="s">
        <v>67</v>
      </c>
      <c r="E283" s="318" t="s">
        <v>37</v>
      </c>
      <c r="F283" s="682" t="s">
        <v>52</v>
      </c>
      <c r="G283" s="683" t="s">
        <v>42</v>
      </c>
      <c r="H283" s="683" t="s">
        <v>43</v>
      </c>
      <c r="I283" s="684" t="s">
        <v>44</v>
      </c>
      <c r="J283" s="654"/>
      <c r="K283" s="24">
        <f t="shared" si="49"/>
        <v>11905.7</v>
      </c>
      <c r="L283" s="24">
        <f t="shared" si="50"/>
        <v>0</v>
      </c>
      <c r="M283" s="24">
        <f t="shared" si="49"/>
        <v>11905.7</v>
      </c>
      <c r="N283" s="24">
        <f t="shared" si="49"/>
        <v>0</v>
      </c>
    </row>
    <row r="284" spans="1:14" s="131" customFormat="1" ht="36" x14ac:dyDescent="0.35">
      <c r="A284" s="212"/>
      <c r="B284" s="546" t="s">
        <v>337</v>
      </c>
      <c r="C284" s="172" t="s">
        <v>412</v>
      </c>
      <c r="D284" s="318" t="s">
        <v>67</v>
      </c>
      <c r="E284" s="318" t="s">
        <v>37</v>
      </c>
      <c r="F284" s="682" t="s">
        <v>52</v>
      </c>
      <c r="G284" s="683" t="s">
        <v>31</v>
      </c>
      <c r="H284" s="683" t="s">
        <v>43</v>
      </c>
      <c r="I284" s="684" t="s">
        <v>44</v>
      </c>
      <c r="J284" s="654"/>
      <c r="K284" s="24">
        <f t="shared" si="49"/>
        <v>11905.7</v>
      </c>
      <c r="L284" s="24">
        <f t="shared" si="50"/>
        <v>0</v>
      </c>
      <c r="M284" s="24">
        <f t="shared" si="49"/>
        <v>11905.7</v>
      </c>
      <c r="N284" s="24">
        <f t="shared" si="49"/>
        <v>0</v>
      </c>
    </row>
    <row r="285" spans="1:14" s="131" customFormat="1" ht="72" x14ac:dyDescent="0.35">
      <c r="A285" s="212"/>
      <c r="B285" s="496" t="s">
        <v>409</v>
      </c>
      <c r="C285" s="172" t="s">
        <v>412</v>
      </c>
      <c r="D285" s="318" t="s">
        <v>67</v>
      </c>
      <c r="E285" s="318" t="s">
        <v>37</v>
      </c>
      <c r="F285" s="682" t="s">
        <v>52</v>
      </c>
      <c r="G285" s="683" t="s">
        <v>31</v>
      </c>
      <c r="H285" s="683" t="s">
        <v>63</v>
      </c>
      <c r="I285" s="684" t="s">
        <v>44</v>
      </c>
      <c r="J285" s="654"/>
      <c r="K285" s="24">
        <f t="shared" si="49"/>
        <v>11905.7</v>
      </c>
      <c r="L285" s="24">
        <f t="shared" si="50"/>
        <v>0</v>
      </c>
      <c r="M285" s="24">
        <f t="shared" si="49"/>
        <v>11905.7</v>
      </c>
      <c r="N285" s="24">
        <f t="shared" si="49"/>
        <v>0</v>
      </c>
    </row>
    <row r="286" spans="1:14" s="131" customFormat="1" ht="108" x14ac:dyDescent="0.35">
      <c r="A286" s="212"/>
      <c r="B286" s="549" t="s">
        <v>500</v>
      </c>
      <c r="C286" s="172" t="s">
        <v>412</v>
      </c>
      <c r="D286" s="318" t="s">
        <v>67</v>
      </c>
      <c r="E286" s="318" t="s">
        <v>37</v>
      </c>
      <c r="F286" s="682" t="s">
        <v>52</v>
      </c>
      <c r="G286" s="683" t="s">
        <v>31</v>
      </c>
      <c r="H286" s="683" t="s">
        <v>63</v>
      </c>
      <c r="I286" s="691" t="s">
        <v>499</v>
      </c>
      <c r="J286" s="654"/>
      <c r="K286" s="24">
        <f t="shared" si="49"/>
        <v>11905.7</v>
      </c>
      <c r="L286" s="24">
        <f t="shared" si="50"/>
        <v>0</v>
      </c>
      <c r="M286" s="24">
        <f t="shared" si="49"/>
        <v>11905.7</v>
      </c>
      <c r="N286" s="24">
        <f t="shared" si="49"/>
        <v>0</v>
      </c>
    </row>
    <row r="287" spans="1:14" s="131" customFormat="1" ht="54" x14ac:dyDescent="0.35">
      <c r="A287" s="212"/>
      <c r="B287" s="502" t="s">
        <v>203</v>
      </c>
      <c r="C287" s="172" t="s">
        <v>412</v>
      </c>
      <c r="D287" s="318" t="s">
        <v>67</v>
      </c>
      <c r="E287" s="318" t="s">
        <v>37</v>
      </c>
      <c r="F287" s="682" t="s">
        <v>52</v>
      </c>
      <c r="G287" s="683" t="s">
        <v>31</v>
      </c>
      <c r="H287" s="683" t="s">
        <v>63</v>
      </c>
      <c r="I287" s="691" t="s">
        <v>499</v>
      </c>
      <c r="J287" s="654" t="s">
        <v>204</v>
      </c>
      <c r="K287" s="257">
        <f>11548.5+357.2</f>
        <v>11905.7</v>
      </c>
      <c r="L287" s="24">
        <f>M287-K287</f>
        <v>0</v>
      </c>
      <c r="M287" s="257">
        <f>11548.5+357.2</f>
        <v>11905.7</v>
      </c>
      <c r="N287" s="257">
        <v>0</v>
      </c>
    </row>
    <row r="288" spans="1:14" s="117" customFormat="1" ht="18" x14ac:dyDescent="0.35">
      <c r="A288" s="11"/>
      <c r="B288" s="496"/>
      <c r="C288" s="23"/>
      <c r="D288" s="10"/>
      <c r="E288" s="10"/>
      <c r="F288" s="689"/>
      <c r="G288" s="690"/>
      <c r="H288" s="690"/>
      <c r="I288" s="691"/>
      <c r="J288" s="10"/>
      <c r="K288" s="24"/>
      <c r="L288" s="24"/>
      <c r="M288" s="24"/>
      <c r="N288" s="24"/>
    </row>
    <row r="289" spans="1:19" s="115" customFormat="1" ht="52.2" x14ac:dyDescent="0.3">
      <c r="A289" s="110">
        <v>5</v>
      </c>
      <c r="B289" s="543" t="s">
        <v>7</v>
      </c>
      <c r="C289" s="18" t="s">
        <v>422</v>
      </c>
      <c r="D289" s="19"/>
      <c r="E289" s="19"/>
      <c r="F289" s="20"/>
      <c r="G289" s="21"/>
      <c r="H289" s="21"/>
      <c r="I289" s="22"/>
      <c r="J289" s="19"/>
      <c r="K289" s="32">
        <f>K303+K411+K290</f>
        <v>1255639.1000000001</v>
      </c>
      <c r="L289" s="32">
        <f>L303+L411+L290</f>
        <v>0</v>
      </c>
      <c r="M289" s="32">
        <f>M303+M411+M290</f>
        <v>1255639.1000000001</v>
      </c>
      <c r="N289" s="32">
        <f>N303+N411+N290</f>
        <v>1287262.7000000002</v>
      </c>
      <c r="O289" s="141"/>
      <c r="Q289" s="141"/>
      <c r="S289" s="141"/>
    </row>
    <row r="290" spans="1:19" s="115" customFormat="1" ht="18" x14ac:dyDescent="0.35">
      <c r="A290" s="110"/>
      <c r="B290" s="498" t="s">
        <v>36</v>
      </c>
      <c r="C290" s="238" t="s">
        <v>422</v>
      </c>
      <c r="D290" s="236" t="s">
        <v>37</v>
      </c>
      <c r="E290" s="81"/>
      <c r="F290" s="239"/>
      <c r="G290" s="87"/>
      <c r="H290" s="87"/>
      <c r="I290" s="88"/>
      <c r="J290" s="81"/>
      <c r="K290" s="209">
        <f t="shared" ref="K290:M291" si="51">K291</f>
        <v>276.10000000000002</v>
      </c>
      <c r="L290" s="209">
        <f t="shared" si="51"/>
        <v>0</v>
      </c>
      <c r="M290" s="209">
        <f t="shared" si="51"/>
        <v>276.10000000000002</v>
      </c>
      <c r="N290" s="209">
        <f>N291</f>
        <v>276.10000000000002</v>
      </c>
      <c r="O290" s="141"/>
    </row>
    <row r="291" spans="1:19" s="115" customFormat="1" ht="18" x14ac:dyDescent="0.35">
      <c r="A291" s="110"/>
      <c r="B291" s="498" t="s">
        <v>70</v>
      </c>
      <c r="C291" s="240" t="s">
        <v>422</v>
      </c>
      <c r="D291" s="236" t="s">
        <v>37</v>
      </c>
      <c r="E291" s="236" t="s">
        <v>71</v>
      </c>
      <c r="F291" s="239"/>
      <c r="G291" s="87"/>
      <c r="H291" s="87"/>
      <c r="I291" s="88"/>
      <c r="J291" s="81"/>
      <c r="K291" s="209">
        <f t="shared" si="51"/>
        <v>276.10000000000002</v>
      </c>
      <c r="L291" s="209">
        <f t="shared" si="51"/>
        <v>0</v>
      </c>
      <c r="M291" s="209">
        <f t="shared" si="51"/>
        <v>276.10000000000002</v>
      </c>
      <c r="N291" s="209">
        <f>N292</f>
        <v>276.10000000000002</v>
      </c>
      <c r="O291" s="141"/>
    </row>
    <row r="292" spans="1:19" s="115" customFormat="1" ht="54" x14ac:dyDescent="0.35">
      <c r="A292" s="110"/>
      <c r="B292" s="498" t="s">
        <v>205</v>
      </c>
      <c r="C292" s="238" t="s">
        <v>422</v>
      </c>
      <c r="D292" s="236" t="s">
        <v>37</v>
      </c>
      <c r="E292" s="236" t="s">
        <v>71</v>
      </c>
      <c r="F292" s="682" t="s">
        <v>39</v>
      </c>
      <c r="G292" s="683" t="s">
        <v>42</v>
      </c>
      <c r="H292" s="683" t="s">
        <v>43</v>
      </c>
      <c r="I292" s="684" t="s">
        <v>44</v>
      </c>
      <c r="J292" s="236"/>
      <c r="K292" s="209">
        <f>K293</f>
        <v>276.10000000000002</v>
      </c>
      <c r="L292" s="209">
        <f>L293</f>
        <v>0</v>
      </c>
      <c r="M292" s="209">
        <f>M293</f>
        <v>276.10000000000002</v>
      </c>
      <c r="N292" s="209">
        <f>N293</f>
        <v>276.10000000000002</v>
      </c>
      <c r="O292" s="141"/>
    </row>
    <row r="293" spans="1:19" s="115" customFormat="1" ht="54" x14ac:dyDescent="0.35">
      <c r="A293" s="110"/>
      <c r="B293" s="564" t="s">
        <v>212</v>
      </c>
      <c r="C293" s="238" t="s">
        <v>422</v>
      </c>
      <c r="D293" s="236" t="s">
        <v>37</v>
      </c>
      <c r="E293" s="236" t="s">
        <v>71</v>
      </c>
      <c r="F293" s="682" t="s">
        <v>39</v>
      </c>
      <c r="G293" s="683" t="s">
        <v>30</v>
      </c>
      <c r="H293" s="683" t="s">
        <v>43</v>
      </c>
      <c r="I293" s="684" t="s">
        <v>44</v>
      </c>
      <c r="J293" s="236"/>
      <c r="K293" s="209">
        <f>K294+K297+K300</f>
        <v>276.10000000000002</v>
      </c>
      <c r="L293" s="209">
        <f>L294+L297+L300</f>
        <v>0</v>
      </c>
      <c r="M293" s="209">
        <f>M294+M297+M300</f>
        <v>276.10000000000002</v>
      </c>
      <c r="N293" s="209">
        <f>N294+N297+N300</f>
        <v>276.10000000000002</v>
      </c>
      <c r="O293" s="141"/>
    </row>
    <row r="294" spans="1:19" s="115" customFormat="1" ht="36" x14ac:dyDescent="0.35">
      <c r="A294" s="110"/>
      <c r="B294" s="498" t="s">
        <v>349</v>
      </c>
      <c r="C294" s="238" t="s">
        <v>422</v>
      </c>
      <c r="D294" s="236" t="s">
        <v>37</v>
      </c>
      <c r="E294" s="236" t="s">
        <v>71</v>
      </c>
      <c r="F294" s="682" t="s">
        <v>39</v>
      </c>
      <c r="G294" s="683" t="s">
        <v>30</v>
      </c>
      <c r="H294" s="683" t="s">
        <v>63</v>
      </c>
      <c r="I294" s="684" t="s">
        <v>44</v>
      </c>
      <c r="J294" s="236"/>
      <c r="K294" s="209">
        <f t="shared" ref="K294:N295" si="52">K295</f>
        <v>141.5</v>
      </c>
      <c r="L294" s="209">
        <f t="shared" si="52"/>
        <v>0</v>
      </c>
      <c r="M294" s="209">
        <f t="shared" si="52"/>
        <v>141.5</v>
      </c>
      <c r="N294" s="209">
        <f t="shared" si="52"/>
        <v>141.5</v>
      </c>
      <c r="O294" s="141"/>
    </row>
    <row r="295" spans="1:19" s="115" customFormat="1" ht="54" x14ac:dyDescent="0.35">
      <c r="A295" s="110"/>
      <c r="B295" s="564" t="s">
        <v>469</v>
      </c>
      <c r="C295" s="240" t="s">
        <v>422</v>
      </c>
      <c r="D295" s="236" t="s">
        <v>37</v>
      </c>
      <c r="E295" s="236" t="s">
        <v>71</v>
      </c>
      <c r="F295" s="682" t="s">
        <v>39</v>
      </c>
      <c r="G295" s="683" t="s">
        <v>30</v>
      </c>
      <c r="H295" s="683" t="s">
        <v>63</v>
      </c>
      <c r="I295" s="684" t="s">
        <v>105</v>
      </c>
      <c r="J295" s="236"/>
      <c r="K295" s="209">
        <f t="shared" si="52"/>
        <v>141.5</v>
      </c>
      <c r="L295" s="209">
        <f t="shared" si="52"/>
        <v>0</v>
      </c>
      <c r="M295" s="209">
        <f t="shared" si="52"/>
        <v>141.5</v>
      </c>
      <c r="N295" s="209">
        <f t="shared" si="52"/>
        <v>141.5</v>
      </c>
      <c r="O295" s="141"/>
    </row>
    <row r="296" spans="1:19" s="115" customFormat="1" ht="54" x14ac:dyDescent="0.35">
      <c r="A296" s="110"/>
      <c r="B296" s="564" t="s">
        <v>55</v>
      </c>
      <c r="C296" s="240" t="s">
        <v>422</v>
      </c>
      <c r="D296" s="236" t="s">
        <v>37</v>
      </c>
      <c r="E296" s="236" t="s">
        <v>71</v>
      </c>
      <c r="F296" s="682" t="s">
        <v>39</v>
      </c>
      <c r="G296" s="683" t="s">
        <v>30</v>
      </c>
      <c r="H296" s="683" t="s">
        <v>63</v>
      </c>
      <c r="I296" s="684" t="s">
        <v>105</v>
      </c>
      <c r="J296" s="236" t="s">
        <v>56</v>
      </c>
      <c r="K296" s="209">
        <v>141.5</v>
      </c>
      <c r="L296" s="24">
        <f>M296-K296</f>
        <v>0</v>
      </c>
      <c r="M296" s="209">
        <v>141.5</v>
      </c>
      <c r="N296" s="209">
        <v>141.5</v>
      </c>
      <c r="O296" s="141"/>
    </row>
    <row r="297" spans="1:19" s="115" customFormat="1" ht="36" x14ac:dyDescent="0.35">
      <c r="A297" s="110"/>
      <c r="B297" s="564" t="s">
        <v>465</v>
      </c>
      <c r="C297" s="238" t="s">
        <v>422</v>
      </c>
      <c r="D297" s="236" t="s">
        <v>37</v>
      </c>
      <c r="E297" s="236" t="s">
        <v>71</v>
      </c>
      <c r="F297" s="682" t="s">
        <v>39</v>
      </c>
      <c r="G297" s="683" t="s">
        <v>30</v>
      </c>
      <c r="H297" s="683" t="s">
        <v>52</v>
      </c>
      <c r="I297" s="684" t="s">
        <v>44</v>
      </c>
      <c r="J297" s="236"/>
      <c r="K297" s="209">
        <f t="shared" ref="K297:N298" si="53">K298</f>
        <v>24</v>
      </c>
      <c r="L297" s="209">
        <f t="shared" si="53"/>
        <v>0</v>
      </c>
      <c r="M297" s="209">
        <f t="shared" si="53"/>
        <v>24</v>
      </c>
      <c r="N297" s="209">
        <f t="shared" si="53"/>
        <v>24</v>
      </c>
      <c r="O297" s="141"/>
    </row>
    <row r="298" spans="1:19" s="115" customFormat="1" ht="18" x14ac:dyDescent="0.35">
      <c r="A298" s="110"/>
      <c r="B298" s="564" t="s">
        <v>470</v>
      </c>
      <c r="C298" s="240" t="s">
        <v>422</v>
      </c>
      <c r="D298" s="236" t="s">
        <v>37</v>
      </c>
      <c r="E298" s="236" t="s">
        <v>71</v>
      </c>
      <c r="F298" s="682" t="s">
        <v>39</v>
      </c>
      <c r="G298" s="683" t="s">
        <v>30</v>
      </c>
      <c r="H298" s="683" t="s">
        <v>52</v>
      </c>
      <c r="I298" s="684" t="s">
        <v>464</v>
      </c>
      <c r="J298" s="236"/>
      <c r="K298" s="209">
        <f t="shared" si="53"/>
        <v>24</v>
      </c>
      <c r="L298" s="209">
        <f t="shared" si="53"/>
        <v>0</v>
      </c>
      <c r="M298" s="209">
        <f t="shared" si="53"/>
        <v>24</v>
      </c>
      <c r="N298" s="209">
        <f t="shared" si="53"/>
        <v>24</v>
      </c>
      <c r="O298" s="141"/>
    </row>
    <row r="299" spans="1:19" s="115" customFormat="1" ht="54" x14ac:dyDescent="0.35">
      <c r="A299" s="110"/>
      <c r="B299" s="564" t="s">
        <v>55</v>
      </c>
      <c r="C299" s="240" t="s">
        <v>422</v>
      </c>
      <c r="D299" s="236" t="s">
        <v>37</v>
      </c>
      <c r="E299" s="236" t="s">
        <v>71</v>
      </c>
      <c r="F299" s="682" t="s">
        <v>39</v>
      </c>
      <c r="G299" s="683" t="s">
        <v>30</v>
      </c>
      <c r="H299" s="683" t="s">
        <v>52</v>
      </c>
      <c r="I299" s="684" t="s">
        <v>464</v>
      </c>
      <c r="J299" s="236" t="s">
        <v>56</v>
      </c>
      <c r="K299" s="209">
        <v>24</v>
      </c>
      <c r="L299" s="24">
        <f>M299-K299</f>
        <v>0</v>
      </c>
      <c r="M299" s="209">
        <v>24</v>
      </c>
      <c r="N299" s="209">
        <v>24</v>
      </c>
      <c r="O299" s="141"/>
    </row>
    <row r="300" spans="1:19" s="115" customFormat="1" ht="36" x14ac:dyDescent="0.35">
      <c r="A300" s="110"/>
      <c r="B300" s="564" t="s">
        <v>468</v>
      </c>
      <c r="C300" s="240" t="s">
        <v>422</v>
      </c>
      <c r="D300" s="236" t="s">
        <v>37</v>
      </c>
      <c r="E300" s="236" t="s">
        <v>71</v>
      </c>
      <c r="F300" s="682" t="s">
        <v>39</v>
      </c>
      <c r="G300" s="683" t="s">
        <v>30</v>
      </c>
      <c r="H300" s="683" t="s">
        <v>65</v>
      </c>
      <c r="I300" s="393" t="s">
        <v>44</v>
      </c>
      <c r="J300" s="79"/>
      <c r="K300" s="209">
        <f t="shared" ref="K300:N301" si="54">K301</f>
        <v>110.6</v>
      </c>
      <c r="L300" s="209">
        <f t="shared" si="54"/>
        <v>0</v>
      </c>
      <c r="M300" s="209">
        <f t="shared" si="54"/>
        <v>110.6</v>
      </c>
      <c r="N300" s="209">
        <f t="shared" si="54"/>
        <v>110.6</v>
      </c>
      <c r="O300" s="141"/>
    </row>
    <row r="301" spans="1:19" s="115" customFormat="1" ht="36" x14ac:dyDescent="0.35">
      <c r="A301" s="110"/>
      <c r="B301" s="564" t="s">
        <v>127</v>
      </c>
      <c r="C301" s="240" t="s">
        <v>422</v>
      </c>
      <c r="D301" s="236" t="s">
        <v>37</v>
      </c>
      <c r="E301" s="236" t="s">
        <v>71</v>
      </c>
      <c r="F301" s="682" t="s">
        <v>39</v>
      </c>
      <c r="G301" s="683" t="s">
        <v>30</v>
      </c>
      <c r="H301" s="683" t="s">
        <v>65</v>
      </c>
      <c r="I301" s="393" t="s">
        <v>90</v>
      </c>
      <c r="J301" s="79"/>
      <c r="K301" s="209">
        <f t="shared" si="54"/>
        <v>110.6</v>
      </c>
      <c r="L301" s="209">
        <f t="shared" si="54"/>
        <v>0</v>
      </c>
      <c r="M301" s="209">
        <f t="shared" si="54"/>
        <v>110.6</v>
      </c>
      <c r="N301" s="209">
        <f t="shared" si="54"/>
        <v>110.6</v>
      </c>
      <c r="O301" s="141"/>
    </row>
    <row r="302" spans="1:19" s="115" customFormat="1" ht="54" x14ac:dyDescent="0.35">
      <c r="A302" s="110"/>
      <c r="B302" s="564" t="s">
        <v>55</v>
      </c>
      <c r="C302" s="240" t="s">
        <v>422</v>
      </c>
      <c r="D302" s="236" t="s">
        <v>37</v>
      </c>
      <c r="E302" s="236" t="s">
        <v>71</v>
      </c>
      <c r="F302" s="682" t="s">
        <v>39</v>
      </c>
      <c r="G302" s="683" t="s">
        <v>30</v>
      </c>
      <c r="H302" s="683" t="s">
        <v>65</v>
      </c>
      <c r="I302" s="393" t="s">
        <v>90</v>
      </c>
      <c r="J302" s="79" t="s">
        <v>56</v>
      </c>
      <c r="K302" s="209">
        <v>110.6</v>
      </c>
      <c r="L302" s="24">
        <f>M302-K302</f>
        <v>0</v>
      </c>
      <c r="M302" s="209">
        <v>110.6</v>
      </c>
      <c r="N302" s="209">
        <v>110.6</v>
      </c>
      <c r="O302" s="141"/>
    </row>
    <row r="303" spans="1:19" s="116" customFormat="1" ht="18" x14ac:dyDescent="0.35">
      <c r="A303" s="11"/>
      <c r="B303" s="496" t="s">
        <v>179</v>
      </c>
      <c r="C303" s="23" t="s">
        <v>422</v>
      </c>
      <c r="D303" s="10" t="s">
        <v>224</v>
      </c>
      <c r="E303" s="10"/>
      <c r="F303" s="689"/>
      <c r="G303" s="690"/>
      <c r="H303" s="690"/>
      <c r="I303" s="691"/>
      <c r="J303" s="10"/>
      <c r="K303" s="24">
        <f>K304+K321+K388+K372</f>
        <v>1249070.1000000001</v>
      </c>
      <c r="L303" s="24">
        <f>L304+L321+L388+L372</f>
        <v>0</v>
      </c>
      <c r="M303" s="24">
        <f>M304+M321+M388+M372</f>
        <v>1249070.1000000001</v>
      </c>
      <c r="N303" s="24">
        <f>N304+N321+N388+N372</f>
        <v>1280693.7000000002</v>
      </c>
      <c r="O303" s="142"/>
    </row>
    <row r="304" spans="1:19" s="115" customFormat="1" ht="18" x14ac:dyDescent="0.35">
      <c r="A304" s="11"/>
      <c r="B304" s="496" t="s">
        <v>181</v>
      </c>
      <c r="C304" s="23" t="s">
        <v>422</v>
      </c>
      <c r="D304" s="10" t="s">
        <v>224</v>
      </c>
      <c r="E304" s="10" t="s">
        <v>37</v>
      </c>
      <c r="F304" s="689"/>
      <c r="G304" s="690"/>
      <c r="H304" s="690"/>
      <c r="I304" s="691"/>
      <c r="J304" s="10"/>
      <c r="K304" s="24">
        <f>K305+K316</f>
        <v>386437.70000000007</v>
      </c>
      <c r="L304" s="24">
        <f>L305+L316</f>
        <v>0</v>
      </c>
      <c r="M304" s="24">
        <f>M305+M316</f>
        <v>386437.70000000007</v>
      </c>
      <c r="N304" s="24">
        <f>N305+N316</f>
        <v>399716.60000000003</v>
      </c>
    </row>
    <row r="305" spans="1:14" s="115" customFormat="1" ht="54" x14ac:dyDescent="0.35">
      <c r="A305" s="11"/>
      <c r="B305" s="496" t="s">
        <v>205</v>
      </c>
      <c r="C305" s="23" t="s">
        <v>422</v>
      </c>
      <c r="D305" s="10" t="s">
        <v>224</v>
      </c>
      <c r="E305" s="10" t="s">
        <v>37</v>
      </c>
      <c r="F305" s="689" t="s">
        <v>39</v>
      </c>
      <c r="G305" s="690" t="s">
        <v>42</v>
      </c>
      <c r="H305" s="690" t="s">
        <v>43</v>
      </c>
      <c r="I305" s="691" t="s">
        <v>44</v>
      </c>
      <c r="J305" s="10"/>
      <c r="K305" s="24">
        <f t="shared" ref="K305:N306" si="55">K306</f>
        <v>386384.30000000005</v>
      </c>
      <c r="L305" s="24">
        <f t="shared" si="55"/>
        <v>0</v>
      </c>
      <c r="M305" s="24">
        <f t="shared" si="55"/>
        <v>386384.30000000005</v>
      </c>
      <c r="N305" s="24">
        <f t="shared" si="55"/>
        <v>399663.2</v>
      </c>
    </row>
    <row r="306" spans="1:14" s="115" customFormat="1" ht="36" x14ac:dyDescent="0.35">
      <c r="A306" s="11"/>
      <c r="B306" s="496" t="s">
        <v>206</v>
      </c>
      <c r="C306" s="23" t="s">
        <v>422</v>
      </c>
      <c r="D306" s="10" t="s">
        <v>224</v>
      </c>
      <c r="E306" s="10" t="s">
        <v>37</v>
      </c>
      <c r="F306" s="689" t="s">
        <v>39</v>
      </c>
      <c r="G306" s="690" t="s">
        <v>45</v>
      </c>
      <c r="H306" s="690" t="s">
        <v>43</v>
      </c>
      <c r="I306" s="691" t="s">
        <v>44</v>
      </c>
      <c r="J306" s="10"/>
      <c r="K306" s="24">
        <f>K307</f>
        <v>386384.30000000005</v>
      </c>
      <c r="L306" s="24">
        <f>L307</f>
        <v>0</v>
      </c>
      <c r="M306" s="24">
        <f>M307</f>
        <v>386384.30000000005</v>
      </c>
      <c r="N306" s="24">
        <f t="shared" si="55"/>
        <v>399663.2</v>
      </c>
    </row>
    <row r="307" spans="1:14" s="115" customFormat="1" ht="36" x14ac:dyDescent="0.35">
      <c r="A307" s="11"/>
      <c r="B307" s="496" t="s">
        <v>266</v>
      </c>
      <c r="C307" s="23" t="s">
        <v>422</v>
      </c>
      <c r="D307" s="10" t="s">
        <v>224</v>
      </c>
      <c r="E307" s="10" t="s">
        <v>37</v>
      </c>
      <c r="F307" s="689" t="s">
        <v>39</v>
      </c>
      <c r="G307" s="690" t="s">
        <v>45</v>
      </c>
      <c r="H307" s="690" t="s">
        <v>37</v>
      </c>
      <c r="I307" s="691" t="s">
        <v>44</v>
      </c>
      <c r="J307" s="10"/>
      <c r="K307" s="24">
        <f>K312+K310+K314+K308</f>
        <v>386384.30000000005</v>
      </c>
      <c r="L307" s="24">
        <f>L312+L310+L314+L308</f>
        <v>0</v>
      </c>
      <c r="M307" s="24">
        <f>M312+M310+M314+M308</f>
        <v>386384.30000000005</v>
      </c>
      <c r="N307" s="24">
        <f>N312+N310+N314+N308</f>
        <v>399663.2</v>
      </c>
    </row>
    <row r="308" spans="1:14" s="111" customFormat="1" ht="36" x14ac:dyDescent="0.35">
      <c r="A308" s="11"/>
      <c r="B308" s="574" t="s">
        <v>461</v>
      </c>
      <c r="C308" s="23" t="s">
        <v>422</v>
      </c>
      <c r="D308" s="10" t="s">
        <v>224</v>
      </c>
      <c r="E308" s="10" t="s">
        <v>37</v>
      </c>
      <c r="F308" s="689" t="s">
        <v>39</v>
      </c>
      <c r="G308" s="690" t="s">
        <v>45</v>
      </c>
      <c r="H308" s="690" t="s">
        <v>37</v>
      </c>
      <c r="I308" s="691" t="s">
        <v>91</v>
      </c>
      <c r="J308" s="10"/>
      <c r="K308" s="24">
        <f>K309</f>
        <v>110229.7</v>
      </c>
      <c r="L308" s="24">
        <f>L309</f>
        <v>0</v>
      </c>
      <c r="M308" s="24">
        <f>M309</f>
        <v>110229.7</v>
      </c>
      <c r="N308" s="24">
        <f>N309</f>
        <v>123486.2</v>
      </c>
    </row>
    <row r="309" spans="1:14" s="111" customFormat="1" ht="54" x14ac:dyDescent="0.35">
      <c r="A309" s="11"/>
      <c r="B309" s="496" t="s">
        <v>76</v>
      </c>
      <c r="C309" s="23" t="s">
        <v>422</v>
      </c>
      <c r="D309" s="10" t="s">
        <v>224</v>
      </c>
      <c r="E309" s="10" t="s">
        <v>37</v>
      </c>
      <c r="F309" s="689" t="s">
        <v>39</v>
      </c>
      <c r="G309" s="690" t="s">
        <v>45</v>
      </c>
      <c r="H309" s="690" t="s">
        <v>37</v>
      </c>
      <c r="I309" s="691" t="s">
        <v>91</v>
      </c>
      <c r="J309" s="10" t="s">
        <v>77</v>
      </c>
      <c r="K309" s="24">
        <v>110229.7</v>
      </c>
      <c r="L309" s="24">
        <f>M309-K309</f>
        <v>0</v>
      </c>
      <c r="M309" s="24">
        <v>110229.7</v>
      </c>
      <c r="N309" s="24">
        <v>123486.2</v>
      </c>
    </row>
    <row r="310" spans="1:14" s="111" customFormat="1" ht="54" x14ac:dyDescent="0.35">
      <c r="A310" s="11"/>
      <c r="B310" s="496" t="s">
        <v>207</v>
      </c>
      <c r="C310" s="23" t="s">
        <v>422</v>
      </c>
      <c r="D310" s="10" t="s">
        <v>224</v>
      </c>
      <c r="E310" s="10" t="s">
        <v>37</v>
      </c>
      <c r="F310" s="689" t="s">
        <v>39</v>
      </c>
      <c r="G310" s="690" t="s">
        <v>45</v>
      </c>
      <c r="H310" s="690" t="s">
        <v>37</v>
      </c>
      <c r="I310" s="691" t="s">
        <v>272</v>
      </c>
      <c r="J310" s="10"/>
      <c r="K310" s="24">
        <f>K311</f>
        <v>30855.9</v>
      </c>
      <c r="L310" s="24">
        <f>L311</f>
        <v>0</v>
      </c>
      <c r="M310" s="24">
        <f>M311</f>
        <v>30855.9</v>
      </c>
      <c r="N310" s="24">
        <f>N311</f>
        <v>30855.9</v>
      </c>
    </row>
    <row r="311" spans="1:14" s="111" customFormat="1" ht="54" x14ac:dyDescent="0.35">
      <c r="A311" s="11"/>
      <c r="B311" s="496" t="s">
        <v>76</v>
      </c>
      <c r="C311" s="23" t="s">
        <v>422</v>
      </c>
      <c r="D311" s="10" t="s">
        <v>224</v>
      </c>
      <c r="E311" s="10" t="s">
        <v>37</v>
      </c>
      <c r="F311" s="689" t="s">
        <v>39</v>
      </c>
      <c r="G311" s="690" t="s">
        <v>45</v>
      </c>
      <c r="H311" s="690" t="s">
        <v>37</v>
      </c>
      <c r="I311" s="691" t="s">
        <v>272</v>
      </c>
      <c r="J311" s="10" t="s">
        <v>77</v>
      </c>
      <c r="K311" s="24">
        <v>30855.9</v>
      </c>
      <c r="L311" s="24">
        <f>M311-K311</f>
        <v>0</v>
      </c>
      <c r="M311" s="24">
        <v>30855.9</v>
      </c>
      <c r="N311" s="24">
        <v>30855.9</v>
      </c>
    </row>
    <row r="312" spans="1:14" s="115" customFormat="1" ht="180" x14ac:dyDescent="0.35">
      <c r="A312" s="11"/>
      <c r="B312" s="496" t="s">
        <v>267</v>
      </c>
      <c r="C312" s="23" t="s">
        <v>422</v>
      </c>
      <c r="D312" s="10" t="s">
        <v>224</v>
      </c>
      <c r="E312" s="10" t="s">
        <v>37</v>
      </c>
      <c r="F312" s="689" t="s">
        <v>39</v>
      </c>
      <c r="G312" s="690" t="s">
        <v>45</v>
      </c>
      <c r="H312" s="690" t="s">
        <v>37</v>
      </c>
      <c r="I312" s="691" t="s">
        <v>268</v>
      </c>
      <c r="J312" s="10"/>
      <c r="K312" s="24">
        <f>K313</f>
        <v>557.9</v>
      </c>
      <c r="L312" s="24">
        <f>L313</f>
        <v>0</v>
      </c>
      <c r="M312" s="24">
        <f>M313</f>
        <v>557.9</v>
      </c>
      <c r="N312" s="24">
        <f>N313</f>
        <v>580.29999999999995</v>
      </c>
    </row>
    <row r="313" spans="1:14" s="115" customFormat="1" ht="54" x14ac:dyDescent="0.35">
      <c r="A313" s="11"/>
      <c r="B313" s="496" t="s">
        <v>76</v>
      </c>
      <c r="C313" s="23" t="s">
        <v>422</v>
      </c>
      <c r="D313" s="10" t="s">
        <v>224</v>
      </c>
      <c r="E313" s="10" t="s">
        <v>37</v>
      </c>
      <c r="F313" s="689" t="s">
        <v>39</v>
      </c>
      <c r="G313" s="690" t="s">
        <v>45</v>
      </c>
      <c r="H313" s="690" t="s">
        <v>37</v>
      </c>
      <c r="I313" s="691" t="s">
        <v>268</v>
      </c>
      <c r="J313" s="10" t="s">
        <v>77</v>
      </c>
      <c r="K313" s="24">
        <v>557.9</v>
      </c>
      <c r="L313" s="24">
        <f>M313-K313</f>
        <v>0</v>
      </c>
      <c r="M313" s="24">
        <v>557.9</v>
      </c>
      <c r="N313" s="24">
        <v>580.29999999999995</v>
      </c>
    </row>
    <row r="314" spans="1:14" s="115" customFormat="1" ht="108" x14ac:dyDescent="0.35">
      <c r="A314" s="11"/>
      <c r="B314" s="496" t="s">
        <v>343</v>
      </c>
      <c r="C314" s="23" t="s">
        <v>422</v>
      </c>
      <c r="D314" s="10" t="s">
        <v>224</v>
      </c>
      <c r="E314" s="10" t="s">
        <v>37</v>
      </c>
      <c r="F314" s="689" t="s">
        <v>39</v>
      </c>
      <c r="G314" s="690" t="s">
        <v>45</v>
      </c>
      <c r="H314" s="690" t="s">
        <v>37</v>
      </c>
      <c r="I314" s="691" t="s">
        <v>269</v>
      </c>
      <c r="J314" s="10"/>
      <c r="K314" s="24">
        <f>K315</f>
        <v>244740.80000000002</v>
      </c>
      <c r="L314" s="24">
        <f>L315</f>
        <v>0</v>
      </c>
      <c r="M314" s="24">
        <f>M315</f>
        <v>244740.80000000002</v>
      </c>
      <c r="N314" s="24">
        <f>N315</f>
        <v>244740.80000000002</v>
      </c>
    </row>
    <row r="315" spans="1:14" s="115" customFormat="1" ht="54" x14ac:dyDescent="0.35">
      <c r="A315" s="11"/>
      <c r="B315" s="496" t="s">
        <v>76</v>
      </c>
      <c r="C315" s="23" t="s">
        <v>422</v>
      </c>
      <c r="D315" s="10" t="s">
        <v>224</v>
      </c>
      <c r="E315" s="10" t="s">
        <v>37</v>
      </c>
      <c r="F315" s="689" t="s">
        <v>39</v>
      </c>
      <c r="G315" s="690" t="s">
        <v>45</v>
      </c>
      <c r="H315" s="690" t="s">
        <v>37</v>
      </c>
      <c r="I315" s="691" t="s">
        <v>269</v>
      </c>
      <c r="J315" s="10" t="s">
        <v>77</v>
      </c>
      <c r="K315" s="24">
        <f>242258.2+2482.6</f>
        <v>244740.80000000002</v>
      </c>
      <c r="L315" s="24">
        <f>M315-K315</f>
        <v>0</v>
      </c>
      <c r="M315" s="24">
        <f>242258.2+2482.6</f>
        <v>244740.80000000002</v>
      </c>
      <c r="N315" s="24">
        <f>242258.2+2482.6</f>
        <v>244740.80000000002</v>
      </c>
    </row>
    <row r="316" spans="1:14" s="115" customFormat="1" ht="54" x14ac:dyDescent="0.35">
      <c r="A316" s="11"/>
      <c r="B316" s="496" t="s">
        <v>233</v>
      </c>
      <c r="C316" s="23" t="s">
        <v>422</v>
      </c>
      <c r="D316" s="10" t="s">
        <v>224</v>
      </c>
      <c r="E316" s="10" t="s">
        <v>37</v>
      </c>
      <c r="F316" s="689" t="s">
        <v>234</v>
      </c>
      <c r="G316" s="690" t="s">
        <v>42</v>
      </c>
      <c r="H316" s="690" t="s">
        <v>43</v>
      </c>
      <c r="I316" s="691" t="s">
        <v>44</v>
      </c>
      <c r="J316" s="10"/>
      <c r="K316" s="24">
        <f t="shared" ref="K316:N319" si="56">K317</f>
        <v>53.4</v>
      </c>
      <c r="L316" s="24">
        <f t="shared" si="56"/>
        <v>0</v>
      </c>
      <c r="M316" s="24">
        <f t="shared" si="56"/>
        <v>53.4</v>
      </c>
      <c r="N316" s="24">
        <f t="shared" si="56"/>
        <v>53.4</v>
      </c>
    </row>
    <row r="317" spans="1:14" s="115" customFormat="1" ht="36" x14ac:dyDescent="0.35">
      <c r="A317" s="11"/>
      <c r="B317" s="496" t="s">
        <v>337</v>
      </c>
      <c r="C317" s="23" t="s">
        <v>422</v>
      </c>
      <c r="D317" s="10" t="s">
        <v>224</v>
      </c>
      <c r="E317" s="10" t="s">
        <v>37</v>
      </c>
      <c r="F317" s="689" t="s">
        <v>234</v>
      </c>
      <c r="G317" s="690" t="s">
        <v>45</v>
      </c>
      <c r="H317" s="690" t="s">
        <v>43</v>
      </c>
      <c r="I317" s="691" t="s">
        <v>44</v>
      </c>
      <c r="J317" s="10"/>
      <c r="K317" s="24">
        <f t="shared" si="56"/>
        <v>53.4</v>
      </c>
      <c r="L317" s="24">
        <f t="shared" si="56"/>
        <v>0</v>
      </c>
      <c r="M317" s="24">
        <f t="shared" si="56"/>
        <v>53.4</v>
      </c>
      <c r="N317" s="24">
        <f t="shared" si="56"/>
        <v>53.4</v>
      </c>
    </row>
    <row r="318" spans="1:14" s="115" customFormat="1" ht="144" x14ac:dyDescent="0.35">
      <c r="A318" s="11"/>
      <c r="B318" s="496" t="s">
        <v>726</v>
      </c>
      <c r="C318" s="23" t="s">
        <v>422</v>
      </c>
      <c r="D318" s="10" t="s">
        <v>224</v>
      </c>
      <c r="E318" s="10" t="s">
        <v>37</v>
      </c>
      <c r="F318" s="689" t="s">
        <v>234</v>
      </c>
      <c r="G318" s="690" t="s">
        <v>45</v>
      </c>
      <c r="H318" s="690" t="s">
        <v>37</v>
      </c>
      <c r="I318" s="691" t="s">
        <v>44</v>
      </c>
      <c r="J318" s="10"/>
      <c r="K318" s="24">
        <f>K319</f>
        <v>53.4</v>
      </c>
      <c r="L318" s="24">
        <f>L319</f>
        <v>0</v>
      </c>
      <c r="M318" s="24">
        <f>M319</f>
        <v>53.4</v>
      </c>
      <c r="N318" s="24">
        <f>N319</f>
        <v>53.4</v>
      </c>
    </row>
    <row r="319" spans="1:14" s="115" customFormat="1" ht="36" x14ac:dyDescent="0.35">
      <c r="A319" s="11"/>
      <c r="B319" s="496" t="s">
        <v>235</v>
      </c>
      <c r="C319" s="23" t="s">
        <v>422</v>
      </c>
      <c r="D319" s="10" t="s">
        <v>224</v>
      </c>
      <c r="E319" s="10" t="s">
        <v>37</v>
      </c>
      <c r="F319" s="689" t="s">
        <v>234</v>
      </c>
      <c r="G319" s="690" t="s">
        <v>45</v>
      </c>
      <c r="H319" s="690" t="s">
        <v>37</v>
      </c>
      <c r="I319" s="691" t="s">
        <v>279</v>
      </c>
      <c r="J319" s="10"/>
      <c r="K319" s="24">
        <f t="shared" si="56"/>
        <v>53.4</v>
      </c>
      <c r="L319" s="24">
        <f t="shared" si="56"/>
        <v>0</v>
      </c>
      <c r="M319" s="24">
        <f t="shared" si="56"/>
        <v>53.4</v>
      </c>
      <c r="N319" s="24">
        <f t="shared" si="56"/>
        <v>53.4</v>
      </c>
    </row>
    <row r="320" spans="1:14" s="115" customFormat="1" ht="54" x14ac:dyDescent="0.35">
      <c r="A320" s="11"/>
      <c r="B320" s="496" t="s">
        <v>76</v>
      </c>
      <c r="C320" s="23" t="s">
        <v>422</v>
      </c>
      <c r="D320" s="10" t="s">
        <v>224</v>
      </c>
      <c r="E320" s="10" t="s">
        <v>37</v>
      </c>
      <c r="F320" s="689" t="s">
        <v>234</v>
      </c>
      <c r="G320" s="690" t="s">
        <v>45</v>
      </c>
      <c r="H320" s="690" t="s">
        <v>37</v>
      </c>
      <c r="I320" s="691" t="s">
        <v>279</v>
      </c>
      <c r="J320" s="10" t="s">
        <v>77</v>
      </c>
      <c r="K320" s="24">
        <v>53.4</v>
      </c>
      <c r="L320" s="24">
        <f>M320-K320</f>
        <v>0</v>
      </c>
      <c r="M320" s="24">
        <v>53.4</v>
      </c>
      <c r="N320" s="24">
        <v>53.4</v>
      </c>
    </row>
    <row r="321" spans="1:14" s="115" customFormat="1" ht="18" x14ac:dyDescent="0.35">
      <c r="A321" s="11"/>
      <c r="B321" s="496" t="s">
        <v>183</v>
      </c>
      <c r="C321" s="23" t="s">
        <v>422</v>
      </c>
      <c r="D321" s="10" t="s">
        <v>224</v>
      </c>
      <c r="E321" s="10" t="s">
        <v>39</v>
      </c>
      <c r="F321" s="689"/>
      <c r="G321" s="690"/>
      <c r="H321" s="690"/>
      <c r="I321" s="691"/>
      <c r="J321" s="10"/>
      <c r="K321" s="24">
        <f>K322</f>
        <v>703477.19999999984</v>
      </c>
      <c r="L321" s="24">
        <f>L322</f>
        <v>0</v>
      </c>
      <c r="M321" s="24">
        <f>M322</f>
        <v>703477.19999999984</v>
      </c>
      <c r="N321" s="24">
        <f>N322</f>
        <v>711473.5</v>
      </c>
    </row>
    <row r="322" spans="1:14" s="115" customFormat="1" ht="54" x14ac:dyDescent="0.35">
      <c r="A322" s="11"/>
      <c r="B322" s="496" t="s">
        <v>205</v>
      </c>
      <c r="C322" s="23" t="s">
        <v>422</v>
      </c>
      <c r="D322" s="10" t="s">
        <v>224</v>
      </c>
      <c r="E322" s="10" t="s">
        <v>39</v>
      </c>
      <c r="F322" s="689" t="s">
        <v>39</v>
      </c>
      <c r="G322" s="690" t="s">
        <v>42</v>
      </c>
      <c r="H322" s="690" t="s">
        <v>43</v>
      </c>
      <c r="I322" s="691" t="s">
        <v>44</v>
      </c>
      <c r="J322" s="10"/>
      <c r="K322" s="24">
        <f>K323+K367</f>
        <v>703477.19999999984</v>
      </c>
      <c r="L322" s="24">
        <f>L323+L367</f>
        <v>0</v>
      </c>
      <c r="M322" s="24">
        <f>M323+M367</f>
        <v>703477.19999999984</v>
      </c>
      <c r="N322" s="24">
        <f>N323+N367</f>
        <v>711473.5</v>
      </c>
    </row>
    <row r="323" spans="1:14" s="115" customFormat="1" ht="36" x14ac:dyDescent="0.35">
      <c r="A323" s="11"/>
      <c r="B323" s="496" t="s">
        <v>206</v>
      </c>
      <c r="C323" s="23" t="s">
        <v>422</v>
      </c>
      <c r="D323" s="10" t="s">
        <v>224</v>
      </c>
      <c r="E323" s="10" t="s">
        <v>39</v>
      </c>
      <c r="F323" s="689" t="s">
        <v>39</v>
      </c>
      <c r="G323" s="690" t="s">
        <v>45</v>
      </c>
      <c r="H323" s="690" t="s">
        <v>43</v>
      </c>
      <c r="I323" s="691" t="s">
        <v>44</v>
      </c>
      <c r="J323" s="10"/>
      <c r="K323" s="24">
        <f t="shared" ref="K323" si="57">K324+K364</f>
        <v>701304.59999999986</v>
      </c>
      <c r="L323" s="24">
        <f>L324+L364</f>
        <v>0</v>
      </c>
      <c r="M323" s="24">
        <f t="shared" ref="M323:N323" si="58">M324+M364</f>
        <v>701304.59999999986</v>
      </c>
      <c r="N323" s="24">
        <f t="shared" si="58"/>
        <v>709306.8</v>
      </c>
    </row>
    <row r="324" spans="1:14" s="115" customFormat="1" ht="18" x14ac:dyDescent="0.35">
      <c r="A324" s="11"/>
      <c r="B324" s="496" t="s">
        <v>271</v>
      </c>
      <c r="C324" s="23" t="s">
        <v>422</v>
      </c>
      <c r="D324" s="10" t="s">
        <v>224</v>
      </c>
      <c r="E324" s="10" t="s">
        <v>39</v>
      </c>
      <c r="F324" s="689" t="s">
        <v>39</v>
      </c>
      <c r="G324" s="690" t="s">
        <v>45</v>
      </c>
      <c r="H324" s="690" t="s">
        <v>39</v>
      </c>
      <c r="I324" s="691" t="s">
        <v>44</v>
      </c>
      <c r="J324" s="10"/>
      <c r="K324" s="24">
        <f>K340+K344+K348+K325+K333+K355+K337+K330+K360+K351+K358</f>
        <v>695847.09999999986</v>
      </c>
      <c r="L324" s="24">
        <f>L340+L344+L348+L325+L333+L355+L337+L330+L360+L351+L358</f>
        <v>0</v>
      </c>
      <c r="M324" s="24">
        <f>M340+M344+M348+M325+M333+M355+M337+M330+M360+M351+M358</f>
        <v>695847.09999999986</v>
      </c>
      <c r="N324" s="24">
        <f>N340+N344+N348+N325+N333+N355+N337+N330+N360+N351+N358</f>
        <v>703849.3</v>
      </c>
    </row>
    <row r="325" spans="1:14" s="111" customFormat="1" ht="36" x14ac:dyDescent="0.35">
      <c r="A325" s="11"/>
      <c r="B325" s="574" t="s">
        <v>461</v>
      </c>
      <c r="C325" s="23" t="s">
        <v>422</v>
      </c>
      <c r="D325" s="10" t="s">
        <v>224</v>
      </c>
      <c r="E325" s="10" t="s">
        <v>39</v>
      </c>
      <c r="F325" s="689" t="s">
        <v>39</v>
      </c>
      <c r="G325" s="690" t="s">
        <v>45</v>
      </c>
      <c r="H325" s="690" t="s">
        <v>39</v>
      </c>
      <c r="I325" s="691" t="s">
        <v>91</v>
      </c>
      <c r="J325" s="10"/>
      <c r="K325" s="24">
        <f>K328+K329+K327+K326</f>
        <v>81087.199999999997</v>
      </c>
      <c r="L325" s="24">
        <f>L328+L329+L327+L326</f>
        <v>0</v>
      </c>
      <c r="M325" s="24">
        <f>M328+M329+M327+M326</f>
        <v>81087.199999999997</v>
      </c>
      <c r="N325" s="24">
        <f>N328+N329+N327+N326</f>
        <v>94774.8</v>
      </c>
    </row>
    <row r="326" spans="1:14" s="111" customFormat="1" ht="108" x14ac:dyDescent="0.35">
      <c r="A326" s="11"/>
      <c r="B326" s="496" t="s">
        <v>49</v>
      </c>
      <c r="C326" s="23" t="s">
        <v>422</v>
      </c>
      <c r="D326" s="10" t="s">
        <v>224</v>
      </c>
      <c r="E326" s="10" t="s">
        <v>39</v>
      </c>
      <c r="F326" s="689" t="s">
        <v>39</v>
      </c>
      <c r="G326" s="690" t="s">
        <v>45</v>
      </c>
      <c r="H326" s="690" t="s">
        <v>39</v>
      </c>
      <c r="I326" s="691" t="s">
        <v>91</v>
      </c>
      <c r="J326" s="10" t="s">
        <v>50</v>
      </c>
      <c r="K326" s="24">
        <v>361.1</v>
      </c>
      <c r="L326" s="24">
        <f>M326-K326</f>
        <v>0</v>
      </c>
      <c r="M326" s="24">
        <v>361.1</v>
      </c>
      <c r="N326" s="24">
        <v>361.1</v>
      </c>
    </row>
    <row r="327" spans="1:14" s="111" customFormat="1" ht="54" x14ac:dyDescent="0.35">
      <c r="A327" s="11"/>
      <c r="B327" s="496" t="s">
        <v>55</v>
      </c>
      <c r="C327" s="23" t="s">
        <v>422</v>
      </c>
      <c r="D327" s="10" t="s">
        <v>224</v>
      </c>
      <c r="E327" s="10" t="s">
        <v>39</v>
      </c>
      <c r="F327" s="689" t="s">
        <v>39</v>
      </c>
      <c r="G327" s="690" t="s">
        <v>45</v>
      </c>
      <c r="H327" s="690" t="s">
        <v>39</v>
      </c>
      <c r="I327" s="691" t="s">
        <v>91</v>
      </c>
      <c r="J327" s="10" t="s">
        <v>56</v>
      </c>
      <c r="K327" s="24">
        <v>8467.9</v>
      </c>
      <c r="L327" s="24">
        <f>M327-K327</f>
        <v>0</v>
      </c>
      <c r="M327" s="24">
        <v>8467.9</v>
      </c>
      <c r="N327" s="24">
        <v>12418.4</v>
      </c>
    </row>
    <row r="328" spans="1:14" s="111" customFormat="1" ht="54" x14ac:dyDescent="0.35">
      <c r="A328" s="11"/>
      <c r="B328" s="496" t="s">
        <v>76</v>
      </c>
      <c r="C328" s="23" t="s">
        <v>422</v>
      </c>
      <c r="D328" s="10" t="s">
        <v>224</v>
      </c>
      <c r="E328" s="10" t="s">
        <v>39</v>
      </c>
      <c r="F328" s="689" t="s">
        <v>39</v>
      </c>
      <c r="G328" s="690" t="s">
        <v>45</v>
      </c>
      <c r="H328" s="690" t="s">
        <v>39</v>
      </c>
      <c r="I328" s="691" t="s">
        <v>91</v>
      </c>
      <c r="J328" s="10" t="s">
        <v>77</v>
      </c>
      <c r="K328" s="24">
        <v>71870.399999999994</v>
      </c>
      <c r="L328" s="24">
        <f>M328-K328</f>
        <v>0</v>
      </c>
      <c r="M328" s="24">
        <v>71870.399999999994</v>
      </c>
      <c r="N328" s="24">
        <v>81618.100000000006</v>
      </c>
    </row>
    <row r="329" spans="1:14" s="111" customFormat="1" ht="18" x14ac:dyDescent="0.35">
      <c r="A329" s="11"/>
      <c r="B329" s="496" t="s">
        <v>57</v>
      </c>
      <c r="C329" s="23" t="s">
        <v>422</v>
      </c>
      <c r="D329" s="10" t="s">
        <v>224</v>
      </c>
      <c r="E329" s="10" t="s">
        <v>39</v>
      </c>
      <c r="F329" s="689" t="s">
        <v>39</v>
      </c>
      <c r="G329" s="690" t="s">
        <v>45</v>
      </c>
      <c r="H329" s="690" t="s">
        <v>39</v>
      </c>
      <c r="I329" s="691" t="s">
        <v>91</v>
      </c>
      <c r="J329" s="10" t="s">
        <v>58</v>
      </c>
      <c r="K329" s="24">
        <v>387.8</v>
      </c>
      <c r="L329" s="24">
        <f>M329-K329</f>
        <v>0</v>
      </c>
      <c r="M329" s="24">
        <v>387.8</v>
      </c>
      <c r="N329" s="24">
        <v>377.2</v>
      </c>
    </row>
    <row r="330" spans="1:14" s="111" customFormat="1" ht="54" x14ac:dyDescent="0.35">
      <c r="A330" s="11"/>
      <c r="B330" s="496" t="s">
        <v>207</v>
      </c>
      <c r="C330" s="23" t="s">
        <v>422</v>
      </c>
      <c r="D330" s="10" t="s">
        <v>224</v>
      </c>
      <c r="E330" s="10" t="s">
        <v>39</v>
      </c>
      <c r="F330" s="689" t="s">
        <v>39</v>
      </c>
      <c r="G330" s="690" t="s">
        <v>45</v>
      </c>
      <c r="H330" s="690" t="s">
        <v>39</v>
      </c>
      <c r="I330" s="691" t="s">
        <v>272</v>
      </c>
      <c r="J330" s="10"/>
      <c r="K330" s="24">
        <f>K331+K332</f>
        <v>29811.599999999999</v>
      </c>
      <c r="L330" s="24">
        <f>L331+L332</f>
        <v>0</v>
      </c>
      <c r="M330" s="24">
        <f>M331+M332</f>
        <v>29811.599999999999</v>
      </c>
      <c r="N330" s="24">
        <f>N331+N332</f>
        <v>29811.599999999999</v>
      </c>
    </row>
    <row r="331" spans="1:14" s="111" customFormat="1" ht="54" x14ac:dyDescent="0.35">
      <c r="A331" s="11"/>
      <c r="B331" s="496" t="s">
        <v>55</v>
      </c>
      <c r="C331" s="23" t="s">
        <v>422</v>
      </c>
      <c r="D331" s="10" t="s">
        <v>224</v>
      </c>
      <c r="E331" s="10" t="s">
        <v>39</v>
      </c>
      <c r="F331" s="689" t="s">
        <v>39</v>
      </c>
      <c r="G331" s="690" t="s">
        <v>45</v>
      </c>
      <c r="H331" s="690" t="s">
        <v>39</v>
      </c>
      <c r="I331" s="691" t="s">
        <v>272</v>
      </c>
      <c r="J331" s="10" t="s">
        <v>56</v>
      </c>
      <c r="K331" s="24">
        <v>4257.3999999999996</v>
      </c>
      <c r="L331" s="24">
        <f>M331-K331</f>
        <v>0</v>
      </c>
      <c r="M331" s="24">
        <v>4257.3999999999996</v>
      </c>
      <c r="N331" s="24">
        <v>4257.3999999999996</v>
      </c>
    </row>
    <row r="332" spans="1:14" s="111" customFormat="1" ht="54" x14ac:dyDescent="0.35">
      <c r="A332" s="11"/>
      <c r="B332" s="496" t="s">
        <v>76</v>
      </c>
      <c r="C332" s="23" t="s">
        <v>422</v>
      </c>
      <c r="D332" s="10" t="s">
        <v>224</v>
      </c>
      <c r="E332" s="10" t="s">
        <v>39</v>
      </c>
      <c r="F332" s="689" t="s">
        <v>39</v>
      </c>
      <c r="G332" s="690" t="s">
        <v>45</v>
      </c>
      <c r="H332" s="690" t="s">
        <v>39</v>
      </c>
      <c r="I332" s="691" t="s">
        <v>272</v>
      </c>
      <c r="J332" s="10" t="s">
        <v>77</v>
      </c>
      <c r="K332" s="24">
        <v>25554.2</v>
      </c>
      <c r="L332" s="24">
        <f>M332-K332</f>
        <v>0</v>
      </c>
      <c r="M332" s="24">
        <v>25554.2</v>
      </c>
      <c r="N332" s="24">
        <v>25554.2</v>
      </c>
    </row>
    <row r="333" spans="1:14" s="111" customFormat="1" ht="36" x14ac:dyDescent="0.35">
      <c r="A333" s="11"/>
      <c r="B333" s="496" t="s">
        <v>208</v>
      </c>
      <c r="C333" s="23" t="s">
        <v>422</v>
      </c>
      <c r="D333" s="10" t="s">
        <v>224</v>
      </c>
      <c r="E333" s="10" t="s">
        <v>39</v>
      </c>
      <c r="F333" s="689" t="s">
        <v>39</v>
      </c>
      <c r="G333" s="690" t="s">
        <v>45</v>
      </c>
      <c r="H333" s="690" t="s">
        <v>39</v>
      </c>
      <c r="I333" s="691" t="s">
        <v>273</v>
      </c>
      <c r="J333" s="10"/>
      <c r="K333" s="24">
        <f>SUM(K334:K336)</f>
        <v>16500.3</v>
      </c>
      <c r="L333" s="24">
        <f>SUM(L334:L336)</f>
        <v>0</v>
      </c>
      <c r="M333" s="24">
        <f>SUM(M334:M336)</f>
        <v>16500.3</v>
      </c>
      <c r="N333" s="24">
        <f>SUM(N334:N336)</f>
        <v>16500.3</v>
      </c>
    </row>
    <row r="334" spans="1:14" s="111" customFormat="1" ht="108" x14ac:dyDescent="0.35">
      <c r="A334" s="11"/>
      <c r="B334" s="496" t="s">
        <v>49</v>
      </c>
      <c r="C334" s="23" t="s">
        <v>422</v>
      </c>
      <c r="D334" s="10" t="s">
        <v>224</v>
      </c>
      <c r="E334" s="10" t="s">
        <v>39</v>
      </c>
      <c r="F334" s="689" t="s">
        <v>39</v>
      </c>
      <c r="G334" s="690" t="s">
        <v>45</v>
      </c>
      <c r="H334" s="690" t="s">
        <v>39</v>
      </c>
      <c r="I334" s="691" t="s">
        <v>273</v>
      </c>
      <c r="J334" s="10" t="s">
        <v>50</v>
      </c>
      <c r="K334" s="24">
        <v>93.8</v>
      </c>
      <c r="L334" s="24">
        <f>M334-K334</f>
        <v>0</v>
      </c>
      <c r="M334" s="24">
        <v>93.8</v>
      </c>
      <c r="N334" s="24">
        <v>93.8</v>
      </c>
    </row>
    <row r="335" spans="1:14" s="111" customFormat="1" ht="54" x14ac:dyDescent="0.35">
      <c r="A335" s="11"/>
      <c r="B335" s="496" t="s">
        <v>55</v>
      </c>
      <c r="C335" s="23" t="s">
        <v>422</v>
      </c>
      <c r="D335" s="10" t="s">
        <v>224</v>
      </c>
      <c r="E335" s="10" t="s">
        <v>39</v>
      </c>
      <c r="F335" s="689" t="s">
        <v>39</v>
      </c>
      <c r="G335" s="690" t="s">
        <v>45</v>
      </c>
      <c r="H335" s="690" t="s">
        <v>39</v>
      </c>
      <c r="I335" s="691" t="s">
        <v>273</v>
      </c>
      <c r="J335" s="10" t="s">
        <v>56</v>
      </c>
      <c r="K335" s="24">
        <v>546.20000000000005</v>
      </c>
      <c r="L335" s="24">
        <f>M335-K335</f>
        <v>0</v>
      </c>
      <c r="M335" s="24">
        <v>546.20000000000005</v>
      </c>
      <c r="N335" s="24">
        <v>546.20000000000005</v>
      </c>
    </row>
    <row r="336" spans="1:14" s="111" customFormat="1" ht="54" x14ac:dyDescent="0.35">
      <c r="A336" s="11"/>
      <c r="B336" s="496" t="s">
        <v>76</v>
      </c>
      <c r="C336" s="23" t="s">
        <v>422</v>
      </c>
      <c r="D336" s="10" t="s">
        <v>224</v>
      </c>
      <c r="E336" s="10" t="s">
        <v>39</v>
      </c>
      <c r="F336" s="689" t="s">
        <v>39</v>
      </c>
      <c r="G336" s="690" t="s">
        <v>45</v>
      </c>
      <c r="H336" s="690" t="s">
        <v>39</v>
      </c>
      <c r="I336" s="691" t="s">
        <v>273</v>
      </c>
      <c r="J336" s="10" t="s">
        <v>77</v>
      </c>
      <c r="K336" s="24">
        <v>15860.3</v>
      </c>
      <c r="L336" s="24">
        <f>M336-K336</f>
        <v>0</v>
      </c>
      <c r="M336" s="24">
        <v>15860.3</v>
      </c>
      <c r="N336" s="24">
        <v>15860.3</v>
      </c>
    </row>
    <row r="337" spans="1:14" s="111" customFormat="1" ht="288" x14ac:dyDescent="0.35">
      <c r="A337" s="11"/>
      <c r="B337" s="496" t="s">
        <v>592</v>
      </c>
      <c r="C337" s="23" t="s">
        <v>422</v>
      </c>
      <c r="D337" s="10" t="s">
        <v>224</v>
      </c>
      <c r="E337" s="10" t="s">
        <v>39</v>
      </c>
      <c r="F337" s="689" t="s">
        <v>39</v>
      </c>
      <c r="G337" s="690" t="s">
        <v>45</v>
      </c>
      <c r="H337" s="690" t="s">
        <v>39</v>
      </c>
      <c r="I337" s="691" t="s">
        <v>519</v>
      </c>
      <c r="J337" s="10"/>
      <c r="K337" s="24">
        <f>K338+K339</f>
        <v>35752.9</v>
      </c>
      <c r="L337" s="24">
        <f>L338+L339</f>
        <v>0</v>
      </c>
      <c r="M337" s="24">
        <f>M338+M339</f>
        <v>35752.9</v>
      </c>
      <c r="N337" s="24">
        <f>N338+N339</f>
        <v>35752.9</v>
      </c>
    </row>
    <row r="338" spans="1:14" s="111" customFormat="1" ht="108" x14ac:dyDescent="0.35">
      <c r="A338" s="11"/>
      <c r="B338" s="496" t="s">
        <v>49</v>
      </c>
      <c r="C338" s="23" t="s">
        <v>422</v>
      </c>
      <c r="D338" s="10" t="s">
        <v>224</v>
      </c>
      <c r="E338" s="10" t="s">
        <v>39</v>
      </c>
      <c r="F338" s="689" t="s">
        <v>39</v>
      </c>
      <c r="G338" s="690" t="s">
        <v>45</v>
      </c>
      <c r="H338" s="690" t="s">
        <v>39</v>
      </c>
      <c r="I338" s="691" t="s">
        <v>519</v>
      </c>
      <c r="J338" s="10" t="s">
        <v>50</v>
      </c>
      <c r="K338" s="24">
        <v>2968.6</v>
      </c>
      <c r="L338" s="24">
        <f>M338-K338</f>
        <v>0</v>
      </c>
      <c r="M338" s="24">
        <v>2968.6</v>
      </c>
      <c r="N338" s="24">
        <v>2968.6</v>
      </c>
    </row>
    <row r="339" spans="1:14" s="111" customFormat="1" ht="54" x14ac:dyDescent="0.35">
      <c r="A339" s="11"/>
      <c r="B339" s="496" t="s">
        <v>76</v>
      </c>
      <c r="C339" s="23" t="s">
        <v>422</v>
      </c>
      <c r="D339" s="10" t="s">
        <v>224</v>
      </c>
      <c r="E339" s="10" t="s">
        <v>39</v>
      </c>
      <c r="F339" s="689" t="s">
        <v>39</v>
      </c>
      <c r="G339" s="690" t="s">
        <v>45</v>
      </c>
      <c r="H339" s="690" t="s">
        <v>39</v>
      </c>
      <c r="I339" s="691" t="s">
        <v>519</v>
      </c>
      <c r="J339" s="10" t="s">
        <v>77</v>
      </c>
      <c r="K339" s="24">
        <v>32784.300000000003</v>
      </c>
      <c r="L339" s="24">
        <f>M339-K339</f>
        <v>0</v>
      </c>
      <c r="M339" s="24">
        <v>32784.300000000003</v>
      </c>
      <c r="N339" s="24">
        <v>32784.300000000003</v>
      </c>
    </row>
    <row r="340" spans="1:14" s="115" customFormat="1" ht="180" x14ac:dyDescent="0.35">
      <c r="A340" s="11"/>
      <c r="B340" s="496" t="s">
        <v>267</v>
      </c>
      <c r="C340" s="23" t="s">
        <v>422</v>
      </c>
      <c r="D340" s="10" t="s">
        <v>224</v>
      </c>
      <c r="E340" s="10" t="s">
        <v>39</v>
      </c>
      <c r="F340" s="689" t="s">
        <v>39</v>
      </c>
      <c r="G340" s="690" t="s">
        <v>45</v>
      </c>
      <c r="H340" s="690" t="s">
        <v>39</v>
      </c>
      <c r="I340" s="691" t="s">
        <v>268</v>
      </c>
      <c r="J340" s="10"/>
      <c r="K340" s="24">
        <f>SUM(K341:K343)</f>
        <v>1599.6</v>
      </c>
      <c r="L340" s="24">
        <f>SUM(L341:L343)</f>
        <v>0</v>
      </c>
      <c r="M340" s="24">
        <f>SUM(M341:M343)</f>
        <v>1599.6</v>
      </c>
      <c r="N340" s="24">
        <f>SUM(N341:N343)</f>
        <v>1663.6</v>
      </c>
    </row>
    <row r="341" spans="1:14" s="115" customFormat="1" ht="108" x14ac:dyDescent="0.35">
      <c r="A341" s="11"/>
      <c r="B341" s="496" t="s">
        <v>49</v>
      </c>
      <c r="C341" s="23" t="s">
        <v>422</v>
      </c>
      <c r="D341" s="10" t="s">
        <v>224</v>
      </c>
      <c r="E341" s="10" t="s">
        <v>39</v>
      </c>
      <c r="F341" s="689" t="s">
        <v>39</v>
      </c>
      <c r="G341" s="690" t="s">
        <v>45</v>
      </c>
      <c r="H341" s="690" t="s">
        <v>39</v>
      </c>
      <c r="I341" s="691" t="s">
        <v>268</v>
      </c>
      <c r="J341" s="10" t="s">
        <v>50</v>
      </c>
      <c r="K341" s="24">
        <v>77.599999999999994</v>
      </c>
      <c r="L341" s="24">
        <f>M341-K341</f>
        <v>0</v>
      </c>
      <c r="M341" s="24">
        <v>77.599999999999994</v>
      </c>
      <c r="N341" s="24">
        <v>80</v>
      </c>
    </row>
    <row r="342" spans="1:14" s="115" customFormat="1" ht="36" x14ac:dyDescent="0.35">
      <c r="A342" s="11"/>
      <c r="B342" s="496" t="s">
        <v>120</v>
      </c>
      <c r="C342" s="23" t="s">
        <v>422</v>
      </c>
      <c r="D342" s="10" t="s">
        <v>224</v>
      </c>
      <c r="E342" s="10" t="s">
        <v>39</v>
      </c>
      <c r="F342" s="689" t="s">
        <v>39</v>
      </c>
      <c r="G342" s="690" t="s">
        <v>45</v>
      </c>
      <c r="H342" s="690" t="s">
        <v>39</v>
      </c>
      <c r="I342" s="691" t="s">
        <v>268</v>
      </c>
      <c r="J342" s="10" t="s">
        <v>121</v>
      </c>
      <c r="K342" s="24">
        <v>5.5</v>
      </c>
      <c r="L342" s="24">
        <f>M342-K342</f>
        <v>0</v>
      </c>
      <c r="M342" s="24">
        <v>5.5</v>
      </c>
      <c r="N342" s="24">
        <v>5.6</v>
      </c>
    </row>
    <row r="343" spans="1:14" s="115" customFormat="1" ht="54" x14ac:dyDescent="0.35">
      <c r="A343" s="11"/>
      <c r="B343" s="496" t="s">
        <v>76</v>
      </c>
      <c r="C343" s="23" t="s">
        <v>422</v>
      </c>
      <c r="D343" s="10" t="s">
        <v>224</v>
      </c>
      <c r="E343" s="10" t="s">
        <v>39</v>
      </c>
      <c r="F343" s="689" t="s">
        <v>39</v>
      </c>
      <c r="G343" s="690" t="s">
        <v>45</v>
      </c>
      <c r="H343" s="690" t="s">
        <v>39</v>
      </c>
      <c r="I343" s="691" t="s">
        <v>268</v>
      </c>
      <c r="J343" s="10" t="s">
        <v>77</v>
      </c>
      <c r="K343" s="24">
        <v>1516.5</v>
      </c>
      <c r="L343" s="24">
        <f>M343-K343</f>
        <v>0</v>
      </c>
      <c r="M343" s="24">
        <v>1516.5</v>
      </c>
      <c r="N343" s="24">
        <v>1578</v>
      </c>
    </row>
    <row r="344" spans="1:14" s="115" customFormat="1" ht="108" x14ac:dyDescent="0.35">
      <c r="A344" s="11"/>
      <c r="B344" s="496" t="s">
        <v>343</v>
      </c>
      <c r="C344" s="23" t="s">
        <v>422</v>
      </c>
      <c r="D344" s="10" t="s">
        <v>224</v>
      </c>
      <c r="E344" s="10" t="s">
        <v>39</v>
      </c>
      <c r="F344" s="689" t="s">
        <v>39</v>
      </c>
      <c r="G344" s="690" t="s">
        <v>45</v>
      </c>
      <c r="H344" s="690" t="s">
        <v>39</v>
      </c>
      <c r="I344" s="691" t="s">
        <v>269</v>
      </c>
      <c r="J344" s="10"/>
      <c r="K344" s="24">
        <f>K345+K346+K347</f>
        <v>444750.99999999994</v>
      </c>
      <c r="L344" s="24">
        <f>L345+L346+L347</f>
        <v>0</v>
      </c>
      <c r="M344" s="24">
        <f>M345+M346+M347</f>
        <v>444750.99999999994</v>
      </c>
      <c r="N344" s="24">
        <f>N345+N346+N347</f>
        <v>444788.39999999997</v>
      </c>
    </row>
    <row r="345" spans="1:14" s="115" customFormat="1" ht="108" x14ac:dyDescent="0.35">
      <c r="A345" s="11"/>
      <c r="B345" s="496" t="s">
        <v>49</v>
      </c>
      <c r="C345" s="23" t="s">
        <v>422</v>
      </c>
      <c r="D345" s="10" t="s">
        <v>224</v>
      </c>
      <c r="E345" s="10" t="s">
        <v>39</v>
      </c>
      <c r="F345" s="689" t="s">
        <v>39</v>
      </c>
      <c r="G345" s="690" t="s">
        <v>45</v>
      </c>
      <c r="H345" s="690" t="s">
        <v>39</v>
      </c>
      <c r="I345" s="691" t="s">
        <v>269</v>
      </c>
      <c r="J345" s="10" t="s">
        <v>50</v>
      </c>
      <c r="K345" s="24">
        <f>30150+109.8</f>
        <v>30259.8</v>
      </c>
      <c r="L345" s="24">
        <f>M345-K345</f>
        <v>0</v>
      </c>
      <c r="M345" s="24">
        <f>30150+109.8</f>
        <v>30259.8</v>
      </c>
      <c r="N345" s="24">
        <f>30150+109.8</f>
        <v>30259.8</v>
      </c>
    </row>
    <row r="346" spans="1:14" s="115" customFormat="1" ht="54" x14ac:dyDescent="0.35">
      <c r="A346" s="11"/>
      <c r="B346" s="496" t="s">
        <v>55</v>
      </c>
      <c r="C346" s="23" t="s">
        <v>422</v>
      </c>
      <c r="D346" s="10" t="s">
        <v>224</v>
      </c>
      <c r="E346" s="10" t="s">
        <v>39</v>
      </c>
      <c r="F346" s="689" t="s">
        <v>39</v>
      </c>
      <c r="G346" s="690" t="s">
        <v>45</v>
      </c>
      <c r="H346" s="690" t="s">
        <v>39</v>
      </c>
      <c r="I346" s="691" t="s">
        <v>269</v>
      </c>
      <c r="J346" s="10" t="s">
        <v>56</v>
      </c>
      <c r="K346" s="24">
        <v>1983</v>
      </c>
      <c r="L346" s="24">
        <f>M346-K346</f>
        <v>0</v>
      </c>
      <c r="M346" s="24">
        <v>1983</v>
      </c>
      <c r="N346" s="24">
        <v>1983</v>
      </c>
    </row>
    <row r="347" spans="1:14" s="115" customFormat="1" ht="54" x14ac:dyDescent="0.35">
      <c r="A347" s="11"/>
      <c r="B347" s="496" t="s">
        <v>76</v>
      </c>
      <c r="C347" s="23" t="s">
        <v>422</v>
      </c>
      <c r="D347" s="10" t="s">
        <v>224</v>
      </c>
      <c r="E347" s="10" t="s">
        <v>39</v>
      </c>
      <c r="F347" s="689" t="s">
        <v>39</v>
      </c>
      <c r="G347" s="690" t="s">
        <v>45</v>
      </c>
      <c r="H347" s="690" t="s">
        <v>39</v>
      </c>
      <c r="I347" s="691" t="s">
        <v>269</v>
      </c>
      <c r="J347" s="10" t="s">
        <v>77</v>
      </c>
      <c r="K347" s="24">
        <f>386982.1+24598.3+927.8</f>
        <v>412508.19999999995</v>
      </c>
      <c r="L347" s="24">
        <f>M347-K347</f>
        <v>0</v>
      </c>
      <c r="M347" s="24">
        <f>386982.1+24598.3+927.8</f>
        <v>412508.19999999995</v>
      </c>
      <c r="N347" s="24">
        <f>387019.5+24598.3+927.8</f>
        <v>412545.6</v>
      </c>
    </row>
    <row r="348" spans="1:14" s="111" customFormat="1" ht="90" x14ac:dyDescent="0.35">
      <c r="A348" s="11"/>
      <c r="B348" s="496" t="s">
        <v>209</v>
      </c>
      <c r="C348" s="23" t="s">
        <v>422</v>
      </c>
      <c r="D348" s="10" t="s">
        <v>224</v>
      </c>
      <c r="E348" s="10" t="s">
        <v>39</v>
      </c>
      <c r="F348" s="689" t="s">
        <v>39</v>
      </c>
      <c r="G348" s="690" t="s">
        <v>45</v>
      </c>
      <c r="H348" s="690" t="s">
        <v>39</v>
      </c>
      <c r="I348" s="691" t="s">
        <v>274</v>
      </c>
      <c r="J348" s="10"/>
      <c r="K348" s="24">
        <f>SUM(K349:K350)</f>
        <v>2502.6</v>
      </c>
      <c r="L348" s="24">
        <f>SUM(L349:L350)</f>
        <v>0</v>
      </c>
      <c r="M348" s="24">
        <f>SUM(M349:M350)</f>
        <v>2502.6</v>
      </c>
      <c r="N348" s="24">
        <f>SUM(N349:N350)</f>
        <v>2502.6</v>
      </c>
    </row>
    <row r="349" spans="1:14" s="111" customFormat="1" ht="54" x14ac:dyDescent="0.35">
      <c r="A349" s="11"/>
      <c r="B349" s="496" t="s">
        <v>55</v>
      </c>
      <c r="C349" s="23" t="s">
        <v>422</v>
      </c>
      <c r="D349" s="10" t="s">
        <v>224</v>
      </c>
      <c r="E349" s="10" t="s">
        <v>39</v>
      </c>
      <c r="F349" s="689" t="s">
        <v>39</v>
      </c>
      <c r="G349" s="690" t="s">
        <v>45</v>
      </c>
      <c r="H349" s="690" t="s">
        <v>39</v>
      </c>
      <c r="I349" s="691" t="s">
        <v>274</v>
      </c>
      <c r="J349" s="10" t="s">
        <v>56</v>
      </c>
      <c r="K349" s="24">
        <v>129.9</v>
      </c>
      <c r="L349" s="24">
        <f>M349-K349</f>
        <v>0</v>
      </c>
      <c r="M349" s="24">
        <v>129.9</v>
      </c>
      <c r="N349" s="24">
        <v>129.9</v>
      </c>
    </row>
    <row r="350" spans="1:14" s="111" customFormat="1" ht="54" x14ac:dyDescent="0.35">
      <c r="A350" s="11"/>
      <c r="B350" s="496" t="s">
        <v>76</v>
      </c>
      <c r="C350" s="23" t="s">
        <v>422</v>
      </c>
      <c r="D350" s="10" t="s">
        <v>224</v>
      </c>
      <c r="E350" s="10" t="s">
        <v>39</v>
      </c>
      <c r="F350" s="689" t="s">
        <v>39</v>
      </c>
      <c r="G350" s="690" t="s">
        <v>45</v>
      </c>
      <c r="H350" s="690" t="s">
        <v>39</v>
      </c>
      <c r="I350" s="691" t="s">
        <v>274</v>
      </c>
      <c r="J350" s="10" t="s">
        <v>77</v>
      </c>
      <c r="K350" s="24">
        <v>2372.6999999999998</v>
      </c>
      <c r="L350" s="24">
        <f>M350-K350</f>
        <v>0</v>
      </c>
      <c r="M350" s="24">
        <v>2372.6999999999998</v>
      </c>
      <c r="N350" s="24">
        <v>2372.6999999999998</v>
      </c>
    </row>
    <row r="351" spans="1:14" s="111" customFormat="1" ht="162" x14ac:dyDescent="0.35">
      <c r="A351" s="11"/>
      <c r="B351" s="496" t="s">
        <v>547</v>
      </c>
      <c r="C351" s="23" t="s">
        <v>422</v>
      </c>
      <c r="D351" s="10" t="s">
        <v>224</v>
      </c>
      <c r="E351" s="10" t="s">
        <v>39</v>
      </c>
      <c r="F351" s="689" t="s">
        <v>39</v>
      </c>
      <c r="G351" s="690" t="s">
        <v>45</v>
      </c>
      <c r="H351" s="690" t="s">
        <v>39</v>
      </c>
      <c r="I351" s="691" t="s">
        <v>546</v>
      </c>
      <c r="J351" s="10"/>
      <c r="K351" s="24">
        <f>SUM(K352:K354)</f>
        <v>2232.2000000000003</v>
      </c>
      <c r="L351" s="24">
        <f>SUM(L352:L354)</f>
        <v>0</v>
      </c>
      <c r="M351" s="24">
        <f>SUM(M352:M354)</f>
        <v>2232.2000000000003</v>
      </c>
      <c r="N351" s="24">
        <f>SUM(N352:N354)</f>
        <v>2086.4</v>
      </c>
    </row>
    <row r="352" spans="1:14" s="111" customFormat="1" ht="54" x14ac:dyDescent="0.35">
      <c r="A352" s="11"/>
      <c r="B352" s="496" t="s">
        <v>55</v>
      </c>
      <c r="C352" s="23" t="s">
        <v>422</v>
      </c>
      <c r="D352" s="10" t="s">
        <v>224</v>
      </c>
      <c r="E352" s="10" t="s">
        <v>39</v>
      </c>
      <c r="F352" s="689" t="s">
        <v>39</v>
      </c>
      <c r="G352" s="690" t="s">
        <v>45</v>
      </c>
      <c r="H352" s="690" t="s">
        <v>39</v>
      </c>
      <c r="I352" s="691" t="s">
        <v>546</v>
      </c>
      <c r="J352" s="10" t="s">
        <v>56</v>
      </c>
      <c r="K352" s="24">
        <v>79.900000000000006</v>
      </c>
      <c r="L352" s="24">
        <f>M352-K352</f>
        <v>0</v>
      </c>
      <c r="M352" s="24">
        <v>79.900000000000006</v>
      </c>
      <c r="N352" s="24">
        <v>66.3</v>
      </c>
    </row>
    <row r="353" spans="1:17" s="111" customFormat="1" ht="36" x14ac:dyDescent="0.35">
      <c r="A353" s="11"/>
      <c r="B353" s="493" t="s">
        <v>120</v>
      </c>
      <c r="C353" s="214" t="s">
        <v>422</v>
      </c>
      <c r="D353" s="28" t="s">
        <v>224</v>
      </c>
      <c r="E353" s="28" t="s">
        <v>39</v>
      </c>
      <c r="F353" s="206" t="s">
        <v>39</v>
      </c>
      <c r="G353" s="207" t="s">
        <v>45</v>
      </c>
      <c r="H353" s="207" t="s">
        <v>39</v>
      </c>
      <c r="I353" s="208" t="s">
        <v>546</v>
      </c>
      <c r="J353" s="28" t="s">
        <v>121</v>
      </c>
      <c r="K353" s="24">
        <v>25.5</v>
      </c>
      <c r="L353" s="24">
        <f>M353-K353</f>
        <v>0</v>
      </c>
      <c r="M353" s="24">
        <v>25.5</v>
      </c>
      <c r="N353" s="24">
        <v>23.6</v>
      </c>
    </row>
    <row r="354" spans="1:17" s="111" customFormat="1" ht="54" x14ac:dyDescent="0.35">
      <c r="A354" s="11"/>
      <c r="B354" s="496" t="s">
        <v>76</v>
      </c>
      <c r="C354" s="23" t="s">
        <v>422</v>
      </c>
      <c r="D354" s="10" t="s">
        <v>224</v>
      </c>
      <c r="E354" s="10" t="s">
        <v>39</v>
      </c>
      <c r="F354" s="689" t="s">
        <v>39</v>
      </c>
      <c r="G354" s="690" t="s">
        <v>45</v>
      </c>
      <c r="H354" s="690" t="s">
        <v>39</v>
      </c>
      <c r="I354" s="691" t="s">
        <v>546</v>
      </c>
      <c r="J354" s="10" t="s">
        <v>77</v>
      </c>
      <c r="K354" s="24">
        <v>2126.8000000000002</v>
      </c>
      <c r="L354" s="24">
        <f>M354-K354</f>
        <v>0</v>
      </c>
      <c r="M354" s="24">
        <v>2126.8000000000002</v>
      </c>
      <c r="N354" s="24">
        <v>1996.5</v>
      </c>
    </row>
    <row r="355" spans="1:17" s="111" customFormat="1" ht="72" x14ac:dyDescent="0.35">
      <c r="A355" s="11"/>
      <c r="B355" s="496" t="s">
        <v>453</v>
      </c>
      <c r="C355" s="23" t="s">
        <v>422</v>
      </c>
      <c r="D355" s="10" t="s">
        <v>224</v>
      </c>
      <c r="E355" s="10" t="s">
        <v>39</v>
      </c>
      <c r="F355" s="689" t="s">
        <v>39</v>
      </c>
      <c r="G355" s="690" t="s">
        <v>45</v>
      </c>
      <c r="H355" s="690" t="s">
        <v>39</v>
      </c>
      <c r="I355" s="691" t="s">
        <v>452</v>
      </c>
      <c r="J355" s="10"/>
      <c r="K355" s="24">
        <f>K356+K357</f>
        <v>63320.5</v>
      </c>
      <c r="L355" s="24">
        <f>L356+L357</f>
        <v>0</v>
      </c>
      <c r="M355" s="24">
        <f>M356+M357</f>
        <v>63320.5</v>
      </c>
      <c r="N355" s="24">
        <f>N356+N357</f>
        <v>62761.9</v>
      </c>
    </row>
    <row r="356" spans="1:17" s="111" customFormat="1" ht="54" x14ac:dyDescent="0.35">
      <c r="A356" s="11"/>
      <c r="B356" s="496" t="s">
        <v>55</v>
      </c>
      <c r="C356" s="23" t="s">
        <v>422</v>
      </c>
      <c r="D356" s="10" t="s">
        <v>224</v>
      </c>
      <c r="E356" s="10" t="s">
        <v>39</v>
      </c>
      <c r="F356" s="689" t="s">
        <v>39</v>
      </c>
      <c r="G356" s="690" t="s">
        <v>45</v>
      </c>
      <c r="H356" s="690" t="s">
        <v>39</v>
      </c>
      <c r="I356" s="691" t="s">
        <v>452</v>
      </c>
      <c r="J356" s="10" t="s">
        <v>56</v>
      </c>
      <c r="K356" s="24">
        <f>1439.7+406.1+54.1+3</f>
        <v>1902.9</v>
      </c>
      <c r="L356" s="24">
        <f>M356-K356</f>
        <v>0</v>
      </c>
      <c r="M356" s="24">
        <f>1439.7+406.1+54.1+3</f>
        <v>1902.9</v>
      </c>
      <c r="N356" s="24">
        <f>1488.2+372+57.5</f>
        <v>1917.7</v>
      </c>
    </row>
    <row r="357" spans="1:17" s="111" customFormat="1" ht="54" x14ac:dyDescent="0.35">
      <c r="A357" s="11"/>
      <c r="B357" s="496" t="s">
        <v>76</v>
      </c>
      <c r="C357" s="23" t="s">
        <v>422</v>
      </c>
      <c r="D357" s="10" t="s">
        <v>224</v>
      </c>
      <c r="E357" s="10" t="s">
        <v>39</v>
      </c>
      <c r="F357" s="689" t="s">
        <v>39</v>
      </c>
      <c r="G357" s="690" t="s">
        <v>45</v>
      </c>
      <c r="H357" s="690" t="s">
        <v>39</v>
      </c>
      <c r="I357" s="691" t="s">
        <v>452</v>
      </c>
      <c r="J357" s="10" t="s">
        <v>77</v>
      </c>
      <c r="K357" s="24">
        <f>46468.5+13106.5+1747.5+95.1</f>
        <v>61417.599999999999</v>
      </c>
      <c r="L357" s="24">
        <f>M357-K357</f>
        <v>0</v>
      </c>
      <c r="M357" s="24">
        <f>46468.5+13106.5+1747.5+95.1</f>
        <v>61417.599999999999</v>
      </c>
      <c r="N357" s="24">
        <f>47215+11803.8+1825.4</f>
        <v>60844.200000000004</v>
      </c>
      <c r="Q357" s="178"/>
    </row>
    <row r="358" spans="1:17" s="111" customFormat="1" ht="180" x14ac:dyDescent="0.35">
      <c r="A358" s="11"/>
      <c r="B358" s="496" t="s">
        <v>548</v>
      </c>
      <c r="C358" s="23" t="s">
        <v>422</v>
      </c>
      <c r="D358" s="10" t="s">
        <v>224</v>
      </c>
      <c r="E358" s="10" t="s">
        <v>39</v>
      </c>
      <c r="F358" s="689" t="s">
        <v>39</v>
      </c>
      <c r="G358" s="690" t="s">
        <v>45</v>
      </c>
      <c r="H358" s="690" t="s">
        <v>39</v>
      </c>
      <c r="I358" s="691" t="s">
        <v>549</v>
      </c>
      <c r="J358" s="10"/>
      <c r="K358" s="24">
        <f>K359</f>
        <v>3900.6</v>
      </c>
      <c r="L358" s="24">
        <f>L359</f>
        <v>0</v>
      </c>
      <c r="M358" s="24">
        <f>M359</f>
        <v>3900.6</v>
      </c>
      <c r="N358" s="24">
        <f>N359</f>
        <v>0</v>
      </c>
      <c r="Q358" s="178"/>
    </row>
    <row r="359" spans="1:17" s="111" customFormat="1" ht="54" x14ac:dyDescent="0.35">
      <c r="A359" s="11"/>
      <c r="B359" s="496" t="s">
        <v>76</v>
      </c>
      <c r="C359" s="23" t="s">
        <v>422</v>
      </c>
      <c r="D359" s="10" t="s">
        <v>224</v>
      </c>
      <c r="E359" s="10" t="s">
        <v>39</v>
      </c>
      <c r="F359" s="689" t="s">
        <v>39</v>
      </c>
      <c r="G359" s="690" t="s">
        <v>45</v>
      </c>
      <c r="H359" s="690" t="s">
        <v>39</v>
      </c>
      <c r="I359" s="691" t="s">
        <v>549</v>
      </c>
      <c r="J359" s="10" t="s">
        <v>77</v>
      </c>
      <c r="K359" s="24">
        <v>3900.6</v>
      </c>
      <c r="L359" s="24">
        <f>M359-K359</f>
        <v>0</v>
      </c>
      <c r="M359" s="24">
        <v>3900.6</v>
      </c>
      <c r="N359" s="24">
        <v>0</v>
      </c>
      <c r="Q359" s="178"/>
    </row>
    <row r="360" spans="1:17" s="111" customFormat="1" ht="90" x14ac:dyDescent="0.35">
      <c r="A360" s="11"/>
      <c r="B360" s="496" t="s">
        <v>544</v>
      </c>
      <c r="C360" s="23" t="s">
        <v>422</v>
      </c>
      <c r="D360" s="10" t="s">
        <v>224</v>
      </c>
      <c r="E360" s="10" t="s">
        <v>39</v>
      </c>
      <c r="F360" s="689" t="s">
        <v>39</v>
      </c>
      <c r="G360" s="690" t="s">
        <v>45</v>
      </c>
      <c r="H360" s="690" t="s">
        <v>39</v>
      </c>
      <c r="I360" s="691" t="s">
        <v>543</v>
      </c>
      <c r="J360" s="10"/>
      <c r="K360" s="24">
        <f>K361+K362+K363</f>
        <v>14388.6</v>
      </c>
      <c r="L360" s="24">
        <f>L361+L362+L363</f>
        <v>0</v>
      </c>
      <c r="M360" s="24">
        <f>M361+M362+M363</f>
        <v>14388.6</v>
      </c>
      <c r="N360" s="24">
        <f>N361+N362+N363</f>
        <v>13206.8</v>
      </c>
      <c r="Q360" s="178"/>
    </row>
    <row r="361" spans="1:17" s="111" customFormat="1" ht="54" x14ac:dyDescent="0.35">
      <c r="A361" s="11"/>
      <c r="B361" s="496" t="s">
        <v>55</v>
      </c>
      <c r="C361" s="23" t="s">
        <v>422</v>
      </c>
      <c r="D361" s="10" t="s">
        <v>224</v>
      </c>
      <c r="E361" s="10" t="s">
        <v>39</v>
      </c>
      <c r="F361" s="689" t="s">
        <v>39</v>
      </c>
      <c r="G361" s="690" t="s">
        <v>45</v>
      </c>
      <c r="H361" s="690" t="s">
        <v>39</v>
      </c>
      <c r="I361" s="691" t="s">
        <v>543</v>
      </c>
      <c r="J361" s="10" t="s">
        <v>56</v>
      </c>
      <c r="K361" s="24">
        <v>90.6</v>
      </c>
      <c r="L361" s="24">
        <f>M361-K361</f>
        <v>0</v>
      </c>
      <c r="M361" s="24">
        <v>90.6</v>
      </c>
      <c r="N361" s="24">
        <v>71.900000000000006</v>
      </c>
      <c r="Q361" s="178"/>
    </row>
    <row r="362" spans="1:17" s="111" customFormat="1" ht="36" x14ac:dyDescent="0.35">
      <c r="A362" s="11"/>
      <c r="B362" s="496" t="s">
        <v>120</v>
      </c>
      <c r="C362" s="23" t="s">
        <v>422</v>
      </c>
      <c r="D362" s="10" t="s">
        <v>224</v>
      </c>
      <c r="E362" s="10" t="s">
        <v>39</v>
      </c>
      <c r="F362" s="689" t="s">
        <v>39</v>
      </c>
      <c r="G362" s="690" t="s">
        <v>45</v>
      </c>
      <c r="H362" s="690" t="s">
        <v>39</v>
      </c>
      <c r="I362" s="691" t="s">
        <v>543</v>
      </c>
      <c r="J362" s="10" t="s">
        <v>121</v>
      </c>
      <c r="K362" s="24">
        <v>102</v>
      </c>
      <c r="L362" s="24">
        <f>M362-K362</f>
        <v>0</v>
      </c>
      <c r="M362" s="24">
        <v>102</v>
      </c>
      <c r="N362" s="24">
        <v>102</v>
      </c>
      <c r="Q362" s="178"/>
    </row>
    <row r="363" spans="1:17" s="111" customFormat="1" ht="54" x14ac:dyDescent="0.35">
      <c r="A363" s="11"/>
      <c r="B363" s="496" t="s">
        <v>76</v>
      </c>
      <c r="C363" s="23" t="s">
        <v>422</v>
      </c>
      <c r="D363" s="10" t="s">
        <v>224</v>
      </c>
      <c r="E363" s="10" t="s">
        <v>39</v>
      </c>
      <c r="F363" s="689" t="s">
        <v>39</v>
      </c>
      <c r="G363" s="690" t="s">
        <v>45</v>
      </c>
      <c r="H363" s="690" t="s">
        <v>39</v>
      </c>
      <c r="I363" s="691" t="s">
        <v>543</v>
      </c>
      <c r="J363" s="10" t="s">
        <v>77</v>
      </c>
      <c r="K363" s="24">
        <v>14196</v>
      </c>
      <c r="L363" s="24">
        <f>M363-K363</f>
        <v>0</v>
      </c>
      <c r="M363" s="24">
        <v>14196</v>
      </c>
      <c r="N363" s="24">
        <v>13032.9</v>
      </c>
      <c r="Q363" s="178"/>
    </row>
    <row r="364" spans="1:17" s="111" customFormat="1" ht="90" x14ac:dyDescent="0.35">
      <c r="A364" s="11"/>
      <c r="B364" s="496" t="s">
        <v>661</v>
      </c>
      <c r="C364" s="23" t="s">
        <v>422</v>
      </c>
      <c r="D364" s="10" t="s">
        <v>224</v>
      </c>
      <c r="E364" s="10" t="s">
        <v>39</v>
      </c>
      <c r="F364" s="689" t="s">
        <v>39</v>
      </c>
      <c r="G364" s="690" t="s">
        <v>45</v>
      </c>
      <c r="H364" s="690" t="s">
        <v>642</v>
      </c>
      <c r="I364" s="691" t="s">
        <v>660</v>
      </c>
      <c r="J364" s="10"/>
      <c r="K364" s="24">
        <f>K365+K366</f>
        <v>5457.5</v>
      </c>
      <c r="L364" s="24">
        <f>L365+L366</f>
        <v>0</v>
      </c>
      <c r="M364" s="24">
        <f>M365+M366</f>
        <v>5457.5</v>
      </c>
      <c r="N364" s="24">
        <f>N365+N366</f>
        <v>5457.5</v>
      </c>
      <c r="Q364" s="178"/>
    </row>
    <row r="365" spans="1:17" s="111" customFormat="1" ht="108" x14ac:dyDescent="0.35">
      <c r="A365" s="11"/>
      <c r="B365" s="496" t="s">
        <v>49</v>
      </c>
      <c r="C365" s="23" t="s">
        <v>422</v>
      </c>
      <c r="D365" s="10" t="s">
        <v>224</v>
      </c>
      <c r="E365" s="10" t="s">
        <v>39</v>
      </c>
      <c r="F365" s="689" t="s">
        <v>39</v>
      </c>
      <c r="G365" s="690" t="s">
        <v>45</v>
      </c>
      <c r="H365" s="690" t="s">
        <v>642</v>
      </c>
      <c r="I365" s="691" t="s">
        <v>660</v>
      </c>
      <c r="J365" s="10" t="s">
        <v>50</v>
      </c>
      <c r="K365" s="24">
        <v>399.32925</v>
      </c>
      <c r="L365" s="24">
        <f t="shared" ref="L365:L366" si="59">M365-K365</f>
        <v>0</v>
      </c>
      <c r="M365" s="24">
        <v>399.32925</v>
      </c>
      <c r="N365" s="24">
        <v>399.32925</v>
      </c>
      <c r="Q365" s="178"/>
    </row>
    <row r="366" spans="1:17" s="111" customFormat="1" ht="54" x14ac:dyDescent="0.35">
      <c r="A366" s="11"/>
      <c r="B366" s="496" t="s">
        <v>76</v>
      </c>
      <c r="C366" s="23" t="s">
        <v>422</v>
      </c>
      <c r="D366" s="10" t="s">
        <v>224</v>
      </c>
      <c r="E366" s="10" t="s">
        <v>39</v>
      </c>
      <c r="F366" s="689" t="s">
        <v>39</v>
      </c>
      <c r="G366" s="690" t="s">
        <v>45</v>
      </c>
      <c r="H366" s="690" t="s">
        <v>642</v>
      </c>
      <c r="I366" s="691" t="s">
        <v>660</v>
      </c>
      <c r="J366" s="10" t="s">
        <v>77</v>
      </c>
      <c r="K366" s="24">
        <v>5058.1707500000002</v>
      </c>
      <c r="L366" s="24">
        <f t="shared" si="59"/>
        <v>0</v>
      </c>
      <c r="M366" s="24">
        <v>5058.1707500000002</v>
      </c>
      <c r="N366" s="24">
        <v>5058.1707500000002</v>
      </c>
      <c r="Q366" s="178"/>
    </row>
    <row r="367" spans="1:17" s="115" customFormat="1" ht="54" x14ac:dyDescent="0.35">
      <c r="A367" s="11"/>
      <c r="B367" s="496" t="s">
        <v>212</v>
      </c>
      <c r="C367" s="23" t="s">
        <v>422</v>
      </c>
      <c r="D367" s="10" t="s">
        <v>224</v>
      </c>
      <c r="E367" s="10" t="s">
        <v>39</v>
      </c>
      <c r="F367" s="689" t="s">
        <v>39</v>
      </c>
      <c r="G367" s="690" t="s">
        <v>30</v>
      </c>
      <c r="H367" s="690" t="s">
        <v>43</v>
      </c>
      <c r="I367" s="691" t="s">
        <v>44</v>
      </c>
      <c r="J367" s="10"/>
      <c r="K367" s="24">
        <f t="shared" ref="K367:N368" si="60">K368</f>
        <v>2172.6</v>
      </c>
      <c r="L367" s="24">
        <f t="shared" si="60"/>
        <v>0</v>
      </c>
      <c r="M367" s="24">
        <f t="shared" si="60"/>
        <v>2172.6</v>
      </c>
      <c r="N367" s="24">
        <f t="shared" si="60"/>
        <v>2166.6999999999998</v>
      </c>
    </row>
    <row r="368" spans="1:17" s="115" customFormat="1" ht="36" x14ac:dyDescent="0.35">
      <c r="A368" s="11"/>
      <c r="B368" s="496" t="s">
        <v>281</v>
      </c>
      <c r="C368" s="23" t="s">
        <v>422</v>
      </c>
      <c r="D368" s="10" t="s">
        <v>224</v>
      </c>
      <c r="E368" s="10" t="s">
        <v>39</v>
      </c>
      <c r="F368" s="689" t="s">
        <v>39</v>
      </c>
      <c r="G368" s="690" t="s">
        <v>30</v>
      </c>
      <c r="H368" s="690" t="s">
        <v>37</v>
      </c>
      <c r="I368" s="691" t="s">
        <v>44</v>
      </c>
      <c r="J368" s="10"/>
      <c r="K368" s="24">
        <f t="shared" si="60"/>
        <v>2172.6</v>
      </c>
      <c r="L368" s="24">
        <f t="shared" si="60"/>
        <v>0</v>
      </c>
      <c r="M368" s="24">
        <f t="shared" si="60"/>
        <v>2172.6</v>
      </c>
      <c r="N368" s="24">
        <f t="shared" si="60"/>
        <v>2166.6999999999998</v>
      </c>
    </row>
    <row r="369" spans="1:14" s="115" customFormat="1" ht="252" x14ac:dyDescent="0.35">
      <c r="A369" s="11"/>
      <c r="B369" s="496" t="s">
        <v>432</v>
      </c>
      <c r="C369" s="23" t="s">
        <v>422</v>
      </c>
      <c r="D369" s="10" t="s">
        <v>224</v>
      </c>
      <c r="E369" s="10" t="s">
        <v>39</v>
      </c>
      <c r="F369" s="689" t="s">
        <v>39</v>
      </c>
      <c r="G369" s="690" t="s">
        <v>30</v>
      </c>
      <c r="H369" s="690" t="s">
        <v>37</v>
      </c>
      <c r="I369" s="691" t="s">
        <v>344</v>
      </c>
      <c r="J369" s="10"/>
      <c r="K369" s="24">
        <f>SUM(K370:K371)</f>
        <v>2172.6</v>
      </c>
      <c r="L369" s="24">
        <f>SUM(L370:L371)</f>
        <v>0</v>
      </c>
      <c r="M369" s="24">
        <f>SUM(M370:M371)</f>
        <v>2172.6</v>
      </c>
      <c r="N369" s="24">
        <f>SUM(N370:N371)</f>
        <v>2166.6999999999998</v>
      </c>
    </row>
    <row r="370" spans="1:14" s="115" customFormat="1" ht="108" x14ac:dyDescent="0.35">
      <c r="A370" s="11"/>
      <c r="B370" s="496" t="s">
        <v>49</v>
      </c>
      <c r="C370" s="23" t="s">
        <v>422</v>
      </c>
      <c r="D370" s="10" t="s">
        <v>224</v>
      </c>
      <c r="E370" s="10" t="s">
        <v>39</v>
      </c>
      <c r="F370" s="689" t="s">
        <v>39</v>
      </c>
      <c r="G370" s="690" t="s">
        <v>30</v>
      </c>
      <c r="H370" s="690" t="s">
        <v>37</v>
      </c>
      <c r="I370" s="691" t="s">
        <v>344</v>
      </c>
      <c r="J370" s="10" t="s">
        <v>50</v>
      </c>
      <c r="K370" s="24">
        <v>8.1999999999999993</v>
      </c>
      <c r="L370" s="24">
        <f>M370-K370</f>
        <v>0</v>
      </c>
      <c r="M370" s="24">
        <v>8.1999999999999993</v>
      </c>
      <c r="N370" s="24">
        <v>8.1999999999999993</v>
      </c>
    </row>
    <row r="371" spans="1:14" s="115" customFormat="1" ht="54" x14ac:dyDescent="0.35">
      <c r="A371" s="11"/>
      <c r="B371" s="496" t="s">
        <v>76</v>
      </c>
      <c r="C371" s="23" t="s">
        <v>422</v>
      </c>
      <c r="D371" s="10" t="s">
        <v>224</v>
      </c>
      <c r="E371" s="10" t="s">
        <v>39</v>
      </c>
      <c r="F371" s="689" t="s">
        <v>39</v>
      </c>
      <c r="G371" s="690" t="s">
        <v>30</v>
      </c>
      <c r="H371" s="690" t="s">
        <v>37</v>
      </c>
      <c r="I371" s="691" t="s">
        <v>344</v>
      </c>
      <c r="J371" s="10" t="s">
        <v>77</v>
      </c>
      <c r="K371" s="24">
        <v>2164.4</v>
      </c>
      <c r="L371" s="24">
        <f>M371-K371</f>
        <v>0</v>
      </c>
      <c r="M371" s="24">
        <v>2164.4</v>
      </c>
      <c r="N371" s="24">
        <v>2158.5</v>
      </c>
    </row>
    <row r="372" spans="1:14" s="115" customFormat="1" ht="18" x14ac:dyDescent="0.35">
      <c r="A372" s="11"/>
      <c r="B372" s="496" t="s">
        <v>347</v>
      </c>
      <c r="C372" s="23" t="s">
        <v>422</v>
      </c>
      <c r="D372" s="10" t="s">
        <v>224</v>
      </c>
      <c r="E372" s="10" t="s">
        <v>63</v>
      </c>
      <c r="F372" s="689"/>
      <c r="G372" s="690"/>
      <c r="H372" s="690"/>
      <c r="I372" s="691"/>
      <c r="J372" s="10"/>
      <c r="K372" s="24">
        <f>K373</f>
        <v>70176.599999999991</v>
      </c>
      <c r="L372" s="24">
        <f>L373</f>
        <v>0</v>
      </c>
      <c r="M372" s="24">
        <f>M373</f>
        <v>70176.599999999991</v>
      </c>
      <c r="N372" s="24">
        <f>N373</f>
        <v>80775.10000000002</v>
      </c>
    </row>
    <row r="373" spans="1:14" s="115" customFormat="1" ht="54" x14ac:dyDescent="0.35">
      <c r="A373" s="11"/>
      <c r="B373" s="565" t="s">
        <v>205</v>
      </c>
      <c r="C373" s="23" t="s">
        <v>422</v>
      </c>
      <c r="D373" s="10" t="s">
        <v>224</v>
      </c>
      <c r="E373" s="10" t="s">
        <v>63</v>
      </c>
      <c r="F373" s="689" t="s">
        <v>39</v>
      </c>
      <c r="G373" s="690" t="s">
        <v>42</v>
      </c>
      <c r="H373" s="690" t="s">
        <v>43</v>
      </c>
      <c r="I373" s="691" t="s">
        <v>44</v>
      </c>
      <c r="J373" s="10"/>
      <c r="K373" s="24">
        <f t="shared" ref="K373:N374" si="61">K374</f>
        <v>70176.599999999991</v>
      </c>
      <c r="L373" s="24">
        <f t="shared" si="61"/>
        <v>0</v>
      </c>
      <c r="M373" s="24">
        <f t="shared" si="61"/>
        <v>70176.599999999991</v>
      </c>
      <c r="N373" s="24">
        <f t="shared" si="61"/>
        <v>80775.10000000002</v>
      </c>
    </row>
    <row r="374" spans="1:14" s="115" customFormat="1" ht="18" x14ac:dyDescent="0.35">
      <c r="A374" s="11"/>
      <c r="B374" s="496" t="s">
        <v>210</v>
      </c>
      <c r="C374" s="23" t="s">
        <v>422</v>
      </c>
      <c r="D374" s="10" t="s">
        <v>224</v>
      </c>
      <c r="E374" s="10" t="s">
        <v>63</v>
      </c>
      <c r="F374" s="689" t="s">
        <v>39</v>
      </c>
      <c r="G374" s="690" t="s">
        <v>89</v>
      </c>
      <c r="H374" s="690" t="s">
        <v>43</v>
      </c>
      <c r="I374" s="691" t="s">
        <v>44</v>
      </c>
      <c r="J374" s="10"/>
      <c r="K374" s="24">
        <f t="shared" si="61"/>
        <v>70176.599999999991</v>
      </c>
      <c r="L374" s="24">
        <f t="shared" si="61"/>
        <v>0</v>
      </c>
      <c r="M374" s="24">
        <f t="shared" si="61"/>
        <v>70176.599999999991</v>
      </c>
      <c r="N374" s="24">
        <f t="shared" si="61"/>
        <v>80775.10000000002</v>
      </c>
    </row>
    <row r="375" spans="1:14" s="115" customFormat="1" ht="36" x14ac:dyDescent="0.35">
      <c r="A375" s="11"/>
      <c r="B375" s="496" t="s">
        <v>275</v>
      </c>
      <c r="C375" s="23" t="s">
        <v>422</v>
      </c>
      <c r="D375" s="10" t="s">
        <v>224</v>
      </c>
      <c r="E375" s="10" t="s">
        <v>63</v>
      </c>
      <c r="F375" s="689" t="s">
        <v>39</v>
      </c>
      <c r="G375" s="690" t="s">
        <v>89</v>
      </c>
      <c r="H375" s="690" t="s">
        <v>37</v>
      </c>
      <c r="I375" s="691" t="s">
        <v>44</v>
      </c>
      <c r="J375" s="10"/>
      <c r="K375" s="24">
        <f>K376+K384+K386+K381</f>
        <v>70176.599999999991</v>
      </c>
      <c r="L375" s="24">
        <f>L376+L384+L386+L381</f>
        <v>0</v>
      </c>
      <c r="M375" s="24">
        <f>M376+M384+M386+M381</f>
        <v>70176.599999999991</v>
      </c>
      <c r="N375" s="24">
        <f>N376+N384+N386+N381</f>
        <v>80775.10000000002</v>
      </c>
    </row>
    <row r="376" spans="1:14" s="115" customFormat="1" ht="36" x14ac:dyDescent="0.35">
      <c r="A376" s="11"/>
      <c r="B376" s="574" t="s">
        <v>461</v>
      </c>
      <c r="C376" s="23" t="s">
        <v>422</v>
      </c>
      <c r="D376" s="10" t="s">
        <v>224</v>
      </c>
      <c r="E376" s="10" t="s">
        <v>63</v>
      </c>
      <c r="F376" s="689" t="s">
        <v>39</v>
      </c>
      <c r="G376" s="690" t="s">
        <v>89</v>
      </c>
      <c r="H376" s="690" t="s">
        <v>37</v>
      </c>
      <c r="I376" s="691" t="s">
        <v>91</v>
      </c>
      <c r="J376" s="10"/>
      <c r="K376" s="24">
        <f>K379+K377+K378+K380</f>
        <v>53765.799999999996</v>
      </c>
      <c r="L376" s="24">
        <f>L379+L377+L378+L380</f>
        <v>0</v>
      </c>
      <c r="M376" s="24">
        <f>M379+M377+M378+M380</f>
        <v>53765.799999999996</v>
      </c>
      <c r="N376" s="24">
        <f>N379+N377+N378+N380</f>
        <v>64360.80000000001</v>
      </c>
    </row>
    <row r="377" spans="1:14" s="115" customFormat="1" ht="108" x14ac:dyDescent="0.35">
      <c r="A377" s="11"/>
      <c r="B377" s="496" t="s">
        <v>49</v>
      </c>
      <c r="C377" s="23" t="s">
        <v>422</v>
      </c>
      <c r="D377" s="10" t="s">
        <v>224</v>
      </c>
      <c r="E377" s="10" t="s">
        <v>63</v>
      </c>
      <c r="F377" s="689" t="s">
        <v>39</v>
      </c>
      <c r="G377" s="690" t="s">
        <v>89</v>
      </c>
      <c r="H377" s="690" t="s">
        <v>37</v>
      </c>
      <c r="I377" s="691" t="s">
        <v>91</v>
      </c>
      <c r="J377" s="10" t="s">
        <v>50</v>
      </c>
      <c r="K377" s="24">
        <f>21569.8-6237.5</f>
        <v>15332.3</v>
      </c>
      <c r="L377" s="24">
        <f>M377-K377</f>
        <v>0</v>
      </c>
      <c r="M377" s="24">
        <f>21569.8-6237.5</f>
        <v>15332.3</v>
      </c>
      <c r="N377" s="24">
        <f>21569.8-6237.5</f>
        <v>15332.3</v>
      </c>
    </row>
    <row r="378" spans="1:14" s="115" customFormat="1" ht="54" x14ac:dyDescent="0.35">
      <c r="A378" s="11"/>
      <c r="B378" s="496" t="s">
        <v>55</v>
      </c>
      <c r="C378" s="23" t="s">
        <v>422</v>
      </c>
      <c r="D378" s="10" t="s">
        <v>224</v>
      </c>
      <c r="E378" s="10" t="s">
        <v>63</v>
      </c>
      <c r="F378" s="689" t="s">
        <v>39</v>
      </c>
      <c r="G378" s="690" t="s">
        <v>89</v>
      </c>
      <c r="H378" s="690" t="s">
        <v>37</v>
      </c>
      <c r="I378" s="691" t="s">
        <v>91</v>
      </c>
      <c r="J378" s="10" t="s">
        <v>56</v>
      </c>
      <c r="K378" s="24">
        <f>2284.2-1161.60847</f>
        <v>1122.5915299999999</v>
      </c>
      <c r="L378" s="24">
        <f>M378-K378</f>
        <v>0</v>
      </c>
      <c r="M378" s="24">
        <f>2284.2-1161.60847</f>
        <v>1122.5915299999999</v>
      </c>
      <c r="N378" s="24">
        <f>8834.2-2294.60847</f>
        <v>6539.5915300000006</v>
      </c>
    </row>
    <row r="379" spans="1:14" s="115" customFormat="1" ht="54" x14ac:dyDescent="0.35">
      <c r="A379" s="11"/>
      <c r="B379" s="496" t="s">
        <v>76</v>
      </c>
      <c r="C379" s="23" t="s">
        <v>422</v>
      </c>
      <c r="D379" s="10" t="s">
        <v>224</v>
      </c>
      <c r="E379" s="10" t="s">
        <v>63</v>
      </c>
      <c r="F379" s="689" t="s">
        <v>39</v>
      </c>
      <c r="G379" s="690" t="s">
        <v>89</v>
      </c>
      <c r="H379" s="690" t="s">
        <v>37</v>
      </c>
      <c r="I379" s="691" t="s">
        <v>91</v>
      </c>
      <c r="J379" s="10" t="s">
        <v>77</v>
      </c>
      <c r="K379" s="24">
        <f>29799+7467.40847</f>
        <v>37266.408470000002</v>
      </c>
      <c r="L379" s="24">
        <f>M379-K379</f>
        <v>0</v>
      </c>
      <c r="M379" s="24">
        <f>29799+7467.40847</f>
        <v>37266.408470000002</v>
      </c>
      <c r="N379" s="24">
        <f>33844.3+8600.30847</f>
        <v>42444.608470000006</v>
      </c>
    </row>
    <row r="380" spans="1:14" s="115" customFormat="1" ht="18" x14ac:dyDescent="0.35">
      <c r="A380" s="11"/>
      <c r="B380" s="496" t="s">
        <v>57</v>
      </c>
      <c r="C380" s="23" t="s">
        <v>422</v>
      </c>
      <c r="D380" s="10" t="s">
        <v>224</v>
      </c>
      <c r="E380" s="10" t="s">
        <v>63</v>
      </c>
      <c r="F380" s="689" t="s">
        <v>39</v>
      </c>
      <c r="G380" s="690" t="s">
        <v>89</v>
      </c>
      <c r="H380" s="690" t="s">
        <v>37</v>
      </c>
      <c r="I380" s="691" t="s">
        <v>91</v>
      </c>
      <c r="J380" s="10" t="s">
        <v>58</v>
      </c>
      <c r="K380" s="24">
        <f>112.8-68.3</f>
        <v>44.5</v>
      </c>
      <c r="L380" s="24">
        <f>M380-K380</f>
        <v>0</v>
      </c>
      <c r="M380" s="24">
        <f>112.8-68.3</f>
        <v>44.5</v>
      </c>
      <c r="N380" s="24">
        <f>112.5-68.2</f>
        <v>44.3</v>
      </c>
    </row>
    <row r="381" spans="1:14" s="115" customFormat="1" ht="54" x14ac:dyDescent="0.35">
      <c r="A381" s="11"/>
      <c r="B381" s="496" t="s">
        <v>207</v>
      </c>
      <c r="C381" s="23" t="s">
        <v>422</v>
      </c>
      <c r="D381" s="10" t="s">
        <v>224</v>
      </c>
      <c r="E381" s="10" t="s">
        <v>63</v>
      </c>
      <c r="F381" s="689" t="s">
        <v>39</v>
      </c>
      <c r="G381" s="690" t="s">
        <v>89</v>
      </c>
      <c r="H381" s="690" t="s">
        <v>37</v>
      </c>
      <c r="I381" s="691" t="s">
        <v>272</v>
      </c>
      <c r="J381" s="10"/>
      <c r="K381" s="24">
        <f>K382+K383</f>
        <v>5321.7999999999993</v>
      </c>
      <c r="L381" s="24">
        <f>L382+L383</f>
        <v>0</v>
      </c>
      <c r="M381" s="24">
        <f>M382+M383</f>
        <v>5321.7999999999993</v>
      </c>
      <c r="N381" s="24">
        <f>N382+N383</f>
        <v>5321.7999999999993</v>
      </c>
    </row>
    <row r="382" spans="1:14" s="115" customFormat="1" ht="54" x14ac:dyDescent="0.35">
      <c r="A382" s="11"/>
      <c r="B382" s="496" t="s">
        <v>55</v>
      </c>
      <c r="C382" s="23" t="s">
        <v>422</v>
      </c>
      <c r="D382" s="10" t="s">
        <v>224</v>
      </c>
      <c r="E382" s="10" t="s">
        <v>63</v>
      </c>
      <c r="F382" s="689" t="s">
        <v>39</v>
      </c>
      <c r="G382" s="690" t="s">
        <v>89</v>
      </c>
      <c r="H382" s="690" t="s">
        <v>37</v>
      </c>
      <c r="I382" s="691" t="s">
        <v>272</v>
      </c>
      <c r="J382" s="10" t="s">
        <v>56</v>
      </c>
      <c r="K382" s="24">
        <f>2128.7-1064.35</f>
        <v>1064.3499999999999</v>
      </c>
      <c r="L382" s="24">
        <f>M382-K382</f>
        <v>0</v>
      </c>
      <c r="M382" s="24">
        <f>2128.7-1064.35</f>
        <v>1064.3499999999999</v>
      </c>
      <c r="N382" s="24">
        <f>2128.7-1064.35</f>
        <v>1064.3499999999999</v>
      </c>
    </row>
    <row r="383" spans="1:14" s="115" customFormat="1" ht="54" x14ac:dyDescent="0.35">
      <c r="A383" s="11"/>
      <c r="B383" s="565" t="s">
        <v>76</v>
      </c>
      <c r="C383" s="23" t="s">
        <v>422</v>
      </c>
      <c r="D383" s="10" t="s">
        <v>224</v>
      </c>
      <c r="E383" s="10" t="s">
        <v>63</v>
      </c>
      <c r="F383" s="689" t="s">
        <v>39</v>
      </c>
      <c r="G383" s="690" t="s">
        <v>89</v>
      </c>
      <c r="H383" s="690" t="s">
        <v>37</v>
      </c>
      <c r="I383" s="691" t="s">
        <v>272</v>
      </c>
      <c r="J383" s="10" t="s">
        <v>77</v>
      </c>
      <c r="K383" s="24">
        <f>3193.1+1064.35</f>
        <v>4257.45</v>
      </c>
      <c r="L383" s="24">
        <f>M383-K383</f>
        <v>0</v>
      </c>
      <c r="M383" s="24">
        <f>3193.1+1064.35</f>
        <v>4257.45</v>
      </c>
      <c r="N383" s="24">
        <f>3193.1+1064.35</f>
        <v>4257.45</v>
      </c>
    </row>
    <row r="384" spans="1:14" s="115" customFormat="1" ht="180" x14ac:dyDescent="0.35">
      <c r="A384" s="11"/>
      <c r="B384" s="496" t="s">
        <v>267</v>
      </c>
      <c r="C384" s="23" t="s">
        <v>422</v>
      </c>
      <c r="D384" s="10" t="s">
        <v>224</v>
      </c>
      <c r="E384" s="10" t="s">
        <v>63</v>
      </c>
      <c r="F384" s="689" t="s">
        <v>39</v>
      </c>
      <c r="G384" s="690" t="s">
        <v>89</v>
      </c>
      <c r="H384" s="690" t="s">
        <v>37</v>
      </c>
      <c r="I384" s="691" t="s">
        <v>268</v>
      </c>
      <c r="J384" s="10"/>
      <c r="K384" s="24">
        <f>K385</f>
        <v>89</v>
      </c>
      <c r="L384" s="24">
        <f>L385</f>
        <v>0</v>
      </c>
      <c r="M384" s="24">
        <f>M385</f>
        <v>89</v>
      </c>
      <c r="N384" s="24">
        <f>N385</f>
        <v>92.5</v>
      </c>
    </row>
    <row r="385" spans="1:14" s="115" customFormat="1" ht="54" x14ac:dyDescent="0.35">
      <c r="A385" s="11"/>
      <c r="B385" s="496" t="s">
        <v>76</v>
      </c>
      <c r="C385" s="23" t="s">
        <v>422</v>
      </c>
      <c r="D385" s="10" t="s">
        <v>224</v>
      </c>
      <c r="E385" s="10" t="s">
        <v>63</v>
      </c>
      <c r="F385" s="689" t="s">
        <v>39</v>
      </c>
      <c r="G385" s="690" t="s">
        <v>89</v>
      </c>
      <c r="H385" s="690" t="s">
        <v>37</v>
      </c>
      <c r="I385" s="691" t="s">
        <v>268</v>
      </c>
      <c r="J385" s="10" t="s">
        <v>77</v>
      </c>
      <c r="K385" s="24">
        <v>89</v>
      </c>
      <c r="L385" s="24">
        <f>M385-K385</f>
        <v>0</v>
      </c>
      <c r="M385" s="24">
        <v>89</v>
      </c>
      <c r="N385" s="24">
        <v>92.5</v>
      </c>
    </row>
    <row r="386" spans="1:14" s="115" customFormat="1" ht="108" x14ac:dyDescent="0.35">
      <c r="A386" s="11"/>
      <c r="B386" s="496" t="s">
        <v>343</v>
      </c>
      <c r="C386" s="23" t="s">
        <v>422</v>
      </c>
      <c r="D386" s="10" t="s">
        <v>224</v>
      </c>
      <c r="E386" s="10" t="s">
        <v>63</v>
      </c>
      <c r="F386" s="689" t="s">
        <v>39</v>
      </c>
      <c r="G386" s="690" t="s">
        <v>89</v>
      </c>
      <c r="H386" s="690" t="s">
        <v>37</v>
      </c>
      <c r="I386" s="691" t="s">
        <v>269</v>
      </c>
      <c r="J386" s="10"/>
      <c r="K386" s="24">
        <f>K387</f>
        <v>11000</v>
      </c>
      <c r="L386" s="24">
        <f>L387</f>
        <v>0</v>
      </c>
      <c r="M386" s="24">
        <f>M387</f>
        <v>11000</v>
      </c>
      <c r="N386" s="24">
        <f>N387</f>
        <v>11000</v>
      </c>
    </row>
    <row r="387" spans="1:14" s="115" customFormat="1" ht="54" x14ac:dyDescent="0.35">
      <c r="A387" s="11"/>
      <c r="B387" s="496" t="s">
        <v>76</v>
      </c>
      <c r="C387" s="23" t="s">
        <v>422</v>
      </c>
      <c r="D387" s="10" t="s">
        <v>224</v>
      </c>
      <c r="E387" s="10" t="s">
        <v>63</v>
      </c>
      <c r="F387" s="689" t="s">
        <v>39</v>
      </c>
      <c r="G387" s="690" t="s">
        <v>89</v>
      </c>
      <c r="H387" s="690" t="s">
        <v>37</v>
      </c>
      <c r="I387" s="691" t="s">
        <v>269</v>
      </c>
      <c r="J387" s="10" t="s">
        <v>77</v>
      </c>
      <c r="K387" s="24">
        <v>11000</v>
      </c>
      <c r="L387" s="24">
        <f>M387-K387</f>
        <v>0</v>
      </c>
      <c r="M387" s="24">
        <v>11000</v>
      </c>
      <c r="N387" s="24">
        <v>11000</v>
      </c>
    </row>
    <row r="388" spans="1:14" s="115" customFormat="1" ht="18" x14ac:dyDescent="0.35">
      <c r="A388" s="11"/>
      <c r="B388" s="496" t="s">
        <v>186</v>
      </c>
      <c r="C388" s="23" t="s">
        <v>422</v>
      </c>
      <c r="D388" s="10" t="s">
        <v>224</v>
      </c>
      <c r="E388" s="10" t="s">
        <v>79</v>
      </c>
      <c r="F388" s="689"/>
      <c r="G388" s="690"/>
      <c r="H388" s="690"/>
      <c r="I388" s="691"/>
      <c r="J388" s="10"/>
      <c r="K388" s="24">
        <f>K389</f>
        <v>88978.6</v>
      </c>
      <c r="L388" s="24">
        <f>L389</f>
        <v>0</v>
      </c>
      <c r="M388" s="24">
        <f>M389</f>
        <v>88978.6</v>
      </c>
      <c r="N388" s="24">
        <f>N389</f>
        <v>88728.500000000015</v>
      </c>
    </row>
    <row r="389" spans="1:14" s="115" customFormat="1" ht="54" x14ac:dyDescent="0.35">
      <c r="A389" s="11"/>
      <c r="B389" s="496" t="s">
        <v>205</v>
      </c>
      <c r="C389" s="23" t="s">
        <v>422</v>
      </c>
      <c r="D389" s="10" t="s">
        <v>224</v>
      </c>
      <c r="E389" s="10" t="s">
        <v>79</v>
      </c>
      <c r="F389" s="689" t="s">
        <v>39</v>
      </c>
      <c r="G389" s="690" t="s">
        <v>42</v>
      </c>
      <c r="H389" s="690" t="s">
        <v>43</v>
      </c>
      <c r="I389" s="691" t="s">
        <v>44</v>
      </c>
      <c r="J389" s="10"/>
      <c r="K389" s="24">
        <f t="shared" ref="K389:N389" si="62">K390</f>
        <v>88978.6</v>
      </c>
      <c r="L389" s="24">
        <f t="shared" si="62"/>
        <v>0</v>
      </c>
      <c r="M389" s="24">
        <f t="shared" si="62"/>
        <v>88978.6</v>
      </c>
      <c r="N389" s="24">
        <f t="shared" si="62"/>
        <v>88728.500000000015</v>
      </c>
    </row>
    <row r="390" spans="1:14" s="115" customFormat="1" ht="54" x14ac:dyDescent="0.35">
      <c r="A390" s="11"/>
      <c r="B390" s="496" t="s">
        <v>212</v>
      </c>
      <c r="C390" s="23" t="s">
        <v>422</v>
      </c>
      <c r="D390" s="10" t="s">
        <v>224</v>
      </c>
      <c r="E390" s="10" t="s">
        <v>79</v>
      </c>
      <c r="F390" s="689" t="s">
        <v>39</v>
      </c>
      <c r="G390" s="690" t="s">
        <v>30</v>
      </c>
      <c r="H390" s="690" t="s">
        <v>43</v>
      </c>
      <c r="I390" s="691" t="s">
        <v>44</v>
      </c>
      <c r="J390" s="10"/>
      <c r="K390" s="24">
        <f>K391+K406</f>
        <v>88978.6</v>
      </c>
      <c r="L390" s="24">
        <f>L391+L406</f>
        <v>0</v>
      </c>
      <c r="M390" s="24">
        <f>M391+M406</f>
        <v>88978.6</v>
      </c>
      <c r="N390" s="24">
        <f>N391+N406</f>
        <v>88728.500000000015</v>
      </c>
    </row>
    <row r="391" spans="1:14" s="115" customFormat="1" ht="36" x14ac:dyDescent="0.35">
      <c r="A391" s="11"/>
      <c r="B391" s="496" t="s">
        <v>281</v>
      </c>
      <c r="C391" s="23" t="s">
        <v>422</v>
      </c>
      <c r="D391" s="10" t="s">
        <v>224</v>
      </c>
      <c r="E391" s="10" t="s">
        <v>79</v>
      </c>
      <c r="F391" s="689" t="s">
        <v>39</v>
      </c>
      <c r="G391" s="690" t="s">
        <v>30</v>
      </c>
      <c r="H391" s="690" t="s">
        <v>37</v>
      </c>
      <c r="I391" s="691" t="s">
        <v>44</v>
      </c>
      <c r="J391" s="10"/>
      <c r="K391" s="24">
        <f>K392+K396+K403+K401</f>
        <v>81074</v>
      </c>
      <c r="L391" s="24">
        <f>L392+L396+L403+L401</f>
        <v>0</v>
      </c>
      <c r="M391" s="24">
        <f>M392+M396+M403+M401</f>
        <v>81074</v>
      </c>
      <c r="N391" s="24">
        <f>N392+N396+N403+N401</f>
        <v>80591.900000000009</v>
      </c>
    </row>
    <row r="392" spans="1:14" s="115" customFormat="1" ht="36" x14ac:dyDescent="0.35">
      <c r="A392" s="11"/>
      <c r="B392" s="496" t="s">
        <v>47</v>
      </c>
      <c r="C392" s="23" t="s">
        <v>422</v>
      </c>
      <c r="D392" s="10" t="s">
        <v>224</v>
      </c>
      <c r="E392" s="10" t="s">
        <v>79</v>
      </c>
      <c r="F392" s="689" t="s">
        <v>39</v>
      </c>
      <c r="G392" s="690" t="s">
        <v>30</v>
      </c>
      <c r="H392" s="690" t="s">
        <v>37</v>
      </c>
      <c r="I392" s="691" t="s">
        <v>48</v>
      </c>
      <c r="J392" s="10"/>
      <c r="K392" s="24">
        <f>K393+K394+K395</f>
        <v>12618</v>
      </c>
      <c r="L392" s="24">
        <f>L393+L394+L395</f>
        <v>0</v>
      </c>
      <c r="M392" s="24">
        <f>M393+M394+M395</f>
        <v>12618</v>
      </c>
      <c r="N392" s="24">
        <f>N393+N394+N395</f>
        <v>12624.6</v>
      </c>
    </row>
    <row r="393" spans="1:14" s="115" customFormat="1" ht="108" x14ac:dyDescent="0.35">
      <c r="A393" s="11"/>
      <c r="B393" s="496" t="s">
        <v>49</v>
      </c>
      <c r="C393" s="23" t="s">
        <v>422</v>
      </c>
      <c r="D393" s="10" t="s">
        <v>224</v>
      </c>
      <c r="E393" s="10" t="s">
        <v>79</v>
      </c>
      <c r="F393" s="689" t="s">
        <v>39</v>
      </c>
      <c r="G393" s="690" t="s">
        <v>30</v>
      </c>
      <c r="H393" s="690" t="s">
        <v>37</v>
      </c>
      <c r="I393" s="691" t="s">
        <v>48</v>
      </c>
      <c r="J393" s="10" t="s">
        <v>50</v>
      </c>
      <c r="K393" s="24">
        <v>11816.7</v>
      </c>
      <c r="L393" s="24">
        <f>M393-K393</f>
        <v>0</v>
      </c>
      <c r="M393" s="24">
        <v>11816.7</v>
      </c>
      <c r="N393" s="24">
        <v>11816.7</v>
      </c>
    </row>
    <row r="394" spans="1:14" s="115" customFormat="1" ht="54" x14ac:dyDescent="0.35">
      <c r="A394" s="11"/>
      <c r="B394" s="496" t="s">
        <v>55</v>
      </c>
      <c r="C394" s="23" t="s">
        <v>422</v>
      </c>
      <c r="D394" s="10" t="s">
        <v>224</v>
      </c>
      <c r="E394" s="10" t="s">
        <v>79</v>
      </c>
      <c r="F394" s="689" t="s">
        <v>39</v>
      </c>
      <c r="G394" s="690" t="s">
        <v>30</v>
      </c>
      <c r="H394" s="690" t="s">
        <v>37</v>
      </c>
      <c r="I394" s="691" t="s">
        <v>48</v>
      </c>
      <c r="J394" s="10" t="s">
        <v>56</v>
      </c>
      <c r="K394" s="24">
        <v>784.4</v>
      </c>
      <c r="L394" s="24">
        <f>M394-K394</f>
        <v>0</v>
      </c>
      <c r="M394" s="24">
        <v>784.4</v>
      </c>
      <c r="N394" s="24">
        <v>791.1</v>
      </c>
    </row>
    <row r="395" spans="1:14" s="115" customFormat="1" ht="18" x14ac:dyDescent="0.35">
      <c r="A395" s="11"/>
      <c r="B395" s="496" t="s">
        <v>57</v>
      </c>
      <c r="C395" s="23" t="s">
        <v>422</v>
      </c>
      <c r="D395" s="10" t="s">
        <v>224</v>
      </c>
      <c r="E395" s="10" t="s">
        <v>79</v>
      </c>
      <c r="F395" s="689" t="s">
        <v>39</v>
      </c>
      <c r="G395" s="690" t="s">
        <v>30</v>
      </c>
      <c r="H395" s="690" t="s">
        <v>37</v>
      </c>
      <c r="I395" s="691" t="s">
        <v>48</v>
      </c>
      <c r="J395" s="10" t="s">
        <v>58</v>
      </c>
      <c r="K395" s="24">
        <v>16.899999999999999</v>
      </c>
      <c r="L395" s="24">
        <f>M395-K395</f>
        <v>0</v>
      </c>
      <c r="M395" s="24">
        <v>16.899999999999999</v>
      </c>
      <c r="N395" s="24">
        <v>16.8</v>
      </c>
    </row>
    <row r="396" spans="1:14" s="115" customFormat="1" ht="36" x14ac:dyDescent="0.35">
      <c r="A396" s="11"/>
      <c r="B396" s="574" t="s">
        <v>461</v>
      </c>
      <c r="C396" s="23" t="s">
        <v>422</v>
      </c>
      <c r="D396" s="10" t="s">
        <v>224</v>
      </c>
      <c r="E396" s="10" t="s">
        <v>79</v>
      </c>
      <c r="F396" s="689" t="s">
        <v>39</v>
      </c>
      <c r="G396" s="690" t="s">
        <v>30</v>
      </c>
      <c r="H396" s="690" t="s">
        <v>37</v>
      </c>
      <c r="I396" s="691" t="s">
        <v>91</v>
      </c>
      <c r="J396" s="10"/>
      <c r="K396" s="24">
        <f>K397+K398+K400+K399</f>
        <v>61101.2</v>
      </c>
      <c r="L396" s="24">
        <f>L397+L398+L400+L399</f>
        <v>0</v>
      </c>
      <c r="M396" s="24">
        <f>M397+M398+M400+M399</f>
        <v>61101.2</v>
      </c>
      <c r="N396" s="24">
        <f>N397+N398+N400+N399</f>
        <v>61130.5</v>
      </c>
    </row>
    <row r="397" spans="1:14" s="115" customFormat="1" ht="108" x14ac:dyDescent="0.35">
      <c r="A397" s="11"/>
      <c r="B397" s="496" t="s">
        <v>49</v>
      </c>
      <c r="C397" s="23" t="s">
        <v>422</v>
      </c>
      <c r="D397" s="10" t="s">
        <v>224</v>
      </c>
      <c r="E397" s="10" t="s">
        <v>79</v>
      </c>
      <c r="F397" s="689" t="s">
        <v>39</v>
      </c>
      <c r="G397" s="690" t="s">
        <v>30</v>
      </c>
      <c r="H397" s="690" t="s">
        <v>37</v>
      </c>
      <c r="I397" s="691" t="s">
        <v>91</v>
      </c>
      <c r="J397" s="10" t="s">
        <v>50</v>
      </c>
      <c r="K397" s="24">
        <v>37625.5</v>
      </c>
      <c r="L397" s="24">
        <f>M397-K397</f>
        <v>0</v>
      </c>
      <c r="M397" s="24">
        <v>37625.5</v>
      </c>
      <c r="N397" s="24">
        <v>37625.5</v>
      </c>
    </row>
    <row r="398" spans="1:14" s="115" customFormat="1" ht="54" x14ac:dyDescent="0.35">
      <c r="A398" s="11"/>
      <c r="B398" s="496" t="s">
        <v>55</v>
      </c>
      <c r="C398" s="23" t="s">
        <v>422</v>
      </c>
      <c r="D398" s="10" t="s">
        <v>224</v>
      </c>
      <c r="E398" s="10" t="s">
        <v>79</v>
      </c>
      <c r="F398" s="689" t="s">
        <v>39</v>
      </c>
      <c r="G398" s="690" t="s">
        <v>30</v>
      </c>
      <c r="H398" s="690" t="s">
        <v>37</v>
      </c>
      <c r="I398" s="691" t="s">
        <v>91</v>
      </c>
      <c r="J398" s="10" t="s">
        <v>56</v>
      </c>
      <c r="K398" s="24">
        <v>3061.4</v>
      </c>
      <c r="L398" s="24">
        <f>M398-K398</f>
        <v>0</v>
      </c>
      <c r="M398" s="24">
        <v>3061.4</v>
      </c>
      <c r="N398" s="24">
        <v>3091.4</v>
      </c>
    </row>
    <row r="399" spans="1:14" s="115" customFormat="1" ht="54" x14ac:dyDescent="0.35">
      <c r="A399" s="11"/>
      <c r="B399" s="496" t="s">
        <v>76</v>
      </c>
      <c r="C399" s="23" t="s">
        <v>422</v>
      </c>
      <c r="D399" s="10" t="s">
        <v>224</v>
      </c>
      <c r="E399" s="10" t="s">
        <v>79</v>
      </c>
      <c r="F399" s="689" t="s">
        <v>39</v>
      </c>
      <c r="G399" s="690" t="s">
        <v>30</v>
      </c>
      <c r="H399" s="690" t="s">
        <v>37</v>
      </c>
      <c r="I399" s="691" t="s">
        <v>91</v>
      </c>
      <c r="J399" s="10" t="s">
        <v>77</v>
      </c>
      <c r="K399" s="24">
        <v>20409.3</v>
      </c>
      <c r="L399" s="24">
        <f>M399-K399</f>
        <v>0</v>
      </c>
      <c r="M399" s="24">
        <v>20409.3</v>
      </c>
      <c r="N399" s="24">
        <v>20409.3</v>
      </c>
    </row>
    <row r="400" spans="1:14" s="115" customFormat="1" ht="18" x14ac:dyDescent="0.35">
      <c r="A400" s="11"/>
      <c r="B400" s="496" t="s">
        <v>57</v>
      </c>
      <c r="C400" s="23" t="s">
        <v>422</v>
      </c>
      <c r="D400" s="10" t="s">
        <v>224</v>
      </c>
      <c r="E400" s="10" t="s">
        <v>79</v>
      </c>
      <c r="F400" s="689" t="s">
        <v>39</v>
      </c>
      <c r="G400" s="690" t="s">
        <v>30</v>
      </c>
      <c r="H400" s="690" t="s">
        <v>37</v>
      </c>
      <c r="I400" s="691" t="s">
        <v>91</v>
      </c>
      <c r="J400" s="10" t="s">
        <v>58</v>
      </c>
      <c r="K400" s="24">
        <v>5</v>
      </c>
      <c r="L400" s="24">
        <f>M400-K400</f>
        <v>0</v>
      </c>
      <c r="M400" s="24">
        <v>5</v>
      </c>
      <c r="N400" s="24">
        <v>4.3</v>
      </c>
    </row>
    <row r="401" spans="1:14" s="115" customFormat="1" ht="54" x14ac:dyDescent="0.35">
      <c r="A401" s="11"/>
      <c r="B401" s="496" t="s">
        <v>569</v>
      </c>
      <c r="C401" s="23" t="s">
        <v>422</v>
      </c>
      <c r="D401" s="10" t="s">
        <v>224</v>
      </c>
      <c r="E401" s="10" t="s">
        <v>79</v>
      </c>
      <c r="F401" s="689" t="s">
        <v>39</v>
      </c>
      <c r="G401" s="690" t="s">
        <v>30</v>
      </c>
      <c r="H401" s="690" t="s">
        <v>37</v>
      </c>
      <c r="I401" s="691" t="s">
        <v>568</v>
      </c>
      <c r="J401" s="10"/>
      <c r="K401" s="24">
        <f>K402</f>
        <v>518.6</v>
      </c>
      <c r="L401" s="24">
        <f>L402</f>
        <v>0</v>
      </c>
      <c r="M401" s="24">
        <f>M402</f>
        <v>518.6</v>
      </c>
      <c r="N401" s="24">
        <f>N402</f>
        <v>0</v>
      </c>
    </row>
    <row r="402" spans="1:14" s="115" customFormat="1" ht="54" x14ac:dyDescent="0.35">
      <c r="A402" s="11"/>
      <c r="B402" s="496" t="s">
        <v>76</v>
      </c>
      <c r="C402" s="23" t="s">
        <v>422</v>
      </c>
      <c r="D402" s="10" t="s">
        <v>224</v>
      </c>
      <c r="E402" s="10" t="s">
        <v>79</v>
      </c>
      <c r="F402" s="689" t="s">
        <v>39</v>
      </c>
      <c r="G402" s="690" t="s">
        <v>30</v>
      </c>
      <c r="H402" s="690" t="s">
        <v>37</v>
      </c>
      <c r="I402" s="691" t="s">
        <v>568</v>
      </c>
      <c r="J402" s="10" t="s">
        <v>77</v>
      </c>
      <c r="K402" s="24">
        <v>518.6</v>
      </c>
      <c r="L402" s="24">
        <f>M402-K402</f>
        <v>0</v>
      </c>
      <c r="M402" s="24">
        <v>518.6</v>
      </c>
      <c r="N402" s="24">
        <v>0</v>
      </c>
    </row>
    <row r="403" spans="1:14" s="115" customFormat="1" ht="108" x14ac:dyDescent="0.35">
      <c r="A403" s="11"/>
      <c r="B403" s="496" t="s">
        <v>343</v>
      </c>
      <c r="C403" s="23" t="s">
        <v>422</v>
      </c>
      <c r="D403" s="10" t="s">
        <v>224</v>
      </c>
      <c r="E403" s="10" t="s">
        <v>79</v>
      </c>
      <c r="F403" s="689" t="s">
        <v>39</v>
      </c>
      <c r="G403" s="690" t="s">
        <v>30</v>
      </c>
      <c r="H403" s="690" t="s">
        <v>37</v>
      </c>
      <c r="I403" s="691" t="s">
        <v>269</v>
      </c>
      <c r="J403" s="10"/>
      <c r="K403" s="24">
        <f t="shared" ref="K403" si="63">K404+K405</f>
        <v>6836.2000000000007</v>
      </c>
      <c r="L403" s="24">
        <f>L404+L405</f>
        <v>0</v>
      </c>
      <c r="M403" s="24">
        <f t="shared" ref="M403:N403" si="64">M404+M405</f>
        <v>6836.2000000000007</v>
      </c>
      <c r="N403" s="24">
        <f t="shared" si="64"/>
        <v>6836.8</v>
      </c>
    </row>
    <row r="404" spans="1:14" s="115" customFormat="1" ht="108" x14ac:dyDescent="0.35">
      <c r="A404" s="11"/>
      <c r="B404" s="496" t="s">
        <v>49</v>
      </c>
      <c r="C404" s="23" t="s">
        <v>422</v>
      </c>
      <c r="D404" s="10" t="s">
        <v>224</v>
      </c>
      <c r="E404" s="10" t="s">
        <v>79</v>
      </c>
      <c r="F404" s="689" t="s">
        <v>39</v>
      </c>
      <c r="G404" s="690" t="s">
        <v>30</v>
      </c>
      <c r="H404" s="690" t="s">
        <v>37</v>
      </c>
      <c r="I404" s="691" t="s">
        <v>269</v>
      </c>
      <c r="J404" s="10" t="s">
        <v>50</v>
      </c>
      <c r="K404" s="24">
        <v>6820.6</v>
      </c>
      <c r="L404" s="24">
        <f>M404-K404</f>
        <v>0</v>
      </c>
      <c r="M404" s="24">
        <v>6820.6</v>
      </c>
      <c r="N404" s="24">
        <v>6821.2</v>
      </c>
    </row>
    <row r="405" spans="1:14" s="115" customFormat="1" ht="54" x14ac:dyDescent="0.35">
      <c r="A405" s="11"/>
      <c r="B405" s="496" t="s">
        <v>55</v>
      </c>
      <c r="C405" s="23" t="s">
        <v>422</v>
      </c>
      <c r="D405" s="10" t="s">
        <v>224</v>
      </c>
      <c r="E405" s="10" t="s">
        <v>79</v>
      </c>
      <c r="F405" s="689" t="s">
        <v>39</v>
      </c>
      <c r="G405" s="690" t="s">
        <v>30</v>
      </c>
      <c r="H405" s="690" t="s">
        <v>37</v>
      </c>
      <c r="I405" s="691" t="s">
        <v>269</v>
      </c>
      <c r="J405" s="10" t="s">
        <v>56</v>
      </c>
      <c r="K405" s="24">
        <v>15.6</v>
      </c>
      <c r="L405" s="24">
        <f>M405-K405</f>
        <v>0</v>
      </c>
      <c r="M405" s="24">
        <v>15.6</v>
      </c>
      <c r="N405" s="24">
        <v>15.6</v>
      </c>
    </row>
    <row r="406" spans="1:14" s="115" customFormat="1" ht="54" x14ac:dyDescent="0.35">
      <c r="A406" s="11"/>
      <c r="B406" s="493" t="s">
        <v>280</v>
      </c>
      <c r="C406" s="214" t="s">
        <v>422</v>
      </c>
      <c r="D406" s="28" t="s">
        <v>224</v>
      </c>
      <c r="E406" s="28" t="s">
        <v>79</v>
      </c>
      <c r="F406" s="206" t="s">
        <v>39</v>
      </c>
      <c r="G406" s="207" t="s">
        <v>30</v>
      </c>
      <c r="H406" s="207" t="s">
        <v>39</v>
      </c>
      <c r="I406" s="208" t="s">
        <v>44</v>
      </c>
      <c r="J406" s="28"/>
      <c r="K406" s="209">
        <f>K407+K409</f>
        <v>7904.6</v>
      </c>
      <c r="L406" s="209">
        <f>L407+L409</f>
        <v>0</v>
      </c>
      <c r="M406" s="209">
        <f>M407+M409</f>
        <v>7904.6</v>
      </c>
      <c r="N406" s="209">
        <f>N407+N409</f>
        <v>8136.6</v>
      </c>
    </row>
    <row r="407" spans="1:14" s="115" customFormat="1" ht="36" x14ac:dyDescent="0.35">
      <c r="A407" s="11"/>
      <c r="B407" s="493" t="s">
        <v>467</v>
      </c>
      <c r="C407" s="214" t="s">
        <v>422</v>
      </c>
      <c r="D407" s="28" t="s">
        <v>224</v>
      </c>
      <c r="E407" s="28" t="s">
        <v>79</v>
      </c>
      <c r="F407" s="206" t="s">
        <v>39</v>
      </c>
      <c r="G407" s="207" t="s">
        <v>30</v>
      </c>
      <c r="H407" s="207" t="s">
        <v>39</v>
      </c>
      <c r="I407" s="208" t="s">
        <v>466</v>
      </c>
      <c r="J407" s="28"/>
      <c r="K407" s="209">
        <f>K408</f>
        <v>2107.5</v>
      </c>
      <c r="L407" s="209">
        <f>L408</f>
        <v>0</v>
      </c>
      <c r="M407" s="209">
        <f>M408</f>
        <v>2107.5</v>
      </c>
      <c r="N407" s="209">
        <f>N408</f>
        <v>2107.5</v>
      </c>
    </row>
    <row r="408" spans="1:14" s="115" customFormat="1" ht="54" x14ac:dyDescent="0.35">
      <c r="A408" s="11"/>
      <c r="B408" s="493" t="s">
        <v>76</v>
      </c>
      <c r="C408" s="214" t="s">
        <v>422</v>
      </c>
      <c r="D408" s="28" t="s">
        <v>224</v>
      </c>
      <c r="E408" s="28" t="s">
        <v>79</v>
      </c>
      <c r="F408" s="206" t="s">
        <v>39</v>
      </c>
      <c r="G408" s="207" t="s">
        <v>30</v>
      </c>
      <c r="H408" s="207" t="s">
        <v>39</v>
      </c>
      <c r="I408" s="208" t="s">
        <v>466</v>
      </c>
      <c r="J408" s="28" t="s">
        <v>77</v>
      </c>
      <c r="K408" s="209">
        <f>1945.5+162</f>
        <v>2107.5</v>
      </c>
      <c r="L408" s="24">
        <f>M408-K408</f>
        <v>0</v>
      </c>
      <c r="M408" s="209">
        <f>1945.5+162</f>
        <v>2107.5</v>
      </c>
      <c r="N408" s="253">
        <f>1945.5+162</f>
        <v>2107.5</v>
      </c>
    </row>
    <row r="409" spans="1:14" s="115" customFormat="1" ht="108" x14ac:dyDescent="0.35">
      <c r="A409" s="11"/>
      <c r="B409" s="493" t="s">
        <v>437</v>
      </c>
      <c r="C409" s="214" t="s">
        <v>422</v>
      </c>
      <c r="D409" s="28" t="s">
        <v>224</v>
      </c>
      <c r="E409" s="28" t="s">
        <v>79</v>
      </c>
      <c r="F409" s="206" t="s">
        <v>39</v>
      </c>
      <c r="G409" s="207" t="s">
        <v>30</v>
      </c>
      <c r="H409" s="207" t="s">
        <v>39</v>
      </c>
      <c r="I409" s="208" t="s">
        <v>436</v>
      </c>
      <c r="J409" s="28"/>
      <c r="K409" s="209">
        <f>K410</f>
        <v>5797.1</v>
      </c>
      <c r="L409" s="209">
        <f>L410</f>
        <v>0</v>
      </c>
      <c r="M409" s="209">
        <f>M410</f>
        <v>5797.1</v>
      </c>
      <c r="N409" s="209">
        <f>N410</f>
        <v>6029.1</v>
      </c>
    </row>
    <row r="410" spans="1:14" s="115" customFormat="1" ht="54" x14ac:dyDescent="0.35">
      <c r="A410" s="11"/>
      <c r="B410" s="493" t="s">
        <v>76</v>
      </c>
      <c r="C410" s="214" t="s">
        <v>422</v>
      </c>
      <c r="D410" s="28" t="s">
        <v>224</v>
      </c>
      <c r="E410" s="28" t="s">
        <v>79</v>
      </c>
      <c r="F410" s="206" t="s">
        <v>39</v>
      </c>
      <c r="G410" s="207" t="s">
        <v>30</v>
      </c>
      <c r="H410" s="207" t="s">
        <v>39</v>
      </c>
      <c r="I410" s="208" t="s">
        <v>436</v>
      </c>
      <c r="J410" s="28" t="s">
        <v>77</v>
      </c>
      <c r="K410" s="209">
        <v>5797.1</v>
      </c>
      <c r="L410" s="24">
        <f>M410-K410</f>
        <v>0</v>
      </c>
      <c r="M410" s="209">
        <v>5797.1</v>
      </c>
      <c r="N410" s="253">
        <v>6029.1</v>
      </c>
    </row>
    <row r="411" spans="1:14" s="115" customFormat="1" ht="18" x14ac:dyDescent="0.35">
      <c r="A411" s="11"/>
      <c r="B411" s="545" t="s">
        <v>119</v>
      </c>
      <c r="C411" s="23" t="s">
        <v>422</v>
      </c>
      <c r="D411" s="10" t="s">
        <v>104</v>
      </c>
      <c r="E411" s="10"/>
      <c r="F411" s="689"/>
      <c r="G411" s="690"/>
      <c r="H411" s="690"/>
      <c r="I411" s="691"/>
      <c r="J411" s="10"/>
      <c r="K411" s="24">
        <f t="shared" ref="K411:N412" si="65">K412</f>
        <v>6292.9</v>
      </c>
      <c r="L411" s="24">
        <f t="shared" si="65"/>
        <v>0</v>
      </c>
      <c r="M411" s="24">
        <f t="shared" si="65"/>
        <v>6292.9</v>
      </c>
      <c r="N411" s="24">
        <f t="shared" si="65"/>
        <v>6292.9</v>
      </c>
    </row>
    <row r="412" spans="1:14" s="115" customFormat="1" ht="18" x14ac:dyDescent="0.35">
      <c r="A412" s="11"/>
      <c r="B412" s="545" t="s">
        <v>193</v>
      </c>
      <c r="C412" s="23" t="s">
        <v>422</v>
      </c>
      <c r="D412" s="10" t="s">
        <v>104</v>
      </c>
      <c r="E412" s="10" t="s">
        <v>52</v>
      </c>
      <c r="F412" s="689"/>
      <c r="G412" s="690"/>
      <c r="H412" s="690"/>
      <c r="I412" s="691"/>
      <c r="J412" s="10"/>
      <c r="K412" s="24">
        <f t="shared" si="65"/>
        <v>6292.9</v>
      </c>
      <c r="L412" s="24">
        <f t="shared" si="65"/>
        <v>0</v>
      </c>
      <c r="M412" s="24">
        <f t="shared" si="65"/>
        <v>6292.9</v>
      </c>
      <c r="N412" s="24">
        <f t="shared" si="65"/>
        <v>6292.9</v>
      </c>
    </row>
    <row r="413" spans="1:14" s="115" customFormat="1" ht="54" x14ac:dyDescent="0.35">
      <c r="A413" s="11"/>
      <c r="B413" s="496" t="s">
        <v>205</v>
      </c>
      <c r="C413" s="23" t="s">
        <v>422</v>
      </c>
      <c r="D413" s="10" t="s">
        <v>104</v>
      </c>
      <c r="E413" s="10" t="s">
        <v>52</v>
      </c>
      <c r="F413" s="689" t="s">
        <v>39</v>
      </c>
      <c r="G413" s="690" t="s">
        <v>42</v>
      </c>
      <c r="H413" s="690" t="s">
        <v>43</v>
      </c>
      <c r="I413" s="691" t="s">
        <v>44</v>
      </c>
      <c r="J413" s="10"/>
      <c r="K413" s="24">
        <f t="shared" ref="K413:N415" si="66">K414</f>
        <v>6292.9</v>
      </c>
      <c r="L413" s="24">
        <f t="shared" si="66"/>
        <v>0</v>
      </c>
      <c r="M413" s="24">
        <f t="shared" si="66"/>
        <v>6292.9</v>
      </c>
      <c r="N413" s="24">
        <f t="shared" si="66"/>
        <v>6292.9</v>
      </c>
    </row>
    <row r="414" spans="1:14" s="115" customFormat="1" ht="36" x14ac:dyDescent="0.35">
      <c r="A414" s="11"/>
      <c r="B414" s="496" t="s">
        <v>206</v>
      </c>
      <c r="C414" s="23" t="s">
        <v>422</v>
      </c>
      <c r="D414" s="10" t="s">
        <v>104</v>
      </c>
      <c r="E414" s="10" t="s">
        <v>52</v>
      </c>
      <c r="F414" s="689" t="s">
        <v>39</v>
      </c>
      <c r="G414" s="690" t="s">
        <v>45</v>
      </c>
      <c r="H414" s="690" t="s">
        <v>43</v>
      </c>
      <c r="I414" s="691" t="s">
        <v>44</v>
      </c>
      <c r="J414" s="10"/>
      <c r="K414" s="24">
        <f t="shared" si="66"/>
        <v>6292.9</v>
      </c>
      <c r="L414" s="24">
        <f t="shared" si="66"/>
        <v>0</v>
      </c>
      <c r="M414" s="24">
        <f t="shared" si="66"/>
        <v>6292.9</v>
      </c>
      <c r="N414" s="24">
        <f t="shared" si="66"/>
        <v>6292.9</v>
      </c>
    </row>
    <row r="415" spans="1:14" s="115" customFormat="1" ht="36" x14ac:dyDescent="0.35">
      <c r="A415" s="11"/>
      <c r="B415" s="496" t="s">
        <v>266</v>
      </c>
      <c r="C415" s="23" t="s">
        <v>422</v>
      </c>
      <c r="D415" s="10" t="s">
        <v>104</v>
      </c>
      <c r="E415" s="10" t="s">
        <v>52</v>
      </c>
      <c r="F415" s="689" t="s">
        <v>39</v>
      </c>
      <c r="G415" s="690" t="s">
        <v>45</v>
      </c>
      <c r="H415" s="690" t="s">
        <v>37</v>
      </c>
      <c r="I415" s="691" t="s">
        <v>44</v>
      </c>
      <c r="J415" s="10"/>
      <c r="K415" s="24">
        <f t="shared" si="66"/>
        <v>6292.9</v>
      </c>
      <c r="L415" s="24">
        <f t="shared" si="66"/>
        <v>0</v>
      </c>
      <c r="M415" s="24">
        <f t="shared" si="66"/>
        <v>6292.9</v>
      </c>
      <c r="N415" s="24">
        <f t="shared" si="66"/>
        <v>6292.9</v>
      </c>
    </row>
    <row r="416" spans="1:14" s="115" customFormat="1" ht="126" x14ac:dyDescent="0.35">
      <c r="A416" s="11"/>
      <c r="B416" s="496" t="s">
        <v>282</v>
      </c>
      <c r="C416" s="23" t="s">
        <v>422</v>
      </c>
      <c r="D416" s="10" t="s">
        <v>104</v>
      </c>
      <c r="E416" s="10" t="s">
        <v>52</v>
      </c>
      <c r="F416" s="689" t="s">
        <v>39</v>
      </c>
      <c r="G416" s="690" t="s">
        <v>45</v>
      </c>
      <c r="H416" s="690" t="s">
        <v>37</v>
      </c>
      <c r="I416" s="691" t="s">
        <v>283</v>
      </c>
      <c r="J416" s="10"/>
      <c r="K416" s="24">
        <f>K417+K418</f>
        <v>6292.9</v>
      </c>
      <c r="L416" s="24">
        <f>L417+L418</f>
        <v>0</v>
      </c>
      <c r="M416" s="24">
        <f>M417+M418</f>
        <v>6292.9</v>
      </c>
      <c r="N416" s="24">
        <f>N417+N418</f>
        <v>6292.9</v>
      </c>
    </row>
    <row r="417" spans="1:14" s="115" customFormat="1" ht="54" x14ac:dyDescent="0.35">
      <c r="A417" s="11"/>
      <c r="B417" s="496" t="s">
        <v>55</v>
      </c>
      <c r="C417" s="23" t="s">
        <v>422</v>
      </c>
      <c r="D417" s="10" t="s">
        <v>104</v>
      </c>
      <c r="E417" s="10" t="s">
        <v>52</v>
      </c>
      <c r="F417" s="689" t="s">
        <v>39</v>
      </c>
      <c r="G417" s="690" t="s">
        <v>45</v>
      </c>
      <c r="H417" s="690" t="s">
        <v>37</v>
      </c>
      <c r="I417" s="691" t="s">
        <v>283</v>
      </c>
      <c r="J417" s="10" t="s">
        <v>56</v>
      </c>
      <c r="K417" s="24">
        <v>92.9</v>
      </c>
      <c r="L417" s="24">
        <f>M417-K417</f>
        <v>0</v>
      </c>
      <c r="M417" s="24">
        <v>92.9</v>
      </c>
      <c r="N417" s="24">
        <v>92.9</v>
      </c>
    </row>
    <row r="418" spans="1:14" s="115" customFormat="1" ht="36" x14ac:dyDescent="0.35">
      <c r="A418" s="11"/>
      <c r="B418" s="503" t="s">
        <v>120</v>
      </c>
      <c r="C418" s="23" t="s">
        <v>422</v>
      </c>
      <c r="D418" s="10" t="s">
        <v>104</v>
      </c>
      <c r="E418" s="10" t="s">
        <v>52</v>
      </c>
      <c r="F418" s="689" t="s">
        <v>39</v>
      </c>
      <c r="G418" s="690" t="s">
        <v>45</v>
      </c>
      <c r="H418" s="690" t="s">
        <v>37</v>
      </c>
      <c r="I418" s="691" t="s">
        <v>283</v>
      </c>
      <c r="J418" s="10" t="s">
        <v>121</v>
      </c>
      <c r="K418" s="24">
        <v>6200</v>
      </c>
      <c r="L418" s="24">
        <f>M418-K418</f>
        <v>0</v>
      </c>
      <c r="M418" s="24">
        <v>6200</v>
      </c>
      <c r="N418" s="24">
        <v>6200</v>
      </c>
    </row>
    <row r="419" spans="1:14" s="117" customFormat="1" ht="18" x14ac:dyDescent="0.35">
      <c r="A419" s="11"/>
      <c r="B419" s="496"/>
      <c r="C419" s="23"/>
      <c r="D419" s="10"/>
      <c r="E419" s="10"/>
      <c r="F419" s="689"/>
      <c r="G419" s="690"/>
      <c r="H419" s="690"/>
      <c r="I419" s="691"/>
      <c r="J419" s="10"/>
      <c r="K419" s="24"/>
      <c r="L419" s="24"/>
      <c r="M419" s="24"/>
      <c r="N419" s="24"/>
    </row>
    <row r="420" spans="1:14" s="111" customFormat="1" ht="52.2" x14ac:dyDescent="0.3">
      <c r="A420" s="110">
        <v>6</v>
      </c>
      <c r="B420" s="566" t="s">
        <v>9</v>
      </c>
      <c r="C420" s="18" t="s">
        <v>312</v>
      </c>
      <c r="D420" s="19"/>
      <c r="E420" s="19"/>
      <c r="F420" s="20"/>
      <c r="G420" s="21"/>
      <c r="H420" s="21"/>
      <c r="I420" s="22"/>
      <c r="J420" s="19"/>
      <c r="K420" s="32">
        <f>K428+K446+K421</f>
        <v>96417.300000000017</v>
      </c>
      <c r="L420" s="32">
        <f>L428+L446+L421</f>
        <v>0</v>
      </c>
      <c r="M420" s="32">
        <f>M428+M446+M421</f>
        <v>96417.300000000017</v>
      </c>
      <c r="N420" s="32">
        <f>N428+N446+N421</f>
        <v>96420.2</v>
      </c>
    </row>
    <row r="421" spans="1:14" s="111" customFormat="1" ht="18" x14ac:dyDescent="0.35">
      <c r="A421" s="110"/>
      <c r="B421" s="496" t="s">
        <v>36</v>
      </c>
      <c r="C421" s="23" t="s">
        <v>312</v>
      </c>
      <c r="D421" s="28" t="s">
        <v>37</v>
      </c>
      <c r="E421" s="19"/>
      <c r="F421" s="20"/>
      <c r="G421" s="21"/>
      <c r="H421" s="21"/>
      <c r="I421" s="22"/>
      <c r="J421" s="19"/>
      <c r="K421" s="209">
        <f t="shared" ref="K421:M425" si="67">K422</f>
        <v>54.1</v>
      </c>
      <c r="L421" s="209">
        <f t="shared" si="67"/>
        <v>0</v>
      </c>
      <c r="M421" s="209">
        <f t="shared" si="67"/>
        <v>54.1</v>
      </c>
      <c r="N421" s="209">
        <f>N422</f>
        <v>54.1</v>
      </c>
    </row>
    <row r="422" spans="1:14" s="111" customFormat="1" ht="18" x14ac:dyDescent="0.35">
      <c r="A422" s="110"/>
      <c r="B422" s="496" t="s">
        <v>70</v>
      </c>
      <c r="C422" s="23" t="s">
        <v>312</v>
      </c>
      <c r="D422" s="28" t="s">
        <v>37</v>
      </c>
      <c r="E422" s="28" t="s">
        <v>71</v>
      </c>
      <c r="F422" s="20"/>
      <c r="G422" s="21"/>
      <c r="H422" s="21"/>
      <c r="I422" s="22"/>
      <c r="J422" s="19"/>
      <c r="K422" s="209">
        <f t="shared" ref="K422:N423" si="68">K423</f>
        <v>54.1</v>
      </c>
      <c r="L422" s="209">
        <f t="shared" si="68"/>
        <v>0</v>
      </c>
      <c r="M422" s="209">
        <f t="shared" si="68"/>
        <v>54.1</v>
      </c>
      <c r="N422" s="209">
        <f t="shared" si="68"/>
        <v>54.1</v>
      </c>
    </row>
    <row r="423" spans="1:14" s="111" customFormat="1" ht="54" x14ac:dyDescent="0.35">
      <c r="A423" s="110"/>
      <c r="B423" s="546" t="s">
        <v>213</v>
      </c>
      <c r="C423" s="23" t="s">
        <v>312</v>
      </c>
      <c r="D423" s="28" t="s">
        <v>37</v>
      </c>
      <c r="E423" s="28" t="s">
        <v>71</v>
      </c>
      <c r="F423" s="206" t="s">
        <v>63</v>
      </c>
      <c r="G423" s="207" t="s">
        <v>42</v>
      </c>
      <c r="H423" s="207" t="s">
        <v>43</v>
      </c>
      <c r="I423" s="208" t="s">
        <v>44</v>
      </c>
      <c r="J423" s="19"/>
      <c r="K423" s="209">
        <f t="shared" si="68"/>
        <v>54.1</v>
      </c>
      <c r="L423" s="209">
        <f t="shared" si="68"/>
        <v>0</v>
      </c>
      <c r="M423" s="209">
        <f t="shared" si="68"/>
        <v>54.1</v>
      </c>
      <c r="N423" s="209">
        <f t="shared" si="68"/>
        <v>54.1</v>
      </c>
    </row>
    <row r="424" spans="1:14" s="111" customFormat="1" ht="54" x14ac:dyDescent="0.35">
      <c r="A424" s="110"/>
      <c r="B424" s="496" t="s">
        <v>216</v>
      </c>
      <c r="C424" s="23" t="s">
        <v>312</v>
      </c>
      <c r="D424" s="28" t="s">
        <v>37</v>
      </c>
      <c r="E424" s="28" t="s">
        <v>71</v>
      </c>
      <c r="F424" s="206" t="s">
        <v>63</v>
      </c>
      <c r="G424" s="207" t="s">
        <v>30</v>
      </c>
      <c r="H424" s="207" t="s">
        <v>43</v>
      </c>
      <c r="I424" s="208" t="s">
        <v>44</v>
      </c>
      <c r="J424" s="19"/>
      <c r="K424" s="209">
        <f t="shared" si="67"/>
        <v>54.1</v>
      </c>
      <c r="L424" s="209">
        <f t="shared" si="67"/>
        <v>0</v>
      </c>
      <c r="M424" s="209">
        <f t="shared" si="67"/>
        <v>54.1</v>
      </c>
      <c r="N424" s="209">
        <f>N425</f>
        <v>54.1</v>
      </c>
    </row>
    <row r="425" spans="1:14" s="111" customFormat="1" ht="36" x14ac:dyDescent="0.35">
      <c r="A425" s="110"/>
      <c r="B425" s="496" t="s">
        <v>349</v>
      </c>
      <c r="C425" s="23" t="s">
        <v>312</v>
      </c>
      <c r="D425" s="28" t="s">
        <v>37</v>
      </c>
      <c r="E425" s="28" t="s">
        <v>71</v>
      </c>
      <c r="F425" s="206" t="s">
        <v>63</v>
      </c>
      <c r="G425" s="207" t="s">
        <v>30</v>
      </c>
      <c r="H425" s="207" t="s">
        <v>39</v>
      </c>
      <c r="I425" s="208" t="s">
        <v>44</v>
      </c>
      <c r="J425" s="19"/>
      <c r="K425" s="209">
        <f t="shared" si="67"/>
        <v>54.1</v>
      </c>
      <c r="L425" s="209">
        <f t="shared" si="67"/>
        <v>0</v>
      </c>
      <c r="M425" s="209">
        <f t="shared" si="67"/>
        <v>54.1</v>
      </c>
      <c r="N425" s="209">
        <f>N426</f>
        <v>54.1</v>
      </c>
    </row>
    <row r="426" spans="1:14" s="111" customFormat="1" ht="54" x14ac:dyDescent="0.35">
      <c r="A426" s="110"/>
      <c r="B426" s="496" t="s">
        <v>350</v>
      </c>
      <c r="C426" s="23" t="s">
        <v>312</v>
      </c>
      <c r="D426" s="28" t="s">
        <v>37</v>
      </c>
      <c r="E426" s="28" t="s">
        <v>71</v>
      </c>
      <c r="F426" s="206" t="s">
        <v>63</v>
      </c>
      <c r="G426" s="207" t="s">
        <v>30</v>
      </c>
      <c r="H426" s="207" t="s">
        <v>39</v>
      </c>
      <c r="I426" s="208" t="s">
        <v>105</v>
      </c>
      <c r="J426" s="19"/>
      <c r="K426" s="209">
        <f>K427</f>
        <v>54.1</v>
      </c>
      <c r="L426" s="209">
        <f>L427</f>
        <v>0</v>
      </c>
      <c r="M426" s="209">
        <f>M427</f>
        <v>54.1</v>
      </c>
      <c r="N426" s="209">
        <f>N427</f>
        <v>54.1</v>
      </c>
    </row>
    <row r="427" spans="1:14" s="111" customFormat="1" ht="54" x14ac:dyDescent="0.35">
      <c r="A427" s="110"/>
      <c r="B427" s="496" t="s">
        <v>55</v>
      </c>
      <c r="C427" s="23" t="s">
        <v>312</v>
      </c>
      <c r="D427" s="28" t="s">
        <v>37</v>
      </c>
      <c r="E427" s="28" t="s">
        <v>71</v>
      </c>
      <c r="F427" s="206" t="s">
        <v>63</v>
      </c>
      <c r="G427" s="207" t="s">
        <v>30</v>
      </c>
      <c r="H427" s="207" t="s">
        <v>39</v>
      </c>
      <c r="I427" s="208" t="s">
        <v>105</v>
      </c>
      <c r="J427" s="28" t="s">
        <v>56</v>
      </c>
      <c r="K427" s="209">
        <v>54.1</v>
      </c>
      <c r="L427" s="24">
        <f>M427-K427</f>
        <v>0</v>
      </c>
      <c r="M427" s="209">
        <v>54.1</v>
      </c>
      <c r="N427" s="209">
        <v>54.1</v>
      </c>
    </row>
    <row r="428" spans="1:14" s="7" customFormat="1" ht="18" x14ac:dyDescent="0.35">
      <c r="A428" s="11"/>
      <c r="B428" s="546" t="s">
        <v>179</v>
      </c>
      <c r="C428" s="23" t="s">
        <v>312</v>
      </c>
      <c r="D428" s="10" t="s">
        <v>224</v>
      </c>
      <c r="E428" s="10"/>
      <c r="F428" s="689"/>
      <c r="G428" s="690"/>
      <c r="H428" s="690"/>
      <c r="I428" s="691"/>
      <c r="J428" s="10"/>
      <c r="K428" s="24">
        <f>K429+K437</f>
        <v>60705.4</v>
      </c>
      <c r="L428" s="24">
        <f>L429+L437</f>
        <v>0</v>
      </c>
      <c r="M428" s="24">
        <f>M429+M437</f>
        <v>60705.4</v>
      </c>
      <c r="N428" s="24">
        <f>N429+N437</f>
        <v>60762.2</v>
      </c>
    </row>
    <row r="429" spans="1:14" s="111" customFormat="1" ht="18" x14ac:dyDescent="0.35">
      <c r="A429" s="11"/>
      <c r="B429" s="546" t="s">
        <v>347</v>
      </c>
      <c r="C429" s="23" t="s">
        <v>312</v>
      </c>
      <c r="D429" s="10" t="s">
        <v>224</v>
      </c>
      <c r="E429" s="10" t="s">
        <v>63</v>
      </c>
      <c r="F429" s="689"/>
      <c r="G429" s="690"/>
      <c r="H429" s="690"/>
      <c r="I429" s="691"/>
      <c r="J429" s="10"/>
      <c r="K429" s="24">
        <f t="shared" ref="K429:M430" si="69">K430</f>
        <v>60029.8</v>
      </c>
      <c r="L429" s="24">
        <f t="shared" si="69"/>
        <v>0</v>
      </c>
      <c r="M429" s="24">
        <f t="shared" si="69"/>
        <v>60029.8</v>
      </c>
      <c r="N429" s="24">
        <f>N430</f>
        <v>60086.6</v>
      </c>
    </row>
    <row r="430" spans="1:14" s="111" customFormat="1" ht="54" x14ac:dyDescent="0.35">
      <c r="A430" s="11"/>
      <c r="B430" s="546" t="s">
        <v>213</v>
      </c>
      <c r="C430" s="23" t="s">
        <v>312</v>
      </c>
      <c r="D430" s="10" t="s">
        <v>224</v>
      </c>
      <c r="E430" s="10" t="s">
        <v>63</v>
      </c>
      <c r="F430" s="689" t="s">
        <v>63</v>
      </c>
      <c r="G430" s="690" t="s">
        <v>42</v>
      </c>
      <c r="H430" s="690" t="s">
        <v>43</v>
      </c>
      <c r="I430" s="691" t="s">
        <v>44</v>
      </c>
      <c r="J430" s="10"/>
      <c r="K430" s="24">
        <f t="shared" si="69"/>
        <v>60029.8</v>
      </c>
      <c r="L430" s="24">
        <f t="shared" si="69"/>
        <v>0</v>
      </c>
      <c r="M430" s="24">
        <f t="shared" si="69"/>
        <v>60029.8</v>
      </c>
      <c r="N430" s="24">
        <f>N431</f>
        <v>60086.6</v>
      </c>
    </row>
    <row r="431" spans="1:14" s="111" customFormat="1" ht="72" x14ac:dyDescent="0.35">
      <c r="A431" s="11"/>
      <c r="B431" s="546" t="s">
        <v>214</v>
      </c>
      <c r="C431" s="23" t="s">
        <v>312</v>
      </c>
      <c r="D431" s="10" t="s">
        <v>224</v>
      </c>
      <c r="E431" s="10" t="s">
        <v>63</v>
      </c>
      <c r="F431" s="689" t="s">
        <v>63</v>
      </c>
      <c r="G431" s="690" t="s">
        <v>45</v>
      </c>
      <c r="H431" s="690" t="s">
        <v>43</v>
      </c>
      <c r="I431" s="691" t="s">
        <v>44</v>
      </c>
      <c r="J431" s="10"/>
      <c r="K431" s="24">
        <f t="shared" ref="K431:N433" si="70">K432</f>
        <v>60029.8</v>
      </c>
      <c r="L431" s="24">
        <f t="shared" si="70"/>
        <v>0</v>
      </c>
      <c r="M431" s="24">
        <f t="shared" si="70"/>
        <v>60029.8</v>
      </c>
      <c r="N431" s="24">
        <f t="shared" si="70"/>
        <v>60086.6</v>
      </c>
    </row>
    <row r="432" spans="1:14" s="111" customFormat="1" ht="36" x14ac:dyDescent="0.35">
      <c r="A432" s="11"/>
      <c r="B432" s="546" t="s">
        <v>275</v>
      </c>
      <c r="C432" s="23" t="s">
        <v>312</v>
      </c>
      <c r="D432" s="10" t="s">
        <v>224</v>
      </c>
      <c r="E432" s="10" t="s">
        <v>63</v>
      </c>
      <c r="F432" s="689" t="s">
        <v>63</v>
      </c>
      <c r="G432" s="690" t="s">
        <v>45</v>
      </c>
      <c r="H432" s="690" t="s">
        <v>37</v>
      </c>
      <c r="I432" s="691" t="s">
        <v>44</v>
      </c>
      <c r="J432" s="10"/>
      <c r="K432" s="24">
        <f>K433+K435</f>
        <v>60029.8</v>
      </c>
      <c r="L432" s="24">
        <f>L433+L435</f>
        <v>0</v>
      </c>
      <c r="M432" s="24">
        <f>M433+M435</f>
        <v>60029.8</v>
      </c>
      <c r="N432" s="24">
        <f>N433+N435</f>
        <v>60086.6</v>
      </c>
    </row>
    <row r="433" spans="1:14" s="111" customFormat="1" ht="36" x14ac:dyDescent="0.35">
      <c r="A433" s="11"/>
      <c r="B433" s="574" t="s">
        <v>461</v>
      </c>
      <c r="C433" s="23" t="s">
        <v>312</v>
      </c>
      <c r="D433" s="10" t="s">
        <v>224</v>
      </c>
      <c r="E433" s="10" t="s">
        <v>63</v>
      </c>
      <c r="F433" s="689" t="s">
        <v>63</v>
      </c>
      <c r="G433" s="690" t="s">
        <v>45</v>
      </c>
      <c r="H433" s="690" t="s">
        <v>37</v>
      </c>
      <c r="I433" s="691" t="s">
        <v>91</v>
      </c>
      <c r="J433" s="10"/>
      <c r="K433" s="24">
        <f t="shared" si="70"/>
        <v>54257</v>
      </c>
      <c r="L433" s="24">
        <f t="shared" si="70"/>
        <v>0</v>
      </c>
      <c r="M433" s="24">
        <f t="shared" si="70"/>
        <v>54257</v>
      </c>
      <c r="N433" s="24">
        <f t="shared" si="70"/>
        <v>54257.7</v>
      </c>
    </row>
    <row r="434" spans="1:14" s="7" customFormat="1" ht="54" x14ac:dyDescent="0.35">
      <c r="A434" s="11"/>
      <c r="B434" s="503" t="s">
        <v>76</v>
      </c>
      <c r="C434" s="23" t="s">
        <v>312</v>
      </c>
      <c r="D434" s="10" t="s">
        <v>224</v>
      </c>
      <c r="E434" s="10" t="s">
        <v>63</v>
      </c>
      <c r="F434" s="689" t="s">
        <v>63</v>
      </c>
      <c r="G434" s="690" t="s">
        <v>45</v>
      </c>
      <c r="H434" s="690" t="s">
        <v>37</v>
      </c>
      <c r="I434" s="691" t="s">
        <v>91</v>
      </c>
      <c r="J434" s="10" t="s">
        <v>77</v>
      </c>
      <c r="K434" s="24">
        <v>54257</v>
      </c>
      <c r="L434" s="24">
        <f>M434-K434</f>
        <v>0</v>
      </c>
      <c r="M434" s="24">
        <v>54257</v>
      </c>
      <c r="N434" s="24">
        <v>54257.7</v>
      </c>
    </row>
    <row r="435" spans="1:14" s="7" customFormat="1" ht="36" x14ac:dyDescent="0.35">
      <c r="A435" s="11"/>
      <c r="B435" s="503" t="s">
        <v>313</v>
      </c>
      <c r="C435" s="23" t="s">
        <v>312</v>
      </c>
      <c r="D435" s="10" t="s">
        <v>224</v>
      </c>
      <c r="E435" s="10" t="s">
        <v>63</v>
      </c>
      <c r="F435" s="689" t="s">
        <v>63</v>
      </c>
      <c r="G435" s="690" t="s">
        <v>45</v>
      </c>
      <c r="H435" s="690" t="s">
        <v>37</v>
      </c>
      <c r="I435" s="691" t="s">
        <v>314</v>
      </c>
      <c r="J435" s="10"/>
      <c r="K435" s="24">
        <f>K436</f>
        <v>5772.8</v>
      </c>
      <c r="L435" s="24">
        <f>L436</f>
        <v>0</v>
      </c>
      <c r="M435" s="24">
        <f>M436</f>
        <v>5772.8</v>
      </c>
      <c r="N435" s="24">
        <f>N436</f>
        <v>5828.9</v>
      </c>
    </row>
    <row r="436" spans="1:14" s="7" customFormat="1" ht="54" x14ac:dyDescent="0.35">
      <c r="A436" s="11"/>
      <c r="B436" s="503" t="s">
        <v>76</v>
      </c>
      <c r="C436" s="23" t="s">
        <v>312</v>
      </c>
      <c r="D436" s="10" t="s">
        <v>224</v>
      </c>
      <c r="E436" s="10" t="s">
        <v>63</v>
      </c>
      <c r="F436" s="689" t="s">
        <v>63</v>
      </c>
      <c r="G436" s="690" t="s">
        <v>45</v>
      </c>
      <c r="H436" s="690" t="s">
        <v>37</v>
      </c>
      <c r="I436" s="691" t="s">
        <v>314</v>
      </c>
      <c r="J436" s="10" t="s">
        <v>77</v>
      </c>
      <c r="K436" s="24">
        <v>5772.8</v>
      </c>
      <c r="L436" s="24">
        <f>M436-K436</f>
        <v>0</v>
      </c>
      <c r="M436" s="24">
        <v>5772.8</v>
      </c>
      <c r="N436" s="24">
        <v>5828.9</v>
      </c>
    </row>
    <row r="437" spans="1:14" s="7" customFormat="1" ht="18" x14ac:dyDescent="0.35">
      <c r="A437" s="11"/>
      <c r="B437" s="496" t="s">
        <v>186</v>
      </c>
      <c r="C437" s="23" t="s">
        <v>312</v>
      </c>
      <c r="D437" s="10" t="s">
        <v>224</v>
      </c>
      <c r="E437" s="10" t="s">
        <v>79</v>
      </c>
      <c r="F437" s="689"/>
      <c r="G437" s="690"/>
      <c r="H437" s="690"/>
      <c r="I437" s="691"/>
      <c r="J437" s="10"/>
      <c r="K437" s="24">
        <f t="shared" ref="K437:N441" si="71">K438</f>
        <v>675.6</v>
      </c>
      <c r="L437" s="24">
        <f t="shared" si="71"/>
        <v>0</v>
      </c>
      <c r="M437" s="24">
        <f t="shared" si="71"/>
        <v>675.6</v>
      </c>
      <c r="N437" s="24">
        <f t="shared" si="71"/>
        <v>675.6</v>
      </c>
    </row>
    <row r="438" spans="1:14" s="7" customFormat="1" ht="54" x14ac:dyDescent="0.35">
      <c r="A438" s="11"/>
      <c r="B438" s="546" t="s">
        <v>213</v>
      </c>
      <c r="C438" s="23" t="s">
        <v>312</v>
      </c>
      <c r="D438" s="10" t="s">
        <v>224</v>
      </c>
      <c r="E438" s="10" t="s">
        <v>79</v>
      </c>
      <c r="F438" s="689" t="s">
        <v>63</v>
      </c>
      <c r="G438" s="690" t="s">
        <v>42</v>
      </c>
      <c r="H438" s="690" t="s">
        <v>43</v>
      </c>
      <c r="I438" s="691" t="s">
        <v>44</v>
      </c>
      <c r="J438" s="10"/>
      <c r="K438" s="24">
        <f t="shared" si="71"/>
        <v>675.6</v>
      </c>
      <c r="L438" s="24">
        <f t="shared" si="71"/>
        <v>0</v>
      </c>
      <c r="M438" s="24">
        <f t="shared" si="71"/>
        <v>675.6</v>
      </c>
      <c r="N438" s="24">
        <f t="shared" si="71"/>
        <v>675.6</v>
      </c>
    </row>
    <row r="439" spans="1:14" s="7" customFormat="1" ht="72" x14ac:dyDescent="0.35">
      <c r="A439" s="11"/>
      <c r="B439" s="546" t="s">
        <v>214</v>
      </c>
      <c r="C439" s="23" t="s">
        <v>312</v>
      </c>
      <c r="D439" s="10" t="s">
        <v>224</v>
      </c>
      <c r="E439" s="10" t="s">
        <v>79</v>
      </c>
      <c r="F439" s="689" t="s">
        <v>63</v>
      </c>
      <c r="G439" s="690" t="s">
        <v>45</v>
      </c>
      <c r="H439" s="690" t="s">
        <v>43</v>
      </c>
      <c r="I439" s="691" t="s">
        <v>44</v>
      </c>
      <c r="J439" s="10"/>
      <c r="K439" s="24">
        <f t="shared" si="71"/>
        <v>675.6</v>
      </c>
      <c r="L439" s="24">
        <f t="shared" si="71"/>
        <v>0</v>
      </c>
      <c r="M439" s="24">
        <f t="shared" si="71"/>
        <v>675.6</v>
      </c>
      <c r="N439" s="24">
        <f t="shared" si="71"/>
        <v>675.6</v>
      </c>
    </row>
    <row r="440" spans="1:14" s="7" customFormat="1" ht="18" x14ac:dyDescent="0.35">
      <c r="A440" s="11"/>
      <c r="B440" s="503" t="s">
        <v>276</v>
      </c>
      <c r="C440" s="23" t="s">
        <v>312</v>
      </c>
      <c r="D440" s="10" t="s">
        <v>224</v>
      </c>
      <c r="E440" s="10" t="s">
        <v>79</v>
      </c>
      <c r="F440" s="689" t="s">
        <v>63</v>
      </c>
      <c r="G440" s="690" t="s">
        <v>45</v>
      </c>
      <c r="H440" s="690" t="s">
        <v>39</v>
      </c>
      <c r="I440" s="691" t="s">
        <v>44</v>
      </c>
      <c r="J440" s="10"/>
      <c r="K440" s="24">
        <f>K441+K443</f>
        <v>675.6</v>
      </c>
      <c r="L440" s="24">
        <f>L441+L443</f>
        <v>0</v>
      </c>
      <c r="M440" s="24">
        <f>M441+M443</f>
        <v>675.6</v>
      </c>
      <c r="N440" s="24">
        <f>N441+N443</f>
        <v>675.6</v>
      </c>
    </row>
    <row r="441" spans="1:14" s="7" customFormat="1" ht="36" x14ac:dyDescent="0.35">
      <c r="A441" s="11"/>
      <c r="B441" s="503" t="s">
        <v>211</v>
      </c>
      <c r="C441" s="23" t="s">
        <v>312</v>
      </c>
      <c r="D441" s="10" t="s">
        <v>224</v>
      </c>
      <c r="E441" s="10" t="s">
        <v>79</v>
      </c>
      <c r="F441" s="689" t="s">
        <v>63</v>
      </c>
      <c r="G441" s="690" t="s">
        <v>45</v>
      </c>
      <c r="H441" s="690" t="s">
        <v>39</v>
      </c>
      <c r="I441" s="691" t="s">
        <v>278</v>
      </c>
      <c r="J441" s="10"/>
      <c r="K441" s="24">
        <f t="shared" si="71"/>
        <v>375</v>
      </c>
      <c r="L441" s="24">
        <f t="shared" si="71"/>
        <v>0</v>
      </c>
      <c r="M441" s="24">
        <f t="shared" si="71"/>
        <v>375</v>
      </c>
      <c r="N441" s="24">
        <f t="shared" si="71"/>
        <v>375</v>
      </c>
    </row>
    <row r="442" spans="1:14" s="7" customFormat="1" ht="36" x14ac:dyDescent="0.35">
      <c r="A442" s="11"/>
      <c r="B442" s="503" t="s">
        <v>120</v>
      </c>
      <c r="C442" s="23" t="s">
        <v>312</v>
      </c>
      <c r="D442" s="10" t="s">
        <v>224</v>
      </c>
      <c r="E442" s="10" t="s">
        <v>79</v>
      </c>
      <c r="F442" s="689" t="s">
        <v>63</v>
      </c>
      <c r="G442" s="690" t="s">
        <v>45</v>
      </c>
      <c r="H442" s="690" t="s">
        <v>39</v>
      </c>
      <c r="I442" s="691" t="s">
        <v>278</v>
      </c>
      <c r="J442" s="10" t="s">
        <v>121</v>
      </c>
      <c r="K442" s="24">
        <v>375</v>
      </c>
      <c r="L442" s="24">
        <f>M442-K442</f>
        <v>0</v>
      </c>
      <c r="M442" s="24">
        <v>375</v>
      </c>
      <c r="N442" s="24">
        <v>375</v>
      </c>
    </row>
    <row r="443" spans="1:14" s="7" customFormat="1" ht="54" x14ac:dyDescent="0.35">
      <c r="A443" s="11"/>
      <c r="B443" s="503" t="s">
        <v>280</v>
      </c>
      <c r="C443" s="23" t="s">
        <v>312</v>
      </c>
      <c r="D443" s="10" t="s">
        <v>224</v>
      </c>
      <c r="E443" s="10" t="s">
        <v>79</v>
      </c>
      <c r="F443" s="689" t="s">
        <v>63</v>
      </c>
      <c r="G443" s="690" t="s">
        <v>45</v>
      </c>
      <c r="H443" s="690" t="s">
        <v>65</v>
      </c>
      <c r="I443" s="691" t="s">
        <v>44</v>
      </c>
      <c r="J443" s="10"/>
      <c r="K443" s="24">
        <f t="shared" ref="K443:M444" si="72">K444</f>
        <v>300.60000000000002</v>
      </c>
      <c r="L443" s="24">
        <f t="shared" si="72"/>
        <v>0</v>
      </c>
      <c r="M443" s="24">
        <f t="shared" si="72"/>
        <v>300.60000000000002</v>
      </c>
      <c r="N443" s="24">
        <f>N444</f>
        <v>300.60000000000002</v>
      </c>
    </row>
    <row r="444" spans="1:14" s="7" customFormat="1" ht="36" x14ac:dyDescent="0.35">
      <c r="A444" s="11"/>
      <c r="B444" s="503" t="s">
        <v>467</v>
      </c>
      <c r="C444" s="23" t="s">
        <v>312</v>
      </c>
      <c r="D444" s="10" t="s">
        <v>224</v>
      </c>
      <c r="E444" s="10" t="s">
        <v>79</v>
      </c>
      <c r="F444" s="689" t="s">
        <v>63</v>
      </c>
      <c r="G444" s="690" t="s">
        <v>45</v>
      </c>
      <c r="H444" s="690" t="s">
        <v>65</v>
      </c>
      <c r="I444" s="691" t="s">
        <v>466</v>
      </c>
      <c r="J444" s="10"/>
      <c r="K444" s="24">
        <f t="shared" si="72"/>
        <v>300.60000000000002</v>
      </c>
      <c r="L444" s="24">
        <f t="shared" si="72"/>
        <v>0</v>
      </c>
      <c r="M444" s="24">
        <f t="shared" si="72"/>
        <v>300.60000000000002</v>
      </c>
      <c r="N444" s="24">
        <f>N445</f>
        <v>300.60000000000002</v>
      </c>
    </row>
    <row r="445" spans="1:14" s="7" customFormat="1" ht="54" x14ac:dyDescent="0.35">
      <c r="A445" s="11"/>
      <c r="B445" s="503" t="s">
        <v>76</v>
      </c>
      <c r="C445" s="23" t="s">
        <v>312</v>
      </c>
      <c r="D445" s="10" t="s">
        <v>224</v>
      </c>
      <c r="E445" s="10" t="s">
        <v>79</v>
      </c>
      <c r="F445" s="689" t="s">
        <v>63</v>
      </c>
      <c r="G445" s="690" t="s">
        <v>45</v>
      </c>
      <c r="H445" s="690" t="s">
        <v>65</v>
      </c>
      <c r="I445" s="691" t="s">
        <v>466</v>
      </c>
      <c r="J445" s="10" t="s">
        <v>77</v>
      </c>
      <c r="K445" s="24">
        <v>300.60000000000002</v>
      </c>
      <c r="L445" s="24">
        <f>M445-K445</f>
        <v>0</v>
      </c>
      <c r="M445" s="24">
        <v>300.60000000000002</v>
      </c>
      <c r="N445" s="24">
        <v>300.60000000000002</v>
      </c>
    </row>
    <row r="446" spans="1:14" s="7" customFormat="1" ht="18" x14ac:dyDescent="0.35">
      <c r="A446" s="11"/>
      <c r="B446" s="496" t="s">
        <v>188</v>
      </c>
      <c r="C446" s="23" t="s">
        <v>312</v>
      </c>
      <c r="D446" s="10" t="s">
        <v>226</v>
      </c>
      <c r="E446" s="10"/>
      <c r="F446" s="689"/>
      <c r="G446" s="690"/>
      <c r="H446" s="690"/>
      <c r="I446" s="691"/>
      <c r="J446" s="10"/>
      <c r="K446" s="24">
        <f>K447+K464</f>
        <v>35657.800000000003</v>
      </c>
      <c r="L446" s="24">
        <f>L447+L464</f>
        <v>0</v>
      </c>
      <c r="M446" s="24">
        <f>M447+M464</f>
        <v>35657.800000000003</v>
      </c>
      <c r="N446" s="24">
        <f>N447+N464</f>
        <v>35603.899999999994</v>
      </c>
    </row>
    <row r="447" spans="1:14" s="7" customFormat="1" ht="18" x14ac:dyDescent="0.35">
      <c r="A447" s="11"/>
      <c r="B447" s="496" t="s">
        <v>190</v>
      </c>
      <c r="C447" s="23" t="s">
        <v>312</v>
      </c>
      <c r="D447" s="10" t="s">
        <v>226</v>
      </c>
      <c r="E447" s="10" t="s">
        <v>37</v>
      </c>
      <c r="F447" s="689"/>
      <c r="G447" s="690"/>
      <c r="H447" s="690"/>
      <c r="I447" s="691"/>
      <c r="J447" s="10"/>
      <c r="K447" s="24">
        <f>K448</f>
        <v>24215.8</v>
      </c>
      <c r="L447" s="24">
        <f>L448</f>
        <v>0</v>
      </c>
      <c r="M447" s="24">
        <f>M448</f>
        <v>24215.8</v>
      </c>
      <c r="N447" s="24">
        <f>N448</f>
        <v>24157.399999999998</v>
      </c>
    </row>
    <row r="448" spans="1:14" s="7" customFormat="1" ht="54" x14ac:dyDescent="0.35">
      <c r="A448" s="11"/>
      <c r="B448" s="546" t="s">
        <v>213</v>
      </c>
      <c r="C448" s="23" t="s">
        <v>312</v>
      </c>
      <c r="D448" s="10" t="s">
        <v>226</v>
      </c>
      <c r="E448" s="10" t="s">
        <v>37</v>
      </c>
      <c r="F448" s="689" t="s">
        <v>63</v>
      </c>
      <c r="G448" s="690" t="s">
        <v>42</v>
      </c>
      <c r="H448" s="690" t="s">
        <v>43</v>
      </c>
      <c r="I448" s="691" t="s">
        <v>44</v>
      </c>
      <c r="J448" s="10"/>
      <c r="K448" s="24">
        <f>K449+K458</f>
        <v>24215.8</v>
      </c>
      <c r="L448" s="24">
        <f>L449+L458</f>
        <v>0</v>
      </c>
      <c r="M448" s="24">
        <f>M449+M458</f>
        <v>24215.8</v>
      </c>
      <c r="N448" s="24">
        <f>N449+N458</f>
        <v>24157.399999999998</v>
      </c>
    </row>
    <row r="449" spans="1:14" s="7" customFormat="1" ht="72" x14ac:dyDescent="0.35">
      <c r="A449" s="11"/>
      <c r="B449" s="546" t="s">
        <v>214</v>
      </c>
      <c r="C449" s="23" t="s">
        <v>312</v>
      </c>
      <c r="D449" s="10" t="s">
        <v>226</v>
      </c>
      <c r="E449" s="10" t="s">
        <v>37</v>
      </c>
      <c r="F449" s="27" t="s">
        <v>63</v>
      </c>
      <c r="G449" s="89" t="s">
        <v>45</v>
      </c>
      <c r="H449" s="89" t="s">
        <v>43</v>
      </c>
      <c r="I449" s="90" t="s">
        <v>44</v>
      </c>
      <c r="J449" s="91"/>
      <c r="K449" s="24">
        <f>K450+K455</f>
        <v>23779.8</v>
      </c>
      <c r="L449" s="24">
        <f>L450+L455</f>
        <v>0</v>
      </c>
      <c r="M449" s="24">
        <f>M450+M455</f>
        <v>23779.8</v>
      </c>
      <c r="N449" s="24">
        <f>N450+N455</f>
        <v>23722.3</v>
      </c>
    </row>
    <row r="450" spans="1:14" s="7" customFormat="1" ht="18" x14ac:dyDescent="0.35">
      <c r="A450" s="11"/>
      <c r="B450" s="496" t="s">
        <v>315</v>
      </c>
      <c r="C450" s="23" t="s">
        <v>312</v>
      </c>
      <c r="D450" s="10" t="s">
        <v>226</v>
      </c>
      <c r="E450" s="10" t="s">
        <v>37</v>
      </c>
      <c r="F450" s="27" t="s">
        <v>63</v>
      </c>
      <c r="G450" s="89" t="s">
        <v>45</v>
      </c>
      <c r="H450" s="89" t="s">
        <v>63</v>
      </c>
      <c r="I450" s="90" t="s">
        <v>44</v>
      </c>
      <c r="J450" s="91"/>
      <c r="K450" s="24">
        <f>K451+K453</f>
        <v>12452.699999999999</v>
      </c>
      <c r="L450" s="24">
        <f>L451+L453</f>
        <v>0</v>
      </c>
      <c r="M450" s="24">
        <f>M451+M453</f>
        <v>12452.699999999999</v>
      </c>
      <c r="N450" s="24">
        <f>N451+N453</f>
        <v>12395</v>
      </c>
    </row>
    <row r="451" spans="1:14" s="7" customFormat="1" ht="36" x14ac:dyDescent="0.35">
      <c r="A451" s="11"/>
      <c r="B451" s="574" t="s">
        <v>461</v>
      </c>
      <c r="C451" s="23" t="s">
        <v>312</v>
      </c>
      <c r="D451" s="10" t="s">
        <v>226</v>
      </c>
      <c r="E451" s="10" t="s">
        <v>37</v>
      </c>
      <c r="F451" s="27" t="s">
        <v>63</v>
      </c>
      <c r="G451" s="89" t="s">
        <v>45</v>
      </c>
      <c r="H451" s="89" t="s">
        <v>63</v>
      </c>
      <c r="I451" s="90" t="s">
        <v>91</v>
      </c>
      <c r="J451" s="91"/>
      <c r="K451" s="24">
        <f t="shared" ref="K451:N451" si="73">K452</f>
        <v>11901.3</v>
      </c>
      <c r="L451" s="24">
        <f t="shared" si="73"/>
        <v>0</v>
      </c>
      <c r="M451" s="24">
        <f t="shared" si="73"/>
        <v>11901.3</v>
      </c>
      <c r="N451" s="24">
        <f t="shared" si="73"/>
        <v>11901.3</v>
      </c>
    </row>
    <row r="452" spans="1:14" s="7" customFormat="1" ht="54" x14ac:dyDescent="0.35">
      <c r="A452" s="11"/>
      <c r="B452" s="503" t="s">
        <v>76</v>
      </c>
      <c r="C452" s="23" t="s">
        <v>312</v>
      </c>
      <c r="D452" s="10" t="s">
        <v>226</v>
      </c>
      <c r="E452" s="10" t="s">
        <v>37</v>
      </c>
      <c r="F452" s="689" t="s">
        <v>63</v>
      </c>
      <c r="G452" s="690" t="s">
        <v>45</v>
      </c>
      <c r="H452" s="690" t="s">
        <v>63</v>
      </c>
      <c r="I452" s="691" t="s">
        <v>91</v>
      </c>
      <c r="J452" s="10" t="s">
        <v>77</v>
      </c>
      <c r="K452" s="24">
        <v>11901.3</v>
      </c>
      <c r="L452" s="24">
        <f>M452-K452</f>
        <v>0</v>
      </c>
      <c r="M452" s="24">
        <v>11901.3</v>
      </c>
      <c r="N452" s="24">
        <v>11901.3</v>
      </c>
    </row>
    <row r="453" spans="1:14" s="7" customFormat="1" ht="18" x14ac:dyDescent="0.35">
      <c r="A453" s="11"/>
      <c r="B453" s="503" t="s">
        <v>558</v>
      </c>
      <c r="C453" s="23" t="s">
        <v>312</v>
      </c>
      <c r="D453" s="10" t="s">
        <v>226</v>
      </c>
      <c r="E453" s="10" t="s">
        <v>37</v>
      </c>
      <c r="F453" s="689" t="s">
        <v>63</v>
      </c>
      <c r="G453" s="690" t="s">
        <v>45</v>
      </c>
      <c r="H453" s="690" t="s">
        <v>63</v>
      </c>
      <c r="I453" s="691" t="s">
        <v>557</v>
      </c>
      <c r="J453" s="10"/>
      <c r="K453" s="24">
        <f>K454</f>
        <v>551.4</v>
      </c>
      <c r="L453" s="24">
        <f>L454</f>
        <v>0</v>
      </c>
      <c r="M453" s="24">
        <f>M454</f>
        <v>551.4</v>
      </c>
      <c r="N453" s="24">
        <f>N454</f>
        <v>493.7</v>
      </c>
    </row>
    <row r="454" spans="1:14" s="7" customFormat="1" ht="54" x14ac:dyDescent="0.35">
      <c r="A454" s="11"/>
      <c r="B454" s="503" t="s">
        <v>76</v>
      </c>
      <c r="C454" s="23" t="s">
        <v>312</v>
      </c>
      <c r="D454" s="10" t="s">
        <v>226</v>
      </c>
      <c r="E454" s="10" t="s">
        <v>37</v>
      </c>
      <c r="F454" s="689" t="s">
        <v>63</v>
      </c>
      <c r="G454" s="690" t="s">
        <v>45</v>
      </c>
      <c r="H454" s="690" t="s">
        <v>63</v>
      </c>
      <c r="I454" s="691" t="s">
        <v>557</v>
      </c>
      <c r="J454" s="10" t="s">
        <v>77</v>
      </c>
      <c r="K454" s="24">
        <f>496.2+55.2</f>
        <v>551.4</v>
      </c>
      <c r="L454" s="24">
        <f>M454-K454</f>
        <v>0</v>
      </c>
      <c r="M454" s="24">
        <f>496.2+55.2</f>
        <v>551.4</v>
      </c>
      <c r="N454" s="24">
        <f>444.3+49.4</f>
        <v>493.7</v>
      </c>
    </row>
    <row r="455" spans="1:14" s="7" customFormat="1" ht="36" x14ac:dyDescent="0.35">
      <c r="A455" s="11"/>
      <c r="B455" s="503" t="s">
        <v>317</v>
      </c>
      <c r="C455" s="23" t="s">
        <v>312</v>
      </c>
      <c r="D455" s="10" t="s">
        <v>226</v>
      </c>
      <c r="E455" s="10" t="s">
        <v>37</v>
      </c>
      <c r="F455" s="27" t="s">
        <v>63</v>
      </c>
      <c r="G455" s="89" t="s">
        <v>45</v>
      </c>
      <c r="H455" s="89" t="s">
        <v>52</v>
      </c>
      <c r="I455" s="691" t="s">
        <v>44</v>
      </c>
      <c r="J455" s="10"/>
      <c r="K455" s="24">
        <f t="shared" ref="K455:N456" si="74">K456</f>
        <v>11327.1</v>
      </c>
      <c r="L455" s="24">
        <f t="shared" si="74"/>
        <v>0</v>
      </c>
      <c r="M455" s="24">
        <f t="shared" si="74"/>
        <v>11327.1</v>
      </c>
      <c r="N455" s="24">
        <f t="shared" si="74"/>
        <v>11327.3</v>
      </c>
    </row>
    <row r="456" spans="1:14" s="7" customFormat="1" ht="36" x14ac:dyDescent="0.35">
      <c r="A456" s="11"/>
      <c r="B456" s="574" t="s">
        <v>461</v>
      </c>
      <c r="C456" s="23" t="s">
        <v>312</v>
      </c>
      <c r="D456" s="10" t="s">
        <v>226</v>
      </c>
      <c r="E456" s="10" t="s">
        <v>37</v>
      </c>
      <c r="F456" s="27" t="s">
        <v>63</v>
      </c>
      <c r="G456" s="89" t="s">
        <v>45</v>
      </c>
      <c r="H456" s="89" t="s">
        <v>52</v>
      </c>
      <c r="I456" s="90" t="s">
        <v>91</v>
      </c>
      <c r="J456" s="91"/>
      <c r="K456" s="24">
        <f t="shared" si="74"/>
        <v>11327.1</v>
      </c>
      <c r="L456" s="24">
        <f t="shared" si="74"/>
        <v>0</v>
      </c>
      <c r="M456" s="24">
        <f t="shared" si="74"/>
        <v>11327.1</v>
      </c>
      <c r="N456" s="24">
        <f t="shared" si="74"/>
        <v>11327.3</v>
      </c>
    </row>
    <row r="457" spans="1:14" s="7" customFormat="1" ht="108" x14ac:dyDescent="0.35">
      <c r="A457" s="11"/>
      <c r="B457" s="496" t="s">
        <v>49</v>
      </c>
      <c r="C457" s="23" t="s">
        <v>312</v>
      </c>
      <c r="D457" s="10" t="s">
        <v>226</v>
      </c>
      <c r="E457" s="10" t="s">
        <v>37</v>
      </c>
      <c r="F457" s="689" t="s">
        <v>63</v>
      </c>
      <c r="G457" s="690" t="s">
        <v>45</v>
      </c>
      <c r="H457" s="690" t="s">
        <v>52</v>
      </c>
      <c r="I457" s="691" t="s">
        <v>91</v>
      </c>
      <c r="J457" s="10" t="s">
        <v>50</v>
      </c>
      <c r="K457" s="24">
        <v>11327.1</v>
      </c>
      <c r="L457" s="24">
        <f>M457-K457</f>
        <v>0</v>
      </c>
      <c r="M457" s="24">
        <v>11327.1</v>
      </c>
      <c r="N457" s="24">
        <v>11327.3</v>
      </c>
    </row>
    <row r="458" spans="1:14" s="7" customFormat="1" ht="54" x14ac:dyDescent="0.35">
      <c r="A458" s="11"/>
      <c r="B458" s="496" t="s">
        <v>325</v>
      </c>
      <c r="C458" s="23" t="s">
        <v>312</v>
      </c>
      <c r="D458" s="10" t="s">
        <v>226</v>
      </c>
      <c r="E458" s="10" t="s">
        <v>37</v>
      </c>
      <c r="F458" s="27" t="s">
        <v>63</v>
      </c>
      <c r="G458" s="89" t="s">
        <v>89</v>
      </c>
      <c r="H458" s="89" t="s">
        <v>43</v>
      </c>
      <c r="I458" s="691" t="s">
        <v>44</v>
      </c>
      <c r="J458" s="10"/>
      <c r="K458" s="24">
        <f>K459</f>
        <v>436</v>
      </c>
      <c r="L458" s="24">
        <f>L459</f>
        <v>0</v>
      </c>
      <c r="M458" s="24">
        <f>M459</f>
        <v>436</v>
      </c>
      <c r="N458" s="24">
        <f>N459</f>
        <v>435.1</v>
      </c>
    </row>
    <row r="459" spans="1:14" s="7" customFormat="1" ht="90" x14ac:dyDescent="0.35">
      <c r="A459" s="11"/>
      <c r="B459" s="503" t="s">
        <v>318</v>
      </c>
      <c r="C459" s="23" t="s">
        <v>312</v>
      </c>
      <c r="D459" s="10" t="s">
        <v>226</v>
      </c>
      <c r="E459" s="10" t="s">
        <v>37</v>
      </c>
      <c r="F459" s="27" t="s">
        <v>63</v>
      </c>
      <c r="G459" s="89" t="s">
        <v>89</v>
      </c>
      <c r="H459" s="89" t="s">
        <v>63</v>
      </c>
      <c r="I459" s="691" t="s">
        <v>44</v>
      </c>
      <c r="J459" s="10"/>
      <c r="K459" s="24">
        <f>K462+K460</f>
        <v>436</v>
      </c>
      <c r="L459" s="24">
        <f>L462+L460</f>
        <v>0</v>
      </c>
      <c r="M459" s="24">
        <f>M462+M460</f>
        <v>436</v>
      </c>
      <c r="N459" s="24">
        <f>N462+N460</f>
        <v>435.1</v>
      </c>
    </row>
    <row r="460" spans="1:14" s="7" customFormat="1" ht="36" x14ac:dyDescent="0.35">
      <c r="A460" s="11"/>
      <c r="B460" s="503" t="s">
        <v>313</v>
      </c>
      <c r="C460" s="23" t="s">
        <v>312</v>
      </c>
      <c r="D460" s="10" t="s">
        <v>226</v>
      </c>
      <c r="E460" s="10" t="s">
        <v>37</v>
      </c>
      <c r="F460" s="27" t="s">
        <v>63</v>
      </c>
      <c r="G460" s="89" t="s">
        <v>89</v>
      </c>
      <c r="H460" s="89" t="s">
        <v>63</v>
      </c>
      <c r="I460" s="691" t="s">
        <v>314</v>
      </c>
      <c r="J460" s="10"/>
      <c r="K460" s="24">
        <f>K461</f>
        <v>393.9</v>
      </c>
      <c r="L460" s="24">
        <f>L461</f>
        <v>0</v>
      </c>
      <c r="M460" s="24">
        <f>M461</f>
        <v>393.9</v>
      </c>
      <c r="N460" s="24">
        <f>N461</f>
        <v>393</v>
      </c>
    </row>
    <row r="461" spans="1:14" s="7" customFormat="1" ht="54" x14ac:dyDescent="0.35">
      <c r="A461" s="11"/>
      <c r="B461" s="496" t="s">
        <v>55</v>
      </c>
      <c r="C461" s="23" t="s">
        <v>312</v>
      </c>
      <c r="D461" s="10" t="s">
        <v>226</v>
      </c>
      <c r="E461" s="10" t="s">
        <v>37</v>
      </c>
      <c r="F461" s="27" t="s">
        <v>63</v>
      </c>
      <c r="G461" s="89" t="s">
        <v>89</v>
      </c>
      <c r="H461" s="89" t="s">
        <v>63</v>
      </c>
      <c r="I461" s="691" t="s">
        <v>314</v>
      </c>
      <c r="J461" s="10" t="s">
        <v>56</v>
      </c>
      <c r="K461" s="24">
        <f>393+0.9</f>
        <v>393.9</v>
      </c>
      <c r="L461" s="24">
        <f>M461-K461</f>
        <v>0</v>
      </c>
      <c r="M461" s="24">
        <f>393+0.9</f>
        <v>393.9</v>
      </c>
      <c r="N461" s="24">
        <v>393</v>
      </c>
    </row>
    <row r="462" spans="1:14" s="7" customFormat="1" ht="54" x14ac:dyDescent="0.35">
      <c r="A462" s="11"/>
      <c r="B462" s="503" t="s">
        <v>410</v>
      </c>
      <c r="C462" s="23" t="s">
        <v>312</v>
      </c>
      <c r="D462" s="10" t="s">
        <v>226</v>
      </c>
      <c r="E462" s="10" t="s">
        <v>37</v>
      </c>
      <c r="F462" s="689" t="s">
        <v>63</v>
      </c>
      <c r="G462" s="690" t="s">
        <v>89</v>
      </c>
      <c r="H462" s="690" t="s">
        <v>63</v>
      </c>
      <c r="I462" s="691" t="s">
        <v>411</v>
      </c>
      <c r="J462" s="10"/>
      <c r="K462" s="24">
        <f>K463</f>
        <v>42.1</v>
      </c>
      <c r="L462" s="24">
        <f>L463</f>
        <v>0</v>
      </c>
      <c r="M462" s="24">
        <f>M463</f>
        <v>42.1</v>
      </c>
      <c r="N462" s="24">
        <f>N463</f>
        <v>42.1</v>
      </c>
    </row>
    <row r="463" spans="1:14" s="7" customFormat="1" ht="54" x14ac:dyDescent="0.35">
      <c r="A463" s="11"/>
      <c r="B463" s="503" t="s">
        <v>76</v>
      </c>
      <c r="C463" s="23" t="s">
        <v>312</v>
      </c>
      <c r="D463" s="10" t="s">
        <v>226</v>
      </c>
      <c r="E463" s="10" t="s">
        <v>37</v>
      </c>
      <c r="F463" s="689" t="s">
        <v>63</v>
      </c>
      <c r="G463" s="690" t="s">
        <v>89</v>
      </c>
      <c r="H463" s="690" t="s">
        <v>63</v>
      </c>
      <c r="I463" s="691" t="s">
        <v>411</v>
      </c>
      <c r="J463" s="10" t="s">
        <v>77</v>
      </c>
      <c r="K463" s="24">
        <f>40+2.1</f>
        <v>42.1</v>
      </c>
      <c r="L463" s="24">
        <f>M463-K463</f>
        <v>0</v>
      </c>
      <c r="M463" s="24">
        <f>40+2.1</f>
        <v>42.1</v>
      </c>
      <c r="N463" s="24">
        <f>40+2.1</f>
        <v>42.1</v>
      </c>
    </row>
    <row r="464" spans="1:14" s="7" customFormat="1" ht="36" x14ac:dyDescent="0.35">
      <c r="A464" s="11"/>
      <c r="B464" s="496" t="s">
        <v>319</v>
      </c>
      <c r="C464" s="23" t="s">
        <v>312</v>
      </c>
      <c r="D464" s="10" t="s">
        <v>226</v>
      </c>
      <c r="E464" s="10" t="s">
        <v>52</v>
      </c>
      <c r="F464" s="27"/>
      <c r="G464" s="89"/>
      <c r="H464" s="89"/>
      <c r="I464" s="90"/>
      <c r="J464" s="91"/>
      <c r="K464" s="24">
        <f t="shared" ref="K464:N466" si="75">K465</f>
        <v>11442</v>
      </c>
      <c r="L464" s="24">
        <f t="shared" si="75"/>
        <v>0</v>
      </c>
      <c r="M464" s="24">
        <f t="shared" si="75"/>
        <v>11442</v>
      </c>
      <c r="N464" s="24">
        <f t="shared" si="75"/>
        <v>11446.5</v>
      </c>
    </row>
    <row r="465" spans="1:14" s="7" customFormat="1" ht="54" x14ac:dyDescent="0.35">
      <c r="A465" s="11"/>
      <c r="B465" s="546" t="s">
        <v>213</v>
      </c>
      <c r="C465" s="23" t="s">
        <v>312</v>
      </c>
      <c r="D465" s="10" t="s">
        <v>226</v>
      </c>
      <c r="E465" s="10" t="s">
        <v>52</v>
      </c>
      <c r="F465" s="27" t="s">
        <v>63</v>
      </c>
      <c r="G465" s="89" t="s">
        <v>42</v>
      </c>
      <c r="H465" s="89" t="s">
        <v>43</v>
      </c>
      <c r="I465" s="90" t="s">
        <v>44</v>
      </c>
      <c r="J465" s="91"/>
      <c r="K465" s="24">
        <f t="shared" si="75"/>
        <v>11442</v>
      </c>
      <c r="L465" s="24">
        <f t="shared" si="75"/>
        <v>0</v>
      </c>
      <c r="M465" s="24">
        <f t="shared" si="75"/>
        <v>11442</v>
      </c>
      <c r="N465" s="24">
        <f t="shared" si="75"/>
        <v>11446.5</v>
      </c>
    </row>
    <row r="466" spans="1:14" s="7" customFormat="1" ht="54" x14ac:dyDescent="0.35">
      <c r="A466" s="11"/>
      <c r="B466" s="496" t="s">
        <v>216</v>
      </c>
      <c r="C466" s="23" t="s">
        <v>312</v>
      </c>
      <c r="D466" s="10" t="s">
        <v>226</v>
      </c>
      <c r="E466" s="10" t="s">
        <v>52</v>
      </c>
      <c r="F466" s="689" t="s">
        <v>63</v>
      </c>
      <c r="G466" s="690" t="s">
        <v>30</v>
      </c>
      <c r="H466" s="690" t="s">
        <v>43</v>
      </c>
      <c r="I466" s="691" t="s">
        <v>44</v>
      </c>
      <c r="J466" s="10"/>
      <c r="K466" s="24">
        <f t="shared" si="75"/>
        <v>11442</v>
      </c>
      <c r="L466" s="24">
        <f t="shared" si="75"/>
        <v>0</v>
      </c>
      <c r="M466" s="24">
        <f t="shared" si="75"/>
        <v>11442</v>
      </c>
      <c r="N466" s="24">
        <f t="shared" si="75"/>
        <v>11446.5</v>
      </c>
    </row>
    <row r="467" spans="1:14" s="7" customFormat="1" ht="36" x14ac:dyDescent="0.35">
      <c r="A467" s="11"/>
      <c r="B467" s="496" t="s">
        <v>281</v>
      </c>
      <c r="C467" s="23" t="s">
        <v>312</v>
      </c>
      <c r="D467" s="10" t="s">
        <v>226</v>
      </c>
      <c r="E467" s="10" t="s">
        <v>52</v>
      </c>
      <c r="F467" s="689" t="s">
        <v>63</v>
      </c>
      <c r="G467" s="690" t="s">
        <v>30</v>
      </c>
      <c r="H467" s="690" t="s">
        <v>37</v>
      </c>
      <c r="I467" s="691" t="s">
        <v>44</v>
      </c>
      <c r="J467" s="10"/>
      <c r="K467" s="24">
        <f>K468+K472</f>
        <v>11442</v>
      </c>
      <c r="L467" s="24">
        <f>L468+L472</f>
        <v>0</v>
      </c>
      <c r="M467" s="24">
        <f>M468+M472</f>
        <v>11442</v>
      </c>
      <c r="N467" s="24">
        <f>N468+N472</f>
        <v>11446.5</v>
      </c>
    </row>
    <row r="468" spans="1:14" s="7" customFormat="1" ht="36" x14ac:dyDescent="0.35">
      <c r="A468" s="11"/>
      <c r="B468" s="496" t="s">
        <v>47</v>
      </c>
      <c r="C468" s="23" t="s">
        <v>312</v>
      </c>
      <c r="D468" s="10" t="s">
        <v>226</v>
      </c>
      <c r="E468" s="10" t="s">
        <v>52</v>
      </c>
      <c r="F468" s="689" t="s">
        <v>63</v>
      </c>
      <c r="G468" s="690" t="s">
        <v>30</v>
      </c>
      <c r="H468" s="690" t="s">
        <v>37</v>
      </c>
      <c r="I468" s="691" t="s">
        <v>48</v>
      </c>
      <c r="J468" s="91"/>
      <c r="K468" s="24">
        <f>K469+K470+K471</f>
        <v>3511.3</v>
      </c>
      <c r="L468" s="24">
        <f>L469+L470+L471</f>
        <v>0</v>
      </c>
      <c r="M468" s="24">
        <f>M469+M470+M471</f>
        <v>3511.3</v>
      </c>
      <c r="N468" s="24">
        <f>N469+N470+N471</f>
        <v>3512.3</v>
      </c>
    </row>
    <row r="469" spans="1:14" s="7" customFormat="1" ht="108" x14ac:dyDescent="0.35">
      <c r="A469" s="11"/>
      <c r="B469" s="496" t="s">
        <v>49</v>
      </c>
      <c r="C469" s="23" t="s">
        <v>312</v>
      </c>
      <c r="D469" s="10" t="s">
        <v>226</v>
      </c>
      <c r="E469" s="10" t="s">
        <v>52</v>
      </c>
      <c r="F469" s="689" t="s">
        <v>63</v>
      </c>
      <c r="G469" s="690" t="s">
        <v>30</v>
      </c>
      <c r="H469" s="690" t="s">
        <v>37</v>
      </c>
      <c r="I469" s="691" t="s">
        <v>48</v>
      </c>
      <c r="J469" s="91" t="s">
        <v>50</v>
      </c>
      <c r="K469" s="24">
        <v>3251.8</v>
      </c>
      <c r="L469" s="24">
        <f>M469-K469</f>
        <v>0</v>
      </c>
      <c r="M469" s="24">
        <v>3251.8</v>
      </c>
      <c r="N469" s="24">
        <v>3251.8</v>
      </c>
    </row>
    <row r="470" spans="1:14" s="7" customFormat="1" ht="54" x14ac:dyDescent="0.35">
      <c r="A470" s="11"/>
      <c r="B470" s="496" t="s">
        <v>55</v>
      </c>
      <c r="C470" s="23" t="s">
        <v>312</v>
      </c>
      <c r="D470" s="10" t="s">
        <v>226</v>
      </c>
      <c r="E470" s="10" t="s">
        <v>52</v>
      </c>
      <c r="F470" s="689" t="s">
        <v>63</v>
      </c>
      <c r="G470" s="690" t="s">
        <v>30</v>
      </c>
      <c r="H470" s="690" t="s">
        <v>37</v>
      </c>
      <c r="I470" s="691" t="s">
        <v>48</v>
      </c>
      <c r="J470" s="91" t="s">
        <v>56</v>
      </c>
      <c r="K470" s="24">
        <v>251</v>
      </c>
      <c r="L470" s="24">
        <f>M470-K470</f>
        <v>0</v>
      </c>
      <c r="M470" s="24">
        <v>251</v>
      </c>
      <c r="N470" s="24">
        <v>252</v>
      </c>
    </row>
    <row r="471" spans="1:14" s="7" customFormat="1" ht="18" x14ac:dyDescent="0.35">
      <c r="A471" s="11"/>
      <c r="B471" s="496" t="s">
        <v>57</v>
      </c>
      <c r="C471" s="23" t="s">
        <v>312</v>
      </c>
      <c r="D471" s="10" t="s">
        <v>226</v>
      </c>
      <c r="E471" s="10" t="s">
        <v>52</v>
      </c>
      <c r="F471" s="689" t="s">
        <v>63</v>
      </c>
      <c r="G471" s="690" t="s">
        <v>30</v>
      </c>
      <c r="H471" s="690" t="s">
        <v>37</v>
      </c>
      <c r="I471" s="691" t="s">
        <v>48</v>
      </c>
      <c r="J471" s="10" t="s">
        <v>58</v>
      </c>
      <c r="K471" s="24">
        <v>8.5</v>
      </c>
      <c r="L471" s="24">
        <f>M471-K471</f>
        <v>0</v>
      </c>
      <c r="M471" s="24">
        <v>8.5</v>
      </c>
      <c r="N471" s="24">
        <v>8.5</v>
      </c>
    </row>
    <row r="472" spans="1:14" s="7" customFormat="1" ht="36" x14ac:dyDescent="0.35">
      <c r="A472" s="11"/>
      <c r="B472" s="574" t="s">
        <v>461</v>
      </c>
      <c r="C472" s="23" t="s">
        <v>312</v>
      </c>
      <c r="D472" s="10" t="s">
        <v>226</v>
      </c>
      <c r="E472" s="10" t="s">
        <v>52</v>
      </c>
      <c r="F472" s="689" t="s">
        <v>63</v>
      </c>
      <c r="G472" s="690" t="s">
        <v>30</v>
      </c>
      <c r="H472" s="690" t="s">
        <v>37</v>
      </c>
      <c r="I472" s="691" t="s">
        <v>91</v>
      </c>
      <c r="J472" s="10"/>
      <c r="K472" s="24">
        <f>K473+K474+K475</f>
        <v>7930.7</v>
      </c>
      <c r="L472" s="24">
        <f>L473+L474+L475</f>
        <v>0</v>
      </c>
      <c r="M472" s="24">
        <f>M473+M474+M475</f>
        <v>7930.7</v>
      </c>
      <c r="N472" s="24">
        <f>N473+N474+N475</f>
        <v>7934.2</v>
      </c>
    </row>
    <row r="473" spans="1:14" s="7" customFormat="1" ht="108" x14ac:dyDescent="0.35">
      <c r="A473" s="11"/>
      <c r="B473" s="496" t="s">
        <v>49</v>
      </c>
      <c r="C473" s="143" t="s">
        <v>312</v>
      </c>
      <c r="D473" s="91" t="s">
        <v>226</v>
      </c>
      <c r="E473" s="91" t="s">
        <v>52</v>
      </c>
      <c r="F473" s="689" t="s">
        <v>63</v>
      </c>
      <c r="G473" s="690" t="s">
        <v>30</v>
      </c>
      <c r="H473" s="690" t="s">
        <v>37</v>
      </c>
      <c r="I473" s="691" t="s">
        <v>91</v>
      </c>
      <c r="J473" s="91" t="s">
        <v>50</v>
      </c>
      <c r="K473" s="24">
        <v>7499.9</v>
      </c>
      <c r="L473" s="24">
        <f>M473-K473</f>
        <v>0</v>
      </c>
      <c r="M473" s="24">
        <v>7499.9</v>
      </c>
      <c r="N473" s="24">
        <v>7499.9</v>
      </c>
    </row>
    <row r="474" spans="1:14" s="7" customFormat="1" ht="54" x14ac:dyDescent="0.35">
      <c r="A474" s="11"/>
      <c r="B474" s="496" t="s">
        <v>55</v>
      </c>
      <c r="C474" s="143" t="s">
        <v>312</v>
      </c>
      <c r="D474" s="91" t="s">
        <v>226</v>
      </c>
      <c r="E474" s="91" t="s">
        <v>52</v>
      </c>
      <c r="F474" s="689" t="s">
        <v>63</v>
      </c>
      <c r="G474" s="690" t="s">
        <v>30</v>
      </c>
      <c r="H474" s="690" t="s">
        <v>37</v>
      </c>
      <c r="I474" s="691" t="s">
        <v>91</v>
      </c>
      <c r="J474" s="91" t="s">
        <v>56</v>
      </c>
      <c r="K474" s="24">
        <v>429.2</v>
      </c>
      <c r="L474" s="24">
        <f>M474-K474</f>
        <v>0</v>
      </c>
      <c r="M474" s="24">
        <v>429.2</v>
      </c>
      <c r="N474" s="24">
        <v>432.8</v>
      </c>
    </row>
    <row r="475" spans="1:14" s="7" customFormat="1" ht="18" x14ac:dyDescent="0.35">
      <c r="A475" s="11"/>
      <c r="B475" s="496" t="s">
        <v>57</v>
      </c>
      <c r="C475" s="143" t="s">
        <v>312</v>
      </c>
      <c r="D475" s="91" t="s">
        <v>226</v>
      </c>
      <c r="E475" s="91" t="s">
        <v>52</v>
      </c>
      <c r="F475" s="689" t="s">
        <v>63</v>
      </c>
      <c r="G475" s="690" t="s">
        <v>30</v>
      </c>
      <c r="H475" s="690" t="s">
        <v>37</v>
      </c>
      <c r="I475" s="691" t="s">
        <v>91</v>
      </c>
      <c r="J475" s="10" t="s">
        <v>58</v>
      </c>
      <c r="K475" s="24">
        <v>1.6</v>
      </c>
      <c r="L475" s="24">
        <f>M475-K475</f>
        <v>0</v>
      </c>
      <c r="M475" s="24">
        <v>1.6</v>
      </c>
      <c r="N475" s="24">
        <v>1.5</v>
      </c>
    </row>
    <row r="476" spans="1:14" s="116" customFormat="1" ht="18" x14ac:dyDescent="0.35">
      <c r="A476" s="11"/>
      <c r="B476" s="496"/>
      <c r="C476" s="143"/>
      <c r="D476" s="91"/>
      <c r="E476" s="91"/>
      <c r="F476" s="689"/>
      <c r="G476" s="690"/>
      <c r="H476" s="690"/>
      <c r="I476" s="691"/>
      <c r="J476" s="10"/>
      <c r="K476" s="24"/>
      <c r="L476" s="24"/>
      <c r="M476" s="24"/>
      <c r="N476" s="24"/>
    </row>
    <row r="477" spans="1:14" s="111" customFormat="1" ht="52.2" x14ac:dyDescent="0.3">
      <c r="A477" s="110">
        <v>7</v>
      </c>
      <c r="B477" s="543" t="s">
        <v>10</v>
      </c>
      <c r="C477" s="18" t="s">
        <v>289</v>
      </c>
      <c r="D477" s="19"/>
      <c r="E477" s="19"/>
      <c r="F477" s="20"/>
      <c r="G477" s="21"/>
      <c r="H477" s="21"/>
      <c r="I477" s="22"/>
      <c r="J477" s="19"/>
      <c r="K477" s="32">
        <f>K478+K485</f>
        <v>68129.999999999985</v>
      </c>
      <c r="L477" s="32">
        <f>L478+L485</f>
        <v>0</v>
      </c>
      <c r="M477" s="32">
        <f>M478+M485</f>
        <v>68129.999999999985</v>
      </c>
      <c r="N477" s="32">
        <f>N478+N485</f>
        <v>38662.9</v>
      </c>
    </row>
    <row r="478" spans="1:14" s="111" customFormat="1" ht="18" x14ac:dyDescent="0.35">
      <c r="A478" s="110"/>
      <c r="B478" s="493" t="s">
        <v>36</v>
      </c>
      <c r="C478" s="214" t="s">
        <v>289</v>
      </c>
      <c r="D478" s="28" t="s">
        <v>37</v>
      </c>
      <c r="E478" s="28"/>
      <c r="F478" s="206"/>
      <c r="G478" s="207"/>
      <c r="H478" s="207"/>
      <c r="I478" s="208"/>
      <c r="J478" s="28"/>
      <c r="K478" s="209">
        <f t="shared" ref="K478:M482" si="76">K479</f>
        <v>38.4</v>
      </c>
      <c r="L478" s="209">
        <f>L479</f>
        <v>0</v>
      </c>
      <c r="M478" s="209">
        <f t="shared" si="76"/>
        <v>38.4</v>
      </c>
      <c r="N478" s="209">
        <f t="shared" ref="N478:N483" si="77">N479</f>
        <v>38.4</v>
      </c>
    </row>
    <row r="479" spans="1:14" s="111" customFormat="1" ht="18" x14ac:dyDescent="0.35">
      <c r="A479" s="110"/>
      <c r="B479" s="493" t="s">
        <v>70</v>
      </c>
      <c r="C479" s="214" t="s">
        <v>289</v>
      </c>
      <c r="D479" s="28" t="s">
        <v>37</v>
      </c>
      <c r="E479" s="28" t="s">
        <v>71</v>
      </c>
      <c r="F479" s="206"/>
      <c r="G479" s="207"/>
      <c r="H479" s="207"/>
      <c r="I479" s="208"/>
      <c r="J479" s="28"/>
      <c r="K479" s="209">
        <f t="shared" si="76"/>
        <v>38.4</v>
      </c>
      <c r="L479" s="209">
        <f t="shared" si="76"/>
        <v>0</v>
      </c>
      <c r="M479" s="209">
        <f t="shared" si="76"/>
        <v>38.4</v>
      </c>
      <c r="N479" s="209">
        <f t="shared" si="77"/>
        <v>38.4</v>
      </c>
    </row>
    <row r="480" spans="1:14" s="111" customFormat="1" ht="54" x14ac:dyDescent="0.35">
      <c r="A480" s="110"/>
      <c r="B480" s="493" t="s">
        <v>217</v>
      </c>
      <c r="C480" s="214" t="s">
        <v>289</v>
      </c>
      <c r="D480" s="28" t="s">
        <v>37</v>
      </c>
      <c r="E480" s="28" t="s">
        <v>71</v>
      </c>
      <c r="F480" s="206" t="s">
        <v>52</v>
      </c>
      <c r="G480" s="207" t="s">
        <v>42</v>
      </c>
      <c r="H480" s="207" t="s">
        <v>43</v>
      </c>
      <c r="I480" s="208" t="s">
        <v>44</v>
      </c>
      <c r="J480" s="28"/>
      <c r="K480" s="209">
        <f t="shared" si="76"/>
        <v>38.4</v>
      </c>
      <c r="L480" s="209">
        <f t="shared" si="76"/>
        <v>0</v>
      </c>
      <c r="M480" s="209">
        <f t="shared" si="76"/>
        <v>38.4</v>
      </c>
      <c r="N480" s="209">
        <f t="shared" si="77"/>
        <v>38.4</v>
      </c>
    </row>
    <row r="481" spans="1:14" s="111" customFormat="1" ht="36" x14ac:dyDescent="0.35">
      <c r="A481" s="110"/>
      <c r="B481" s="493" t="s">
        <v>220</v>
      </c>
      <c r="C481" s="214" t="s">
        <v>289</v>
      </c>
      <c r="D481" s="28" t="s">
        <v>37</v>
      </c>
      <c r="E481" s="28" t="s">
        <v>71</v>
      </c>
      <c r="F481" s="206" t="s">
        <v>52</v>
      </c>
      <c r="G481" s="207" t="s">
        <v>89</v>
      </c>
      <c r="H481" s="207" t="s">
        <v>43</v>
      </c>
      <c r="I481" s="208" t="s">
        <v>44</v>
      </c>
      <c r="J481" s="28"/>
      <c r="K481" s="209">
        <f t="shared" si="76"/>
        <v>38.4</v>
      </c>
      <c r="L481" s="209">
        <f t="shared" si="76"/>
        <v>0</v>
      </c>
      <c r="M481" s="209">
        <f t="shared" si="76"/>
        <v>38.4</v>
      </c>
      <c r="N481" s="209">
        <f t="shared" si="77"/>
        <v>38.4</v>
      </c>
    </row>
    <row r="482" spans="1:14" s="111" customFormat="1" ht="36" x14ac:dyDescent="0.35">
      <c r="A482" s="110"/>
      <c r="B482" s="493" t="s">
        <v>349</v>
      </c>
      <c r="C482" s="214" t="s">
        <v>289</v>
      </c>
      <c r="D482" s="28" t="s">
        <v>37</v>
      </c>
      <c r="E482" s="28" t="s">
        <v>71</v>
      </c>
      <c r="F482" s="206" t="s">
        <v>52</v>
      </c>
      <c r="G482" s="207" t="s">
        <v>89</v>
      </c>
      <c r="H482" s="207" t="s">
        <v>63</v>
      </c>
      <c r="I482" s="208" t="s">
        <v>44</v>
      </c>
      <c r="J482" s="28"/>
      <c r="K482" s="209">
        <f t="shared" si="76"/>
        <v>38.4</v>
      </c>
      <c r="L482" s="209">
        <f t="shared" si="76"/>
        <v>0</v>
      </c>
      <c r="M482" s="209">
        <f t="shared" si="76"/>
        <v>38.4</v>
      </c>
      <c r="N482" s="209">
        <f t="shared" si="77"/>
        <v>38.4</v>
      </c>
    </row>
    <row r="483" spans="1:14" s="111" customFormat="1" ht="54" x14ac:dyDescent="0.35">
      <c r="A483" s="110"/>
      <c r="B483" s="493" t="s">
        <v>350</v>
      </c>
      <c r="C483" s="214" t="s">
        <v>289</v>
      </c>
      <c r="D483" s="28" t="s">
        <v>37</v>
      </c>
      <c r="E483" s="28" t="s">
        <v>71</v>
      </c>
      <c r="F483" s="206" t="s">
        <v>52</v>
      </c>
      <c r="G483" s="207" t="s">
        <v>89</v>
      </c>
      <c r="H483" s="207" t="s">
        <v>63</v>
      </c>
      <c r="I483" s="208" t="s">
        <v>105</v>
      </c>
      <c r="J483" s="28"/>
      <c r="K483" s="209">
        <f>K484</f>
        <v>38.4</v>
      </c>
      <c r="L483" s="209">
        <f>L484</f>
        <v>0</v>
      </c>
      <c r="M483" s="209">
        <f>M484</f>
        <v>38.4</v>
      </c>
      <c r="N483" s="209">
        <f t="shared" si="77"/>
        <v>38.4</v>
      </c>
    </row>
    <row r="484" spans="1:14" s="7" customFormat="1" ht="54" x14ac:dyDescent="0.35">
      <c r="A484" s="11"/>
      <c r="B484" s="532" t="s">
        <v>55</v>
      </c>
      <c r="C484" s="214" t="s">
        <v>289</v>
      </c>
      <c r="D484" s="28" t="s">
        <v>37</v>
      </c>
      <c r="E484" s="28" t="s">
        <v>71</v>
      </c>
      <c r="F484" s="206" t="s">
        <v>52</v>
      </c>
      <c r="G484" s="207" t="s">
        <v>89</v>
      </c>
      <c r="H484" s="207" t="s">
        <v>63</v>
      </c>
      <c r="I484" s="208" t="s">
        <v>105</v>
      </c>
      <c r="J484" s="28" t="s">
        <v>56</v>
      </c>
      <c r="K484" s="209">
        <v>38.4</v>
      </c>
      <c r="L484" s="24">
        <f>M484-K484</f>
        <v>0</v>
      </c>
      <c r="M484" s="209">
        <v>38.4</v>
      </c>
      <c r="N484" s="24">
        <v>38.4</v>
      </c>
    </row>
    <row r="485" spans="1:14" s="7" customFormat="1" ht="18" x14ac:dyDescent="0.35">
      <c r="A485" s="11"/>
      <c r="B485" s="532" t="s">
        <v>320</v>
      </c>
      <c r="C485" s="214" t="s">
        <v>289</v>
      </c>
      <c r="D485" s="28" t="s">
        <v>67</v>
      </c>
      <c r="E485" s="28"/>
      <c r="F485" s="206"/>
      <c r="G485" s="207"/>
      <c r="H485" s="207"/>
      <c r="I485" s="208"/>
      <c r="J485" s="28"/>
      <c r="K485" s="209">
        <f>K486+K496+K524+K506</f>
        <v>68091.599999999991</v>
      </c>
      <c r="L485" s="209">
        <f>L486+L496+L524+L506</f>
        <v>0</v>
      </c>
      <c r="M485" s="209">
        <f>M486+M496+M524+M506</f>
        <v>68091.599999999991</v>
      </c>
      <c r="N485" s="209">
        <f>N486+N496+N524+N506</f>
        <v>38624.5</v>
      </c>
    </row>
    <row r="486" spans="1:14" s="111" customFormat="1" ht="18" x14ac:dyDescent="0.35">
      <c r="A486" s="11"/>
      <c r="B486" s="546" t="s">
        <v>358</v>
      </c>
      <c r="C486" s="23" t="s">
        <v>289</v>
      </c>
      <c r="D486" s="10" t="s">
        <v>67</v>
      </c>
      <c r="E486" s="10" t="s">
        <v>37</v>
      </c>
      <c r="F486" s="689"/>
      <c r="G486" s="690"/>
      <c r="H486" s="690"/>
      <c r="I486" s="691"/>
      <c r="J486" s="10"/>
      <c r="K486" s="24">
        <f>K487</f>
        <v>3606.9000000000005</v>
      </c>
      <c r="L486" s="24">
        <f>L487</f>
        <v>0</v>
      </c>
      <c r="M486" s="24">
        <f>M487</f>
        <v>3606.9000000000005</v>
      </c>
      <c r="N486" s="24">
        <f>N487</f>
        <v>3622.8</v>
      </c>
    </row>
    <row r="487" spans="1:14" s="111" customFormat="1" ht="54" x14ac:dyDescent="0.35">
      <c r="A487" s="11"/>
      <c r="B487" s="496" t="s">
        <v>217</v>
      </c>
      <c r="C487" s="23" t="s">
        <v>289</v>
      </c>
      <c r="D487" s="10" t="s">
        <v>67</v>
      </c>
      <c r="E487" s="10" t="s">
        <v>37</v>
      </c>
      <c r="F487" s="689" t="s">
        <v>52</v>
      </c>
      <c r="G487" s="690" t="s">
        <v>42</v>
      </c>
      <c r="H487" s="690" t="s">
        <v>43</v>
      </c>
      <c r="I487" s="691" t="s">
        <v>44</v>
      </c>
      <c r="J487" s="10"/>
      <c r="K487" s="24">
        <f t="shared" ref="K487:N488" si="78">K488</f>
        <v>3606.9000000000005</v>
      </c>
      <c r="L487" s="24">
        <f t="shared" si="78"/>
        <v>0</v>
      </c>
      <c r="M487" s="24">
        <f t="shared" si="78"/>
        <v>3606.9000000000005</v>
      </c>
      <c r="N487" s="24">
        <f t="shared" si="78"/>
        <v>3622.8</v>
      </c>
    </row>
    <row r="488" spans="1:14" s="7" customFormat="1" ht="36" x14ac:dyDescent="0.35">
      <c r="A488" s="11"/>
      <c r="B488" s="496" t="s">
        <v>220</v>
      </c>
      <c r="C488" s="23" t="s">
        <v>289</v>
      </c>
      <c r="D488" s="10" t="s">
        <v>67</v>
      </c>
      <c r="E488" s="10" t="s">
        <v>37</v>
      </c>
      <c r="F488" s="689" t="s">
        <v>52</v>
      </c>
      <c r="G488" s="690" t="s">
        <v>89</v>
      </c>
      <c r="H488" s="690" t="s">
        <v>43</v>
      </c>
      <c r="I488" s="691" t="s">
        <v>44</v>
      </c>
      <c r="J488" s="10"/>
      <c r="K488" s="24">
        <f t="shared" si="78"/>
        <v>3606.9000000000005</v>
      </c>
      <c r="L488" s="24">
        <f t="shared" si="78"/>
        <v>0</v>
      </c>
      <c r="M488" s="24">
        <f t="shared" si="78"/>
        <v>3606.9000000000005</v>
      </c>
      <c r="N488" s="24">
        <f t="shared" si="78"/>
        <v>3622.8</v>
      </c>
    </row>
    <row r="489" spans="1:14" s="111" customFormat="1" ht="36" x14ac:dyDescent="0.35">
      <c r="A489" s="11"/>
      <c r="B489" s="496" t="s">
        <v>556</v>
      </c>
      <c r="C489" s="23" t="s">
        <v>289</v>
      </c>
      <c r="D489" s="10" t="s">
        <v>67</v>
      </c>
      <c r="E489" s="10" t="s">
        <v>37</v>
      </c>
      <c r="F489" s="689" t="s">
        <v>52</v>
      </c>
      <c r="G489" s="690" t="s">
        <v>89</v>
      </c>
      <c r="H489" s="690" t="s">
        <v>52</v>
      </c>
      <c r="I489" s="691" t="s">
        <v>44</v>
      </c>
      <c r="J489" s="10"/>
      <c r="K489" s="24">
        <f>K490+K494</f>
        <v>3606.9000000000005</v>
      </c>
      <c r="L489" s="24">
        <f>L490+L494</f>
        <v>0</v>
      </c>
      <c r="M489" s="24">
        <f>M490+M494</f>
        <v>3606.9000000000005</v>
      </c>
      <c r="N489" s="24">
        <f>N490+N494</f>
        <v>3622.8</v>
      </c>
    </row>
    <row r="490" spans="1:14" s="111" customFormat="1" ht="36" x14ac:dyDescent="0.35">
      <c r="A490" s="11"/>
      <c r="B490" s="496" t="s">
        <v>461</v>
      </c>
      <c r="C490" s="23" t="s">
        <v>289</v>
      </c>
      <c r="D490" s="10" t="s">
        <v>67</v>
      </c>
      <c r="E490" s="10" t="s">
        <v>37</v>
      </c>
      <c r="F490" s="689" t="s">
        <v>52</v>
      </c>
      <c r="G490" s="690" t="s">
        <v>89</v>
      </c>
      <c r="H490" s="690" t="s">
        <v>52</v>
      </c>
      <c r="I490" s="691" t="s">
        <v>91</v>
      </c>
      <c r="J490" s="10"/>
      <c r="K490" s="24">
        <f>SUM(K491:K493)</f>
        <v>2687.1000000000004</v>
      </c>
      <c r="L490" s="24">
        <f>SUM(L491:L493)</f>
        <v>0</v>
      </c>
      <c r="M490" s="24">
        <f>SUM(M491:M493)</f>
        <v>2687.1000000000004</v>
      </c>
      <c r="N490" s="24">
        <f>SUM(N491:N493)</f>
        <v>2703</v>
      </c>
    </row>
    <row r="491" spans="1:14" s="111" customFormat="1" ht="108" x14ac:dyDescent="0.35">
      <c r="A491" s="11"/>
      <c r="B491" s="496" t="s">
        <v>49</v>
      </c>
      <c r="C491" s="23" t="s">
        <v>289</v>
      </c>
      <c r="D491" s="10" t="s">
        <v>67</v>
      </c>
      <c r="E491" s="10" t="s">
        <v>37</v>
      </c>
      <c r="F491" s="689" t="s">
        <v>52</v>
      </c>
      <c r="G491" s="690" t="s">
        <v>89</v>
      </c>
      <c r="H491" s="690" t="s">
        <v>52</v>
      </c>
      <c r="I491" s="691" t="s">
        <v>91</v>
      </c>
      <c r="J491" s="10" t="s">
        <v>50</v>
      </c>
      <c r="K491" s="24">
        <v>2045</v>
      </c>
      <c r="L491" s="24">
        <f>M491-K491</f>
        <v>0</v>
      </c>
      <c r="M491" s="24">
        <v>2045</v>
      </c>
      <c r="N491" s="253">
        <v>2045</v>
      </c>
    </row>
    <row r="492" spans="1:14" s="111" customFormat="1" ht="54" x14ac:dyDescent="0.35">
      <c r="A492" s="11"/>
      <c r="B492" s="496" t="s">
        <v>55</v>
      </c>
      <c r="C492" s="23" t="s">
        <v>289</v>
      </c>
      <c r="D492" s="10" t="s">
        <v>67</v>
      </c>
      <c r="E492" s="10" t="s">
        <v>37</v>
      </c>
      <c r="F492" s="689" t="s">
        <v>52</v>
      </c>
      <c r="G492" s="690" t="s">
        <v>89</v>
      </c>
      <c r="H492" s="690" t="s">
        <v>52</v>
      </c>
      <c r="I492" s="691" t="s">
        <v>91</v>
      </c>
      <c r="J492" s="10" t="s">
        <v>56</v>
      </c>
      <c r="K492" s="24">
        <v>634.29999999999995</v>
      </c>
      <c r="L492" s="24">
        <f>M492-K492</f>
        <v>0</v>
      </c>
      <c r="M492" s="24">
        <v>634.29999999999995</v>
      </c>
      <c r="N492" s="253">
        <v>651</v>
      </c>
    </row>
    <row r="493" spans="1:14" s="111" customFormat="1" ht="18" x14ac:dyDescent="0.35">
      <c r="A493" s="11"/>
      <c r="B493" s="496" t="s">
        <v>57</v>
      </c>
      <c r="C493" s="23" t="s">
        <v>289</v>
      </c>
      <c r="D493" s="10" t="s">
        <v>67</v>
      </c>
      <c r="E493" s="10" t="s">
        <v>37</v>
      </c>
      <c r="F493" s="689" t="s">
        <v>52</v>
      </c>
      <c r="G493" s="690" t="s">
        <v>89</v>
      </c>
      <c r="H493" s="690" t="s">
        <v>52</v>
      </c>
      <c r="I493" s="691" t="s">
        <v>91</v>
      </c>
      <c r="J493" s="10" t="s">
        <v>58</v>
      </c>
      <c r="K493" s="24">
        <v>7.8</v>
      </c>
      <c r="L493" s="24">
        <f>M493-K493</f>
        <v>0</v>
      </c>
      <c r="M493" s="24">
        <v>7.8</v>
      </c>
      <c r="N493" s="253">
        <v>7</v>
      </c>
    </row>
    <row r="494" spans="1:14" s="111" customFormat="1" ht="54" x14ac:dyDescent="0.35">
      <c r="A494" s="11"/>
      <c r="B494" s="496" t="s">
        <v>219</v>
      </c>
      <c r="C494" s="23" t="s">
        <v>289</v>
      </c>
      <c r="D494" s="10" t="s">
        <v>67</v>
      </c>
      <c r="E494" s="10" t="s">
        <v>37</v>
      </c>
      <c r="F494" s="689" t="s">
        <v>52</v>
      </c>
      <c r="G494" s="690" t="s">
        <v>89</v>
      </c>
      <c r="H494" s="690" t="s">
        <v>52</v>
      </c>
      <c r="I494" s="691" t="s">
        <v>291</v>
      </c>
      <c r="J494" s="10"/>
      <c r="K494" s="24">
        <f>K495</f>
        <v>919.8</v>
      </c>
      <c r="L494" s="24">
        <f>L495</f>
        <v>0</v>
      </c>
      <c r="M494" s="24">
        <f>M495</f>
        <v>919.8</v>
      </c>
      <c r="N494" s="253">
        <f>N495</f>
        <v>919.8</v>
      </c>
    </row>
    <row r="495" spans="1:14" s="111" customFormat="1" ht="54" x14ac:dyDescent="0.35">
      <c r="A495" s="11"/>
      <c r="B495" s="496" t="s">
        <v>55</v>
      </c>
      <c r="C495" s="23" t="s">
        <v>289</v>
      </c>
      <c r="D495" s="10" t="s">
        <v>67</v>
      </c>
      <c r="E495" s="10" t="s">
        <v>37</v>
      </c>
      <c r="F495" s="689" t="s">
        <v>52</v>
      </c>
      <c r="G495" s="690" t="s">
        <v>89</v>
      </c>
      <c r="H495" s="690" t="s">
        <v>52</v>
      </c>
      <c r="I495" s="691" t="s">
        <v>291</v>
      </c>
      <c r="J495" s="10" t="s">
        <v>56</v>
      </c>
      <c r="K495" s="24">
        <v>919.8</v>
      </c>
      <c r="L495" s="24">
        <f>M495-K495</f>
        <v>0</v>
      </c>
      <c r="M495" s="24">
        <v>919.8</v>
      </c>
      <c r="N495" s="253">
        <v>919.8</v>
      </c>
    </row>
    <row r="496" spans="1:14" s="111" customFormat="1" ht="18" x14ac:dyDescent="0.35">
      <c r="A496" s="11"/>
      <c r="B496" s="496" t="s">
        <v>197</v>
      </c>
      <c r="C496" s="23" t="s">
        <v>289</v>
      </c>
      <c r="D496" s="10" t="s">
        <v>67</v>
      </c>
      <c r="E496" s="10" t="s">
        <v>39</v>
      </c>
      <c r="F496" s="689"/>
      <c r="G496" s="690"/>
      <c r="H496" s="690"/>
      <c r="I496" s="691"/>
      <c r="J496" s="10"/>
      <c r="K496" s="24">
        <f>K497</f>
        <v>30481.200000000001</v>
      </c>
      <c r="L496" s="24">
        <f>L497</f>
        <v>0</v>
      </c>
      <c r="M496" s="24">
        <f>M497</f>
        <v>30481.200000000001</v>
      </c>
      <c r="N496" s="253">
        <f>N497</f>
        <v>629.70000000000005</v>
      </c>
    </row>
    <row r="497" spans="1:14" s="111" customFormat="1" ht="54" x14ac:dyDescent="0.35">
      <c r="A497" s="11"/>
      <c r="B497" s="496" t="s">
        <v>217</v>
      </c>
      <c r="C497" s="23" t="s">
        <v>289</v>
      </c>
      <c r="D497" s="10" t="s">
        <v>67</v>
      </c>
      <c r="E497" s="10" t="s">
        <v>39</v>
      </c>
      <c r="F497" s="689" t="s">
        <v>52</v>
      </c>
      <c r="G497" s="690" t="s">
        <v>42</v>
      </c>
      <c r="H497" s="690" t="s">
        <v>43</v>
      </c>
      <c r="I497" s="691" t="s">
        <v>44</v>
      </c>
      <c r="J497" s="10"/>
      <c r="K497" s="24">
        <f>K498+K502</f>
        <v>30481.200000000001</v>
      </c>
      <c r="L497" s="24">
        <f>L498+L502</f>
        <v>0</v>
      </c>
      <c r="M497" s="24">
        <f>M498+M502</f>
        <v>30481.200000000001</v>
      </c>
      <c r="N497" s="24">
        <f t="shared" ref="N497" si="79">N498+N502</f>
        <v>629.70000000000005</v>
      </c>
    </row>
    <row r="498" spans="1:14" s="111" customFormat="1" ht="36" x14ac:dyDescent="0.35">
      <c r="A498" s="11"/>
      <c r="B498" s="546" t="s">
        <v>218</v>
      </c>
      <c r="C498" s="23" t="s">
        <v>289</v>
      </c>
      <c r="D498" s="10" t="s">
        <v>67</v>
      </c>
      <c r="E498" s="10" t="s">
        <v>39</v>
      </c>
      <c r="F498" s="689" t="s">
        <v>52</v>
      </c>
      <c r="G498" s="690" t="s">
        <v>45</v>
      </c>
      <c r="H498" s="690" t="s">
        <v>43</v>
      </c>
      <c r="I498" s="691" t="s">
        <v>44</v>
      </c>
      <c r="J498" s="10"/>
      <c r="K498" s="24">
        <f t="shared" ref="K498:N500" si="80">K499</f>
        <v>629.70000000000005</v>
      </c>
      <c r="L498" s="24">
        <f t="shared" si="80"/>
        <v>0</v>
      </c>
      <c r="M498" s="24">
        <f t="shared" si="80"/>
        <v>629.70000000000005</v>
      </c>
      <c r="N498" s="24">
        <f t="shared" si="80"/>
        <v>629.70000000000005</v>
      </c>
    </row>
    <row r="499" spans="1:14" s="111" customFormat="1" ht="54" x14ac:dyDescent="0.35">
      <c r="A499" s="11"/>
      <c r="B499" s="496" t="s">
        <v>290</v>
      </c>
      <c r="C499" s="23" t="s">
        <v>289</v>
      </c>
      <c r="D499" s="10" t="s">
        <v>67</v>
      </c>
      <c r="E499" s="10" t="s">
        <v>39</v>
      </c>
      <c r="F499" s="689" t="s">
        <v>52</v>
      </c>
      <c r="G499" s="690" t="s">
        <v>45</v>
      </c>
      <c r="H499" s="690" t="s">
        <v>39</v>
      </c>
      <c r="I499" s="691" t="s">
        <v>44</v>
      </c>
      <c r="J499" s="10"/>
      <c r="K499" s="24">
        <f t="shared" si="80"/>
        <v>629.70000000000005</v>
      </c>
      <c r="L499" s="24">
        <f t="shared" si="80"/>
        <v>0</v>
      </c>
      <c r="M499" s="24">
        <f t="shared" si="80"/>
        <v>629.70000000000005</v>
      </c>
      <c r="N499" s="24">
        <f t="shared" si="80"/>
        <v>629.70000000000005</v>
      </c>
    </row>
    <row r="500" spans="1:14" s="111" customFormat="1" ht="54" x14ac:dyDescent="0.35">
      <c r="A500" s="11"/>
      <c r="B500" s="496" t="s">
        <v>219</v>
      </c>
      <c r="C500" s="23" t="s">
        <v>289</v>
      </c>
      <c r="D500" s="10" t="s">
        <v>67</v>
      </c>
      <c r="E500" s="10" t="s">
        <v>39</v>
      </c>
      <c r="F500" s="689" t="s">
        <v>52</v>
      </c>
      <c r="G500" s="690" t="s">
        <v>45</v>
      </c>
      <c r="H500" s="690" t="s">
        <v>39</v>
      </c>
      <c r="I500" s="691" t="s">
        <v>291</v>
      </c>
      <c r="J500" s="10"/>
      <c r="K500" s="24">
        <f t="shared" si="80"/>
        <v>629.70000000000005</v>
      </c>
      <c r="L500" s="24">
        <f t="shared" si="80"/>
        <v>0</v>
      </c>
      <c r="M500" s="24">
        <f t="shared" si="80"/>
        <v>629.70000000000005</v>
      </c>
      <c r="N500" s="24">
        <f t="shared" si="80"/>
        <v>629.70000000000005</v>
      </c>
    </row>
    <row r="501" spans="1:14" s="111" customFormat="1" ht="54" x14ac:dyDescent="0.35">
      <c r="A501" s="11"/>
      <c r="B501" s="496" t="s">
        <v>55</v>
      </c>
      <c r="C501" s="23" t="s">
        <v>289</v>
      </c>
      <c r="D501" s="10" t="s">
        <v>67</v>
      </c>
      <c r="E501" s="10" t="s">
        <v>39</v>
      </c>
      <c r="F501" s="689" t="s">
        <v>52</v>
      </c>
      <c r="G501" s="690" t="s">
        <v>45</v>
      </c>
      <c r="H501" s="690" t="s">
        <v>39</v>
      </c>
      <c r="I501" s="691" t="s">
        <v>291</v>
      </c>
      <c r="J501" s="10" t="s">
        <v>56</v>
      </c>
      <c r="K501" s="24">
        <v>629.70000000000005</v>
      </c>
      <c r="L501" s="24">
        <f>M501-K501</f>
        <v>0</v>
      </c>
      <c r="M501" s="24">
        <v>629.70000000000005</v>
      </c>
      <c r="N501" s="485">
        <v>629.70000000000005</v>
      </c>
    </row>
    <row r="502" spans="1:14" s="111" customFormat="1" ht="36" x14ac:dyDescent="0.35">
      <c r="A502" s="11"/>
      <c r="B502" s="496" t="s">
        <v>220</v>
      </c>
      <c r="C502" s="23" t="s">
        <v>289</v>
      </c>
      <c r="D502" s="10" t="s">
        <v>67</v>
      </c>
      <c r="E502" s="10" t="s">
        <v>39</v>
      </c>
      <c r="F502" s="689" t="s">
        <v>52</v>
      </c>
      <c r="G502" s="690" t="s">
        <v>89</v>
      </c>
      <c r="H502" s="690" t="s">
        <v>43</v>
      </c>
      <c r="I502" s="691" t="s">
        <v>44</v>
      </c>
      <c r="J502" s="10"/>
      <c r="K502" s="24">
        <f t="shared" ref="K502:N504" si="81">K503</f>
        <v>29851.5</v>
      </c>
      <c r="L502" s="24">
        <f t="shared" si="81"/>
        <v>0</v>
      </c>
      <c r="M502" s="24">
        <f t="shared" si="81"/>
        <v>29851.5</v>
      </c>
      <c r="N502" s="485">
        <f t="shared" si="81"/>
        <v>0</v>
      </c>
    </row>
    <row r="503" spans="1:14" s="111" customFormat="1" ht="18" x14ac:dyDescent="0.35">
      <c r="A503" s="11"/>
      <c r="B503" s="496" t="s">
        <v>359</v>
      </c>
      <c r="C503" s="23" t="s">
        <v>289</v>
      </c>
      <c r="D503" s="10" t="s">
        <v>67</v>
      </c>
      <c r="E503" s="10" t="s">
        <v>39</v>
      </c>
      <c r="F503" s="689" t="s">
        <v>52</v>
      </c>
      <c r="G503" s="690" t="s">
        <v>89</v>
      </c>
      <c r="H503" s="690" t="s">
        <v>39</v>
      </c>
      <c r="I503" s="691" t="s">
        <v>44</v>
      </c>
      <c r="J503" s="10"/>
      <c r="K503" s="24">
        <f t="shared" si="81"/>
        <v>29851.5</v>
      </c>
      <c r="L503" s="24">
        <f t="shared" si="81"/>
        <v>0</v>
      </c>
      <c r="M503" s="24">
        <f t="shared" si="81"/>
        <v>29851.5</v>
      </c>
      <c r="N503" s="485">
        <f t="shared" si="81"/>
        <v>0</v>
      </c>
    </row>
    <row r="504" spans="1:14" s="111" customFormat="1" ht="90" x14ac:dyDescent="0.35">
      <c r="A504" s="11"/>
      <c r="B504" s="496" t="s">
        <v>723</v>
      </c>
      <c r="C504" s="23" t="s">
        <v>289</v>
      </c>
      <c r="D504" s="10" t="s">
        <v>67</v>
      </c>
      <c r="E504" s="10" t="s">
        <v>39</v>
      </c>
      <c r="F504" s="689" t="s">
        <v>52</v>
      </c>
      <c r="G504" s="690" t="s">
        <v>89</v>
      </c>
      <c r="H504" s="690" t="s">
        <v>39</v>
      </c>
      <c r="I504" s="691" t="s">
        <v>722</v>
      </c>
      <c r="J504" s="10"/>
      <c r="K504" s="24">
        <f t="shared" si="81"/>
        <v>29851.5</v>
      </c>
      <c r="L504" s="24">
        <f t="shared" si="81"/>
        <v>0</v>
      </c>
      <c r="M504" s="24">
        <f t="shared" si="81"/>
        <v>29851.5</v>
      </c>
      <c r="N504" s="485">
        <f t="shared" si="81"/>
        <v>0</v>
      </c>
    </row>
    <row r="505" spans="1:14" s="111" customFormat="1" ht="54" x14ac:dyDescent="0.35">
      <c r="A505" s="11"/>
      <c r="B505" s="496" t="s">
        <v>55</v>
      </c>
      <c r="C505" s="23" t="s">
        <v>289</v>
      </c>
      <c r="D505" s="10" t="s">
        <v>67</v>
      </c>
      <c r="E505" s="10" t="s">
        <v>39</v>
      </c>
      <c r="F505" s="689" t="s">
        <v>52</v>
      </c>
      <c r="G505" s="690" t="s">
        <v>89</v>
      </c>
      <c r="H505" s="690" t="s">
        <v>39</v>
      </c>
      <c r="I505" s="691" t="s">
        <v>722</v>
      </c>
      <c r="J505" s="10" t="s">
        <v>56</v>
      </c>
      <c r="K505" s="24">
        <v>29851.5</v>
      </c>
      <c r="L505" s="24">
        <f>M505-K505</f>
        <v>0</v>
      </c>
      <c r="M505" s="24">
        <v>29851.5</v>
      </c>
      <c r="N505" s="485">
        <v>0</v>
      </c>
    </row>
    <row r="506" spans="1:14" s="111" customFormat="1" ht="18" x14ac:dyDescent="0.35">
      <c r="A506" s="11"/>
      <c r="B506" s="496" t="s">
        <v>692</v>
      </c>
      <c r="C506" s="23" t="s">
        <v>289</v>
      </c>
      <c r="D506" s="10" t="s">
        <v>67</v>
      </c>
      <c r="E506" s="10" t="s">
        <v>63</v>
      </c>
      <c r="F506" s="689"/>
      <c r="G506" s="690"/>
      <c r="H506" s="690"/>
      <c r="I506" s="691"/>
      <c r="J506" s="10"/>
      <c r="K506" s="24">
        <f>K507</f>
        <v>30944.799999999999</v>
      </c>
      <c r="L506" s="24">
        <f>L507</f>
        <v>0</v>
      </c>
      <c r="M506" s="24">
        <f>M507</f>
        <v>30944.799999999999</v>
      </c>
      <c r="N506" s="24">
        <f>N507</f>
        <v>31312.2</v>
      </c>
    </row>
    <row r="507" spans="1:14" s="111" customFormat="1" ht="54" x14ac:dyDescent="0.35">
      <c r="A507" s="11"/>
      <c r="B507" s="496" t="s">
        <v>217</v>
      </c>
      <c r="C507" s="23" t="s">
        <v>289</v>
      </c>
      <c r="D507" s="10" t="s">
        <v>67</v>
      </c>
      <c r="E507" s="10" t="s">
        <v>63</v>
      </c>
      <c r="F507" s="689" t="s">
        <v>52</v>
      </c>
      <c r="G507" s="690" t="s">
        <v>42</v>
      </c>
      <c r="H507" s="690" t="s">
        <v>43</v>
      </c>
      <c r="I507" s="691" t="s">
        <v>44</v>
      </c>
      <c r="J507" s="10"/>
      <c r="K507" s="24">
        <f>K508+K512</f>
        <v>30944.799999999999</v>
      </c>
      <c r="L507" s="24">
        <f>L508+L512</f>
        <v>0</v>
      </c>
      <c r="M507" s="24">
        <f>M508+M512</f>
        <v>30944.799999999999</v>
      </c>
      <c r="N507" s="24">
        <f>N508+N512</f>
        <v>31312.2</v>
      </c>
    </row>
    <row r="508" spans="1:14" s="111" customFormat="1" ht="36" x14ac:dyDescent="0.35">
      <c r="A508" s="11"/>
      <c r="B508" s="546" t="s">
        <v>218</v>
      </c>
      <c r="C508" s="23" t="s">
        <v>289</v>
      </c>
      <c r="D508" s="10" t="s">
        <v>67</v>
      </c>
      <c r="E508" s="10" t="s">
        <v>63</v>
      </c>
      <c r="F508" s="689" t="s">
        <v>52</v>
      </c>
      <c r="G508" s="690" t="s">
        <v>45</v>
      </c>
      <c r="H508" s="690" t="s">
        <v>43</v>
      </c>
      <c r="I508" s="691" t="s">
        <v>44</v>
      </c>
      <c r="J508" s="10"/>
      <c r="K508" s="24">
        <f>K509</f>
        <v>450</v>
      </c>
      <c r="L508" s="24">
        <f>L509</f>
        <v>0</v>
      </c>
      <c r="M508" s="24">
        <f>M509</f>
        <v>450</v>
      </c>
      <c r="N508" s="24">
        <f>N509</f>
        <v>450</v>
      </c>
    </row>
    <row r="509" spans="1:14" s="111" customFormat="1" ht="18" x14ac:dyDescent="0.35">
      <c r="A509" s="11"/>
      <c r="B509" s="496" t="s">
        <v>276</v>
      </c>
      <c r="C509" s="23" t="s">
        <v>289</v>
      </c>
      <c r="D509" s="10" t="s">
        <v>67</v>
      </c>
      <c r="E509" s="10" t="s">
        <v>63</v>
      </c>
      <c r="F509" s="689" t="s">
        <v>52</v>
      </c>
      <c r="G509" s="690" t="s">
        <v>45</v>
      </c>
      <c r="H509" s="690" t="s">
        <v>37</v>
      </c>
      <c r="I509" s="691" t="s">
        <v>44</v>
      </c>
      <c r="J509" s="10"/>
      <c r="K509" s="24">
        <f t="shared" ref="K509:N510" si="82">K510</f>
        <v>450</v>
      </c>
      <c r="L509" s="24">
        <f t="shared" si="82"/>
        <v>0</v>
      </c>
      <c r="M509" s="24">
        <f t="shared" si="82"/>
        <v>450</v>
      </c>
      <c r="N509" s="24">
        <f t="shared" si="82"/>
        <v>450</v>
      </c>
    </row>
    <row r="510" spans="1:14" s="111" customFormat="1" ht="36" x14ac:dyDescent="0.35">
      <c r="A510" s="11"/>
      <c r="B510" s="496" t="s">
        <v>277</v>
      </c>
      <c r="C510" s="23" t="s">
        <v>289</v>
      </c>
      <c r="D510" s="10" t="s">
        <v>67</v>
      </c>
      <c r="E510" s="10" t="s">
        <v>63</v>
      </c>
      <c r="F510" s="689" t="s">
        <v>52</v>
      </c>
      <c r="G510" s="690" t="s">
        <v>45</v>
      </c>
      <c r="H510" s="690" t="s">
        <v>37</v>
      </c>
      <c r="I510" s="691" t="s">
        <v>278</v>
      </c>
      <c r="J510" s="10"/>
      <c r="K510" s="24">
        <f t="shared" si="82"/>
        <v>450</v>
      </c>
      <c r="L510" s="24">
        <f t="shared" si="82"/>
        <v>0</v>
      </c>
      <c r="M510" s="24">
        <f t="shared" si="82"/>
        <v>450</v>
      </c>
      <c r="N510" s="24">
        <f t="shared" si="82"/>
        <v>450</v>
      </c>
    </row>
    <row r="511" spans="1:14" s="111" customFormat="1" ht="36" x14ac:dyDescent="0.35">
      <c r="A511" s="11"/>
      <c r="B511" s="496" t="s">
        <v>120</v>
      </c>
      <c r="C511" s="23" t="s">
        <v>289</v>
      </c>
      <c r="D511" s="10" t="s">
        <v>67</v>
      </c>
      <c r="E511" s="10" t="s">
        <v>63</v>
      </c>
      <c r="F511" s="689" t="s">
        <v>52</v>
      </c>
      <c r="G511" s="690" t="s">
        <v>45</v>
      </c>
      <c r="H511" s="690" t="s">
        <v>37</v>
      </c>
      <c r="I511" s="691" t="s">
        <v>278</v>
      </c>
      <c r="J511" s="10" t="s">
        <v>121</v>
      </c>
      <c r="K511" s="24">
        <f>450</f>
        <v>450</v>
      </c>
      <c r="L511" s="24">
        <f>M511-K511</f>
        <v>0</v>
      </c>
      <c r="M511" s="24">
        <f>450</f>
        <v>450</v>
      </c>
      <c r="N511" s="24">
        <v>450</v>
      </c>
    </row>
    <row r="512" spans="1:14" s="111" customFormat="1" ht="36" x14ac:dyDescent="0.35">
      <c r="A512" s="11"/>
      <c r="B512" s="496" t="s">
        <v>220</v>
      </c>
      <c r="C512" s="23" t="s">
        <v>289</v>
      </c>
      <c r="D512" s="10" t="s">
        <v>67</v>
      </c>
      <c r="E512" s="10" t="s">
        <v>63</v>
      </c>
      <c r="F512" s="689" t="s">
        <v>52</v>
      </c>
      <c r="G512" s="690" t="s">
        <v>89</v>
      </c>
      <c r="H512" s="690" t="s">
        <v>43</v>
      </c>
      <c r="I512" s="691" t="s">
        <v>44</v>
      </c>
      <c r="J512" s="10"/>
      <c r="K512" s="24">
        <f t="shared" ref="K512:N512" si="83">K513</f>
        <v>30494.799999999999</v>
      </c>
      <c r="L512" s="24">
        <f>L513</f>
        <v>0</v>
      </c>
      <c r="M512" s="24">
        <f t="shared" si="83"/>
        <v>30494.799999999999</v>
      </c>
      <c r="N512" s="24">
        <f t="shared" si="83"/>
        <v>30862.2</v>
      </c>
    </row>
    <row r="513" spans="1:14" s="111" customFormat="1" ht="18" x14ac:dyDescent="0.35">
      <c r="A513" s="11"/>
      <c r="B513" s="496" t="s">
        <v>359</v>
      </c>
      <c r="C513" s="23" t="s">
        <v>289</v>
      </c>
      <c r="D513" s="10" t="s">
        <v>67</v>
      </c>
      <c r="E513" s="10" t="s">
        <v>63</v>
      </c>
      <c r="F513" s="689" t="s">
        <v>52</v>
      </c>
      <c r="G513" s="690" t="s">
        <v>89</v>
      </c>
      <c r="H513" s="690" t="s">
        <v>39</v>
      </c>
      <c r="I513" s="691" t="s">
        <v>44</v>
      </c>
      <c r="J513" s="10"/>
      <c r="K513" s="24">
        <f>K514+K520+K518+K522</f>
        <v>30494.799999999999</v>
      </c>
      <c r="L513" s="24">
        <f>L514+L520+L518+L522</f>
        <v>0</v>
      </c>
      <c r="M513" s="24">
        <f>M514+M520+M518+M522</f>
        <v>30494.799999999999</v>
      </c>
      <c r="N513" s="24">
        <f>N514+N520+N518+N522</f>
        <v>30862.2</v>
      </c>
    </row>
    <row r="514" spans="1:14" s="111" customFormat="1" ht="36" x14ac:dyDescent="0.35">
      <c r="A514" s="11"/>
      <c r="B514" s="574" t="s">
        <v>461</v>
      </c>
      <c r="C514" s="23" t="s">
        <v>289</v>
      </c>
      <c r="D514" s="10" t="s">
        <v>67</v>
      </c>
      <c r="E514" s="10" t="s">
        <v>63</v>
      </c>
      <c r="F514" s="689" t="s">
        <v>52</v>
      </c>
      <c r="G514" s="690" t="s">
        <v>89</v>
      </c>
      <c r="H514" s="690" t="s">
        <v>39</v>
      </c>
      <c r="I514" s="691" t="s">
        <v>91</v>
      </c>
      <c r="J514" s="10"/>
      <c r="K514" s="24">
        <f>K515+K516+K517</f>
        <v>23967.3</v>
      </c>
      <c r="L514" s="24">
        <f>L515+L516+L517</f>
        <v>0</v>
      </c>
      <c r="M514" s="24">
        <f>M515+M516+M517</f>
        <v>23967.3</v>
      </c>
      <c r="N514" s="24">
        <f>N515+N516+N517</f>
        <v>24334.7</v>
      </c>
    </row>
    <row r="515" spans="1:14" s="111" customFormat="1" ht="108" x14ac:dyDescent="0.35">
      <c r="A515" s="11"/>
      <c r="B515" s="496" t="s">
        <v>49</v>
      </c>
      <c r="C515" s="23" t="s">
        <v>289</v>
      </c>
      <c r="D515" s="10" t="s">
        <v>67</v>
      </c>
      <c r="E515" s="10" t="s">
        <v>63</v>
      </c>
      <c r="F515" s="689" t="s">
        <v>52</v>
      </c>
      <c r="G515" s="690" t="s">
        <v>89</v>
      </c>
      <c r="H515" s="690" t="s">
        <v>39</v>
      </c>
      <c r="I515" s="691" t="s">
        <v>91</v>
      </c>
      <c r="J515" s="10" t="s">
        <v>50</v>
      </c>
      <c r="K515" s="24">
        <v>20027.900000000001</v>
      </c>
      <c r="L515" s="24">
        <f>M515-K515</f>
        <v>0</v>
      </c>
      <c r="M515" s="24">
        <v>20027.900000000001</v>
      </c>
      <c r="N515" s="24">
        <v>20027.900000000001</v>
      </c>
    </row>
    <row r="516" spans="1:14" s="111" customFormat="1" ht="54" x14ac:dyDescent="0.35">
      <c r="A516" s="11"/>
      <c r="B516" s="496" t="s">
        <v>55</v>
      </c>
      <c r="C516" s="23" t="s">
        <v>289</v>
      </c>
      <c r="D516" s="10" t="s">
        <v>67</v>
      </c>
      <c r="E516" s="10" t="s">
        <v>63</v>
      </c>
      <c r="F516" s="689" t="s">
        <v>52</v>
      </c>
      <c r="G516" s="690" t="s">
        <v>89</v>
      </c>
      <c r="H516" s="690" t="s">
        <v>39</v>
      </c>
      <c r="I516" s="691" t="s">
        <v>91</v>
      </c>
      <c r="J516" s="10" t="s">
        <v>56</v>
      </c>
      <c r="K516" s="24">
        <f>4250.6-12.5-0.1-357.2</f>
        <v>3880.8</v>
      </c>
      <c r="L516" s="24">
        <f>M516-K516</f>
        <v>0</v>
      </c>
      <c r="M516" s="24">
        <f>4250.6-12.5-0.1-357.2</f>
        <v>3880.8</v>
      </c>
      <c r="N516" s="24">
        <f>4262.7-12.5</f>
        <v>4250.2</v>
      </c>
    </row>
    <row r="517" spans="1:14" s="111" customFormat="1" ht="18" x14ac:dyDescent="0.35">
      <c r="A517" s="11"/>
      <c r="B517" s="496" t="s">
        <v>57</v>
      </c>
      <c r="C517" s="23" t="s">
        <v>289</v>
      </c>
      <c r="D517" s="10" t="s">
        <v>67</v>
      </c>
      <c r="E517" s="10" t="s">
        <v>63</v>
      </c>
      <c r="F517" s="689" t="s">
        <v>52</v>
      </c>
      <c r="G517" s="690" t="s">
        <v>89</v>
      </c>
      <c r="H517" s="690" t="s">
        <v>39</v>
      </c>
      <c r="I517" s="691" t="s">
        <v>91</v>
      </c>
      <c r="J517" s="10" t="s">
        <v>58</v>
      </c>
      <c r="K517" s="24">
        <v>58.6</v>
      </c>
      <c r="L517" s="24">
        <f>M517-K517</f>
        <v>0</v>
      </c>
      <c r="M517" s="24">
        <v>58.6</v>
      </c>
      <c r="N517" s="24">
        <v>56.6</v>
      </c>
    </row>
    <row r="518" spans="1:14" s="111" customFormat="1" ht="54" x14ac:dyDescent="0.35">
      <c r="A518" s="11"/>
      <c r="B518" s="496" t="s">
        <v>219</v>
      </c>
      <c r="C518" s="23" t="s">
        <v>289</v>
      </c>
      <c r="D518" s="10" t="s">
        <v>67</v>
      </c>
      <c r="E518" s="10" t="s">
        <v>63</v>
      </c>
      <c r="F518" s="689" t="s">
        <v>52</v>
      </c>
      <c r="G518" s="690" t="s">
        <v>89</v>
      </c>
      <c r="H518" s="690" t="s">
        <v>39</v>
      </c>
      <c r="I518" s="691" t="s">
        <v>291</v>
      </c>
      <c r="J518" s="10"/>
      <c r="K518" s="24">
        <f>K519</f>
        <v>4225.2</v>
      </c>
      <c r="L518" s="24">
        <f>L519</f>
        <v>0</v>
      </c>
      <c r="M518" s="24">
        <f>M519</f>
        <v>4225.2</v>
      </c>
      <c r="N518" s="24">
        <f>N519</f>
        <v>4225.2</v>
      </c>
    </row>
    <row r="519" spans="1:14" s="111" customFormat="1" ht="54" x14ac:dyDescent="0.35">
      <c r="A519" s="11"/>
      <c r="B519" s="496" t="s">
        <v>55</v>
      </c>
      <c r="C519" s="23" t="s">
        <v>289</v>
      </c>
      <c r="D519" s="10" t="s">
        <v>67</v>
      </c>
      <c r="E519" s="10" t="s">
        <v>63</v>
      </c>
      <c r="F519" s="689" t="s">
        <v>52</v>
      </c>
      <c r="G519" s="690" t="s">
        <v>89</v>
      </c>
      <c r="H519" s="690" t="s">
        <v>39</v>
      </c>
      <c r="I519" s="691" t="s">
        <v>291</v>
      </c>
      <c r="J519" s="10" t="s">
        <v>56</v>
      </c>
      <c r="K519" s="24">
        <v>4225.2</v>
      </c>
      <c r="L519" s="24">
        <f>M519-K519</f>
        <v>0</v>
      </c>
      <c r="M519" s="24">
        <v>4225.2</v>
      </c>
      <c r="N519" s="24">
        <v>4225.2</v>
      </c>
    </row>
    <row r="520" spans="1:14" s="111" customFormat="1" ht="180" x14ac:dyDescent="0.35">
      <c r="A520" s="11"/>
      <c r="B520" s="496" t="s">
        <v>433</v>
      </c>
      <c r="C520" s="23" t="s">
        <v>289</v>
      </c>
      <c r="D520" s="10" t="s">
        <v>67</v>
      </c>
      <c r="E520" s="10" t="s">
        <v>63</v>
      </c>
      <c r="F520" s="689" t="s">
        <v>52</v>
      </c>
      <c r="G520" s="690" t="s">
        <v>89</v>
      </c>
      <c r="H520" s="690" t="s">
        <v>39</v>
      </c>
      <c r="I520" s="691" t="s">
        <v>388</v>
      </c>
      <c r="J520" s="10"/>
      <c r="K520" s="24">
        <f>K521</f>
        <v>187.5</v>
      </c>
      <c r="L520" s="24">
        <f>L521</f>
        <v>0</v>
      </c>
      <c r="M520" s="24">
        <f>M521</f>
        <v>187.5</v>
      </c>
      <c r="N520" s="24">
        <f>N521</f>
        <v>187.5</v>
      </c>
    </row>
    <row r="521" spans="1:14" s="111" customFormat="1" ht="108" x14ac:dyDescent="0.35">
      <c r="A521" s="11"/>
      <c r="B521" s="496" t="s">
        <v>49</v>
      </c>
      <c r="C521" s="23" t="s">
        <v>289</v>
      </c>
      <c r="D521" s="10" t="s">
        <v>67</v>
      </c>
      <c r="E521" s="10" t="s">
        <v>63</v>
      </c>
      <c r="F521" s="689" t="s">
        <v>52</v>
      </c>
      <c r="G521" s="690" t="s">
        <v>89</v>
      </c>
      <c r="H521" s="690" t="s">
        <v>39</v>
      </c>
      <c r="I521" s="691" t="s">
        <v>388</v>
      </c>
      <c r="J521" s="10" t="s">
        <v>50</v>
      </c>
      <c r="K521" s="24">
        <v>187.5</v>
      </c>
      <c r="L521" s="24">
        <f>M521-K521</f>
        <v>0</v>
      </c>
      <c r="M521" s="24">
        <v>187.5</v>
      </c>
      <c r="N521" s="253">
        <v>187.5</v>
      </c>
    </row>
    <row r="522" spans="1:14" s="111" customFormat="1" ht="54" x14ac:dyDescent="0.35">
      <c r="A522" s="11"/>
      <c r="B522" s="496" t="s">
        <v>435</v>
      </c>
      <c r="C522" s="23" t="s">
        <v>289</v>
      </c>
      <c r="D522" s="10" t="s">
        <v>67</v>
      </c>
      <c r="E522" s="10" t="s">
        <v>63</v>
      </c>
      <c r="F522" s="689" t="s">
        <v>52</v>
      </c>
      <c r="G522" s="690" t="s">
        <v>89</v>
      </c>
      <c r="H522" s="690" t="s">
        <v>39</v>
      </c>
      <c r="I522" s="691" t="s">
        <v>408</v>
      </c>
      <c r="J522" s="10"/>
      <c r="K522" s="24">
        <f>K523</f>
        <v>2114.8000000000002</v>
      </c>
      <c r="L522" s="24">
        <f>L523</f>
        <v>0</v>
      </c>
      <c r="M522" s="24">
        <f>M523</f>
        <v>2114.8000000000002</v>
      </c>
      <c r="N522" s="24">
        <f>N523</f>
        <v>2114.8000000000002</v>
      </c>
    </row>
    <row r="523" spans="1:14" s="111" customFormat="1" ht="108" x14ac:dyDescent="0.35">
      <c r="A523" s="11"/>
      <c r="B523" s="496" t="s">
        <v>49</v>
      </c>
      <c r="C523" s="23" t="s">
        <v>289</v>
      </c>
      <c r="D523" s="10" t="s">
        <v>67</v>
      </c>
      <c r="E523" s="10" t="s">
        <v>63</v>
      </c>
      <c r="F523" s="689" t="s">
        <v>52</v>
      </c>
      <c r="G523" s="690" t="s">
        <v>89</v>
      </c>
      <c r="H523" s="690" t="s">
        <v>39</v>
      </c>
      <c r="I523" s="691" t="s">
        <v>408</v>
      </c>
      <c r="J523" s="10" t="s">
        <v>50</v>
      </c>
      <c r="K523" s="24">
        <f>1790.4+199+125.4</f>
        <v>2114.8000000000002</v>
      </c>
      <c r="L523" s="24">
        <f>M523-K523</f>
        <v>0</v>
      </c>
      <c r="M523" s="24">
        <f>1790.4+199+125.4</f>
        <v>2114.8000000000002</v>
      </c>
      <c r="N523" s="253">
        <f>1790.4+199+125.4</f>
        <v>2114.8000000000002</v>
      </c>
    </row>
    <row r="524" spans="1:14" s="7" customFormat="1" ht="36" x14ac:dyDescent="0.35">
      <c r="A524" s="11"/>
      <c r="B524" s="546" t="s">
        <v>199</v>
      </c>
      <c r="C524" s="23" t="s">
        <v>289</v>
      </c>
      <c r="D524" s="10" t="s">
        <v>67</v>
      </c>
      <c r="E524" s="10" t="s">
        <v>65</v>
      </c>
      <c r="F524" s="689"/>
      <c r="G524" s="690"/>
      <c r="H524" s="690"/>
      <c r="I524" s="691"/>
      <c r="J524" s="10"/>
      <c r="K524" s="24">
        <f t="shared" ref="K524:N527" si="84">K525</f>
        <v>3058.7000000000003</v>
      </c>
      <c r="L524" s="24">
        <f t="shared" si="84"/>
        <v>0</v>
      </c>
      <c r="M524" s="24">
        <f t="shared" si="84"/>
        <v>3058.7000000000003</v>
      </c>
      <c r="N524" s="24">
        <f t="shared" si="84"/>
        <v>3059.7999999999997</v>
      </c>
    </row>
    <row r="525" spans="1:14" s="7" customFormat="1" ht="54" x14ac:dyDescent="0.35">
      <c r="A525" s="11"/>
      <c r="B525" s="496" t="s">
        <v>217</v>
      </c>
      <c r="C525" s="23" t="s">
        <v>289</v>
      </c>
      <c r="D525" s="10" t="s">
        <v>67</v>
      </c>
      <c r="E525" s="10" t="s">
        <v>65</v>
      </c>
      <c r="F525" s="689" t="s">
        <v>52</v>
      </c>
      <c r="G525" s="690" t="s">
        <v>42</v>
      </c>
      <c r="H525" s="690" t="s">
        <v>43</v>
      </c>
      <c r="I525" s="691" t="s">
        <v>44</v>
      </c>
      <c r="J525" s="10"/>
      <c r="K525" s="24">
        <f t="shared" si="84"/>
        <v>3058.7000000000003</v>
      </c>
      <c r="L525" s="24">
        <f t="shared" si="84"/>
        <v>0</v>
      </c>
      <c r="M525" s="24">
        <f t="shared" si="84"/>
        <v>3058.7000000000003</v>
      </c>
      <c r="N525" s="24">
        <f t="shared" si="84"/>
        <v>3059.7999999999997</v>
      </c>
    </row>
    <row r="526" spans="1:14" s="7" customFormat="1" ht="36" x14ac:dyDescent="0.35">
      <c r="A526" s="11"/>
      <c r="B526" s="503" t="s">
        <v>220</v>
      </c>
      <c r="C526" s="23" t="s">
        <v>289</v>
      </c>
      <c r="D526" s="10" t="s">
        <v>67</v>
      </c>
      <c r="E526" s="10" t="s">
        <v>65</v>
      </c>
      <c r="F526" s="689" t="s">
        <v>52</v>
      </c>
      <c r="G526" s="690" t="s">
        <v>89</v>
      </c>
      <c r="H526" s="690" t="s">
        <v>43</v>
      </c>
      <c r="I526" s="691" t="s">
        <v>44</v>
      </c>
      <c r="J526" s="10"/>
      <c r="K526" s="24">
        <f t="shared" si="84"/>
        <v>3058.7000000000003</v>
      </c>
      <c r="L526" s="24">
        <f t="shared" si="84"/>
        <v>0</v>
      </c>
      <c r="M526" s="24">
        <f t="shared" si="84"/>
        <v>3058.7000000000003</v>
      </c>
      <c r="N526" s="24">
        <f t="shared" si="84"/>
        <v>3059.7999999999997</v>
      </c>
    </row>
    <row r="527" spans="1:14" s="7" customFormat="1" ht="36" x14ac:dyDescent="0.35">
      <c r="A527" s="11"/>
      <c r="B527" s="496" t="s">
        <v>281</v>
      </c>
      <c r="C527" s="23" t="s">
        <v>289</v>
      </c>
      <c r="D527" s="10" t="s">
        <v>67</v>
      </c>
      <c r="E527" s="10" t="s">
        <v>65</v>
      </c>
      <c r="F527" s="689" t="s">
        <v>52</v>
      </c>
      <c r="G527" s="690" t="s">
        <v>89</v>
      </c>
      <c r="H527" s="690" t="s">
        <v>37</v>
      </c>
      <c r="I527" s="691" t="s">
        <v>44</v>
      </c>
      <c r="J527" s="10"/>
      <c r="K527" s="24">
        <f t="shared" si="84"/>
        <v>3058.7000000000003</v>
      </c>
      <c r="L527" s="24">
        <f t="shared" si="84"/>
        <v>0</v>
      </c>
      <c r="M527" s="24">
        <f t="shared" si="84"/>
        <v>3058.7000000000003</v>
      </c>
      <c r="N527" s="24">
        <f t="shared" si="84"/>
        <v>3059.7999999999997</v>
      </c>
    </row>
    <row r="528" spans="1:14" s="7" customFormat="1" ht="36" x14ac:dyDescent="0.35">
      <c r="A528" s="11"/>
      <c r="B528" s="496" t="s">
        <v>47</v>
      </c>
      <c r="C528" s="23" t="s">
        <v>289</v>
      </c>
      <c r="D528" s="10" t="s">
        <v>67</v>
      </c>
      <c r="E528" s="10" t="s">
        <v>65</v>
      </c>
      <c r="F528" s="689" t="s">
        <v>52</v>
      </c>
      <c r="G528" s="690" t="s">
        <v>89</v>
      </c>
      <c r="H528" s="690" t="s">
        <v>37</v>
      </c>
      <c r="I528" s="691" t="s">
        <v>48</v>
      </c>
      <c r="J528" s="10"/>
      <c r="K528" s="24">
        <f>K529+K530+K531</f>
        <v>3058.7000000000003</v>
      </c>
      <c r="L528" s="24">
        <f>L529+L530+L531</f>
        <v>0</v>
      </c>
      <c r="M528" s="24">
        <f>M529+M530+M531</f>
        <v>3058.7000000000003</v>
      </c>
      <c r="N528" s="24">
        <f>N529+N530+N531</f>
        <v>3059.7999999999997</v>
      </c>
    </row>
    <row r="529" spans="1:14" s="7" customFormat="1" ht="108" x14ac:dyDescent="0.35">
      <c r="A529" s="11"/>
      <c r="B529" s="496" t="s">
        <v>49</v>
      </c>
      <c r="C529" s="23" t="s">
        <v>289</v>
      </c>
      <c r="D529" s="10" t="s">
        <v>67</v>
      </c>
      <c r="E529" s="10" t="s">
        <v>65</v>
      </c>
      <c r="F529" s="689" t="s">
        <v>52</v>
      </c>
      <c r="G529" s="690" t="s">
        <v>89</v>
      </c>
      <c r="H529" s="690" t="s">
        <v>37</v>
      </c>
      <c r="I529" s="691" t="s">
        <v>48</v>
      </c>
      <c r="J529" s="10" t="s">
        <v>50</v>
      </c>
      <c r="K529" s="24">
        <v>2997.5</v>
      </c>
      <c r="L529" s="24">
        <f>M529-K529</f>
        <v>0</v>
      </c>
      <c r="M529" s="24">
        <v>2997.5</v>
      </c>
      <c r="N529" s="24">
        <v>2997.5</v>
      </c>
    </row>
    <row r="530" spans="1:14" s="7" customFormat="1" ht="54" x14ac:dyDescent="0.35">
      <c r="A530" s="11"/>
      <c r="B530" s="496" t="s">
        <v>55</v>
      </c>
      <c r="C530" s="23" t="s">
        <v>289</v>
      </c>
      <c r="D530" s="10" t="s">
        <v>67</v>
      </c>
      <c r="E530" s="10" t="s">
        <v>65</v>
      </c>
      <c r="F530" s="689" t="s">
        <v>52</v>
      </c>
      <c r="G530" s="690" t="s">
        <v>89</v>
      </c>
      <c r="H530" s="690" t="s">
        <v>37</v>
      </c>
      <c r="I530" s="691" t="s">
        <v>48</v>
      </c>
      <c r="J530" s="10" t="s">
        <v>56</v>
      </c>
      <c r="K530" s="24">
        <v>59.4</v>
      </c>
      <c r="L530" s="24">
        <f>M530-K530</f>
        <v>0</v>
      </c>
      <c r="M530" s="24">
        <v>59.4</v>
      </c>
      <c r="N530" s="24">
        <v>60.6</v>
      </c>
    </row>
    <row r="531" spans="1:14" s="7" customFormat="1" ht="18" x14ac:dyDescent="0.35">
      <c r="A531" s="11"/>
      <c r="B531" s="496" t="s">
        <v>57</v>
      </c>
      <c r="C531" s="23" t="s">
        <v>289</v>
      </c>
      <c r="D531" s="10" t="s">
        <v>67</v>
      </c>
      <c r="E531" s="10" t="s">
        <v>65</v>
      </c>
      <c r="F531" s="689" t="s">
        <v>52</v>
      </c>
      <c r="G531" s="690" t="s">
        <v>89</v>
      </c>
      <c r="H531" s="690" t="s">
        <v>37</v>
      </c>
      <c r="I531" s="691" t="s">
        <v>48</v>
      </c>
      <c r="J531" s="10" t="s">
        <v>58</v>
      </c>
      <c r="K531" s="24">
        <v>1.8</v>
      </c>
      <c r="L531" s="24">
        <f>M531-K531</f>
        <v>0</v>
      </c>
      <c r="M531" s="24">
        <v>1.8</v>
      </c>
      <c r="N531" s="24">
        <v>1.7</v>
      </c>
    </row>
    <row r="532" spans="1:14" s="7" customFormat="1" ht="18" x14ac:dyDescent="0.35">
      <c r="A532" s="11"/>
      <c r="B532" s="496"/>
      <c r="C532" s="23"/>
      <c r="D532" s="10"/>
      <c r="E532" s="10"/>
      <c r="F532" s="689"/>
      <c r="G532" s="690"/>
      <c r="H532" s="690"/>
      <c r="I532" s="691"/>
      <c r="J532" s="10"/>
      <c r="K532" s="24"/>
      <c r="L532" s="24"/>
      <c r="M532" s="24"/>
      <c r="N532" s="24"/>
    </row>
    <row r="533" spans="1:14" s="111" customFormat="1" ht="52.2" x14ac:dyDescent="0.3">
      <c r="A533" s="110">
        <v>8</v>
      </c>
      <c r="B533" s="543" t="s">
        <v>11</v>
      </c>
      <c r="C533" s="18" t="s">
        <v>285</v>
      </c>
      <c r="D533" s="19"/>
      <c r="E533" s="19"/>
      <c r="F533" s="20"/>
      <c r="G533" s="21"/>
      <c r="H533" s="21"/>
      <c r="I533" s="22"/>
      <c r="J533" s="19"/>
      <c r="K533" s="32">
        <f>K547+K534</f>
        <v>7587.0999999999995</v>
      </c>
      <c r="L533" s="32">
        <f>L547+L534</f>
        <v>0</v>
      </c>
      <c r="M533" s="32">
        <f>M547+M534</f>
        <v>7587.0999999999995</v>
      </c>
      <c r="N533" s="32">
        <f>N547+N534</f>
        <v>7592.7999999999993</v>
      </c>
    </row>
    <row r="534" spans="1:14" s="111" customFormat="1" ht="18" x14ac:dyDescent="0.35">
      <c r="A534" s="110"/>
      <c r="B534" s="496" t="s">
        <v>36</v>
      </c>
      <c r="C534" s="23" t="s">
        <v>285</v>
      </c>
      <c r="D534" s="10" t="s">
        <v>37</v>
      </c>
      <c r="E534" s="10"/>
      <c r="F534" s="689"/>
      <c r="G534" s="690"/>
      <c r="H534" s="690"/>
      <c r="I534" s="691"/>
      <c r="J534" s="10"/>
      <c r="K534" s="209">
        <f t="shared" ref="K534:N536" si="85">K535</f>
        <v>126.9</v>
      </c>
      <c r="L534" s="209">
        <f t="shared" si="85"/>
        <v>0</v>
      </c>
      <c r="M534" s="209">
        <f t="shared" si="85"/>
        <v>126.9</v>
      </c>
      <c r="N534" s="209">
        <f t="shared" si="85"/>
        <v>126.9</v>
      </c>
    </row>
    <row r="535" spans="1:14" s="111" customFormat="1" ht="18" x14ac:dyDescent="0.35">
      <c r="A535" s="110"/>
      <c r="B535" s="496" t="s">
        <v>70</v>
      </c>
      <c r="C535" s="23" t="s">
        <v>285</v>
      </c>
      <c r="D535" s="10" t="s">
        <v>37</v>
      </c>
      <c r="E535" s="10" t="s">
        <v>71</v>
      </c>
      <c r="F535" s="689"/>
      <c r="G535" s="690"/>
      <c r="H535" s="690"/>
      <c r="I535" s="691"/>
      <c r="J535" s="10"/>
      <c r="K535" s="209">
        <f t="shared" si="85"/>
        <v>126.9</v>
      </c>
      <c r="L535" s="209">
        <f t="shared" si="85"/>
        <v>0</v>
      </c>
      <c r="M535" s="209">
        <f t="shared" si="85"/>
        <v>126.9</v>
      </c>
      <c r="N535" s="209">
        <f t="shared" si="85"/>
        <v>126.9</v>
      </c>
    </row>
    <row r="536" spans="1:14" s="111" customFormat="1" ht="54" x14ac:dyDescent="0.35">
      <c r="A536" s="110"/>
      <c r="B536" s="496" t="s">
        <v>221</v>
      </c>
      <c r="C536" s="23" t="s">
        <v>285</v>
      </c>
      <c r="D536" s="10" t="s">
        <v>37</v>
      </c>
      <c r="E536" s="10" t="s">
        <v>71</v>
      </c>
      <c r="F536" s="689" t="s">
        <v>65</v>
      </c>
      <c r="G536" s="690" t="s">
        <v>42</v>
      </c>
      <c r="H536" s="690" t="s">
        <v>43</v>
      </c>
      <c r="I536" s="691" t="s">
        <v>44</v>
      </c>
      <c r="J536" s="10"/>
      <c r="K536" s="209">
        <f t="shared" si="85"/>
        <v>126.9</v>
      </c>
      <c r="L536" s="209">
        <f t="shared" si="85"/>
        <v>0</v>
      </c>
      <c r="M536" s="209">
        <f t="shared" si="85"/>
        <v>126.9</v>
      </c>
      <c r="N536" s="209">
        <f t="shared" si="85"/>
        <v>126.9</v>
      </c>
    </row>
    <row r="537" spans="1:14" s="111" customFormat="1" ht="36" x14ac:dyDescent="0.35">
      <c r="A537" s="110"/>
      <c r="B537" s="496" t="s">
        <v>220</v>
      </c>
      <c r="C537" s="23" t="s">
        <v>285</v>
      </c>
      <c r="D537" s="10" t="s">
        <v>37</v>
      </c>
      <c r="E537" s="10" t="s">
        <v>71</v>
      </c>
      <c r="F537" s="689" t="s">
        <v>65</v>
      </c>
      <c r="G537" s="690" t="s">
        <v>89</v>
      </c>
      <c r="H537" s="690" t="s">
        <v>43</v>
      </c>
      <c r="I537" s="691" t="s">
        <v>44</v>
      </c>
      <c r="J537" s="10"/>
      <c r="K537" s="209">
        <f>K538+K541+K544</f>
        <v>126.9</v>
      </c>
      <c r="L537" s="209">
        <f>L538+L541+L544</f>
        <v>0</v>
      </c>
      <c r="M537" s="209">
        <f>M538+M541+M544</f>
        <v>126.9</v>
      </c>
      <c r="N537" s="209">
        <f>N538+N541+N544</f>
        <v>126.9</v>
      </c>
    </row>
    <row r="538" spans="1:14" s="111" customFormat="1" ht="36" x14ac:dyDescent="0.35">
      <c r="A538" s="110"/>
      <c r="B538" s="569" t="s">
        <v>349</v>
      </c>
      <c r="C538" s="23" t="s">
        <v>285</v>
      </c>
      <c r="D538" s="10" t="s">
        <v>37</v>
      </c>
      <c r="E538" s="10" t="s">
        <v>71</v>
      </c>
      <c r="F538" s="689" t="s">
        <v>65</v>
      </c>
      <c r="G538" s="690" t="s">
        <v>89</v>
      </c>
      <c r="H538" s="690" t="s">
        <v>39</v>
      </c>
      <c r="I538" s="691" t="s">
        <v>44</v>
      </c>
      <c r="J538" s="10"/>
      <c r="K538" s="209">
        <f t="shared" ref="K538:N539" si="86">K539</f>
        <v>67.900000000000006</v>
      </c>
      <c r="L538" s="209">
        <f t="shared" si="86"/>
        <v>0</v>
      </c>
      <c r="M538" s="209">
        <f t="shared" si="86"/>
        <v>67.900000000000006</v>
      </c>
      <c r="N538" s="209">
        <f t="shared" si="86"/>
        <v>67.900000000000006</v>
      </c>
    </row>
    <row r="539" spans="1:14" s="111" customFormat="1" ht="54" x14ac:dyDescent="0.35">
      <c r="A539" s="110"/>
      <c r="B539" s="569" t="s">
        <v>350</v>
      </c>
      <c r="C539" s="23" t="s">
        <v>285</v>
      </c>
      <c r="D539" s="10" t="s">
        <v>37</v>
      </c>
      <c r="E539" s="10" t="s">
        <v>71</v>
      </c>
      <c r="F539" s="689" t="s">
        <v>65</v>
      </c>
      <c r="G539" s="690" t="s">
        <v>89</v>
      </c>
      <c r="H539" s="690" t="s">
        <v>39</v>
      </c>
      <c r="I539" s="691" t="s">
        <v>105</v>
      </c>
      <c r="J539" s="10"/>
      <c r="K539" s="209">
        <f t="shared" si="86"/>
        <v>67.900000000000006</v>
      </c>
      <c r="L539" s="209">
        <f t="shared" si="86"/>
        <v>0</v>
      </c>
      <c r="M539" s="209">
        <f t="shared" si="86"/>
        <v>67.900000000000006</v>
      </c>
      <c r="N539" s="209">
        <f t="shared" si="86"/>
        <v>67.900000000000006</v>
      </c>
    </row>
    <row r="540" spans="1:14" s="111" customFormat="1" ht="54" x14ac:dyDescent="0.35">
      <c r="A540" s="110"/>
      <c r="B540" s="569" t="s">
        <v>55</v>
      </c>
      <c r="C540" s="23" t="s">
        <v>285</v>
      </c>
      <c r="D540" s="10" t="s">
        <v>37</v>
      </c>
      <c r="E540" s="10" t="s">
        <v>71</v>
      </c>
      <c r="F540" s="689" t="s">
        <v>65</v>
      </c>
      <c r="G540" s="690" t="s">
        <v>89</v>
      </c>
      <c r="H540" s="690" t="s">
        <v>39</v>
      </c>
      <c r="I540" s="691" t="s">
        <v>105</v>
      </c>
      <c r="J540" s="10" t="s">
        <v>56</v>
      </c>
      <c r="K540" s="209">
        <v>67.900000000000006</v>
      </c>
      <c r="L540" s="24">
        <f>M540-K540</f>
        <v>0</v>
      </c>
      <c r="M540" s="209">
        <v>67.900000000000006</v>
      </c>
      <c r="N540" s="209">
        <v>67.900000000000006</v>
      </c>
    </row>
    <row r="541" spans="1:14" s="111" customFormat="1" ht="36" x14ac:dyDescent="0.35">
      <c r="A541" s="110"/>
      <c r="B541" s="496" t="s">
        <v>465</v>
      </c>
      <c r="C541" s="23" t="s">
        <v>285</v>
      </c>
      <c r="D541" s="10" t="s">
        <v>37</v>
      </c>
      <c r="E541" s="10" t="s">
        <v>71</v>
      </c>
      <c r="F541" s="689" t="s">
        <v>65</v>
      </c>
      <c r="G541" s="690" t="s">
        <v>89</v>
      </c>
      <c r="H541" s="690" t="s">
        <v>63</v>
      </c>
      <c r="I541" s="691" t="s">
        <v>44</v>
      </c>
      <c r="J541" s="10"/>
      <c r="K541" s="209">
        <f t="shared" ref="K541:N542" si="87">K542</f>
        <v>14.8</v>
      </c>
      <c r="L541" s="209">
        <f t="shared" si="87"/>
        <v>0</v>
      </c>
      <c r="M541" s="209">
        <f t="shared" si="87"/>
        <v>14.8</v>
      </c>
      <c r="N541" s="209">
        <f t="shared" si="87"/>
        <v>14.8</v>
      </c>
    </row>
    <row r="542" spans="1:14" s="111" customFormat="1" ht="18" x14ac:dyDescent="0.35">
      <c r="A542" s="110"/>
      <c r="B542" s="496" t="s">
        <v>463</v>
      </c>
      <c r="C542" s="23" t="s">
        <v>285</v>
      </c>
      <c r="D542" s="10" t="s">
        <v>37</v>
      </c>
      <c r="E542" s="10" t="s">
        <v>71</v>
      </c>
      <c r="F542" s="689" t="s">
        <v>65</v>
      </c>
      <c r="G542" s="690" t="s">
        <v>89</v>
      </c>
      <c r="H542" s="690" t="s">
        <v>63</v>
      </c>
      <c r="I542" s="691" t="s">
        <v>464</v>
      </c>
      <c r="J542" s="10"/>
      <c r="K542" s="209">
        <f t="shared" si="87"/>
        <v>14.8</v>
      </c>
      <c r="L542" s="209">
        <f t="shared" si="87"/>
        <v>0</v>
      </c>
      <c r="M542" s="209">
        <f t="shared" si="87"/>
        <v>14.8</v>
      </c>
      <c r="N542" s="209">
        <f t="shared" si="87"/>
        <v>14.8</v>
      </c>
    </row>
    <row r="543" spans="1:14" s="111" customFormat="1" ht="54" x14ac:dyDescent="0.35">
      <c r="A543" s="110"/>
      <c r="B543" s="569" t="s">
        <v>55</v>
      </c>
      <c r="C543" s="23" t="s">
        <v>285</v>
      </c>
      <c r="D543" s="10" t="s">
        <v>37</v>
      </c>
      <c r="E543" s="10" t="s">
        <v>71</v>
      </c>
      <c r="F543" s="689" t="s">
        <v>65</v>
      </c>
      <c r="G543" s="690" t="s">
        <v>89</v>
      </c>
      <c r="H543" s="690" t="s">
        <v>63</v>
      </c>
      <c r="I543" s="691" t="s">
        <v>464</v>
      </c>
      <c r="J543" s="28" t="s">
        <v>56</v>
      </c>
      <c r="K543" s="209">
        <v>14.8</v>
      </c>
      <c r="L543" s="24">
        <f>M543-K543</f>
        <v>0</v>
      </c>
      <c r="M543" s="209">
        <v>14.8</v>
      </c>
      <c r="N543" s="209">
        <v>14.8</v>
      </c>
    </row>
    <row r="544" spans="1:14" s="111" customFormat="1" ht="36" x14ac:dyDescent="0.35">
      <c r="A544" s="110"/>
      <c r="B544" s="569" t="s">
        <v>468</v>
      </c>
      <c r="C544" s="23" t="s">
        <v>285</v>
      </c>
      <c r="D544" s="10" t="s">
        <v>37</v>
      </c>
      <c r="E544" s="10" t="s">
        <v>71</v>
      </c>
      <c r="F544" s="689" t="s">
        <v>65</v>
      </c>
      <c r="G544" s="690" t="s">
        <v>89</v>
      </c>
      <c r="H544" s="690" t="s">
        <v>52</v>
      </c>
      <c r="I544" s="691" t="s">
        <v>44</v>
      </c>
      <c r="J544" s="19"/>
      <c r="K544" s="209">
        <f t="shared" ref="K544:N545" si="88">K545</f>
        <v>44.2</v>
      </c>
      <c r="L544" s="209">
        <f t="shared" si="88"/>
        <v>0</v>
      </c>
      <c r="M544" s="209">
        <f t="shared" si="88"/>
        <v>44.2</v>
      </c>
      <c r="N544" s="209">
        <f t="shared" si="88"/>
        <v>44.2</v>
      </c>
    </row>
    <row r="545" spans="1:14" s="111" customFormat="1" ht="36" x14ac:dyDescent="0.35">
      <c r="A545" s="110"/>
      <c r="B545" s="570" t="s">
        <v>127</v>
      </c>
      <c r="C545" s="23" t="s">
        <v>285</v>
      </c>
      <c r="D545" s="10" t="s">
        <v>37</v>
      </c>
      <c r="E545" s="10" t="s">
        <v>71</v>
      </c>
      <c r="F545" s="689" t="s">
        <v>65</v>
      </c>
      <c r="G545" s="690" t="s">
        <v>89</v>
      </c>
      <c r="H545" s="690" t="s">
        <v>52</v>
      </c>
      <c r="I545" s="691" t="s">
        <v>90</v>
      </c>
      <c r="J545" s="19"/>
      <c r="K545" s="209">
        <f t="shared" si="88"/>
        <v>44.2</v>
      </c>
      <c r="L545" s="209">
        <f t="shared" si="88"/>
        <v>0</v>
      </c>
      <c r="M545" s="209">
        <f t="shared" si="88"/>
        <v>44.2</v>
      </c>
      <c r="N545" s="209">
        <f t="shared" si="88"/>
        <v>44.2</v>
      </c>
    </row>
    <row r="546" spans="1:14" s="111" customFormat="1" ht="54" x14ac:dyDescent="0.35">
      <c r="A546" s="110"/>
      <c r="B546" s="569" t="s">
        <v>55</v>
      </c>
      <c r="C546" s="23" t="s">
        <v>285</v>
      </c>
      <c r="D546" s="10" t="s">
        <v>37</v>
      </c>
      <c r="E546" s="10" t="s">
        <v>71</v>
      </c>
      <c r="F546" s="689" t="s">
        <v>65</v>
      </c>
      <c r="G546" s="690" t="s">
        <v>89</v>
      </c>
      <c r="H546" s="690" t="s">
        <v>52</v>
      </c>
      <c r="I546" s="691" t="s">
        <v>90</v>
      </c>
      <c r="J546" s="28" t="s">
        <v>56</v>
      </c>
      <c r="K546" s="209">
        <v>44.2</v>
      </c>
      <c r="L546" s="24">
        <f>M546-K546</f>
        <v>0</v>
      </c>
      <c r="M546" s="209">
        <v>44.2</v>
      </c>
      <c r="N546" s="209">
        <v>44.2</v>
      </c>
    </row>
    <row r="547" spans="1:14" s="7" customFormat="1" ht="18" x14ac:dyDescent="0.35">
      <c r="A547" s="110"/>
      <c r="B547" s="496" t="s">
        <v>179</v>
      </c>
      <c r="C547" s="23" t="s">
        <v>285</v>
      </c>
      <c r="D547" s="10" t="s">
        <v>224</v>
      </c>
      <c r="E547" s="10"/>
      <c r="F547" s="689"/>
      <c r="G547" s="690"/>
      <c r="H547" s="690"/>
      <c r="I547" s="691"/>
      <c r="J547" s="10"/>
      <c r="K547" s="24">
        <f>K548+K556</f>
        <v>7460.2</v>
      </c>
      <c r="L547" s="24">
        <f>L548+L556</f>
        <v>0</v>
      </c>
      <c r="M547" s="24">
        <f>M548+M556</f>
        <v>7460.2</v>
      </c>
      <c r="N547" s="24">
        <f>N548+N556</f>
        <v>7465.9</v>
      </c>
    </row>
    <row r="548" spans="1:14" s="111" customFormat="1" ht="18" x14ac:dyDescent="0.35">
      <c r="A548" s="110"/>
      <c r="B548" s="496" t="s">
        <v>348</v>
      </c>
      <c r="C548" s="23" t="s">
        <v>285</v>
      </c>
      <c r="D548" s="10" t="s">
        <v>224</v>
      </c>
      <c r="E548" s="10" t="s">
        <v>224</v>
      </c>
      <c r="F548" s="689"/>
      <c r="G548" s="690"/>
      <c r="H548" s="690"/>
      <c r="I548" s="691"/>
      <c r="J548" s="10"/>
      <c r="K548" s="24">
        <f>K549</f>
        <v>3836.5</v>
      </c>
      <c r="L548" s="24">
        <f>L549</f>
        <v>0</v>
      </c>
      <c r="M548" s="24">
        <f>M549</f>
        <v>3836.5</v>
      </c>
      <c r="N548" s="24">
        <f>N549</f>
        <v>3836.5</v>
      </c>
    </row>
    <row r="549" spans="1:14" s="111" customFormat="1" ht="54" x14ac:dyDescent="0.35">
      <c r="A549" s="110"/>
      <c r="B549" s="496" t="s">
        <v>221</v>
      </c>
      <c r="C549" s="23" t="s">
        <v>285</v>
      </c>
      <c r="D549" s="10" t="s">
        <v>224</v>
      </c>
      <c r="E549" s="10" t="s">
        <v>224</v>
      </c>
      <c r="F549" s="689" t="s">
        <v>65</v>
      </c>
      <c r="G549" s="690" t="s">
        <v>42</v>
      </c>
      <c r="H549" s="690" t="s">
        <v>43</v>
      </c>
      <c r="I549" s="691" t="s">
        <v>44</v>
      </c>
      <c r="J549" s="10"/>
      <c r="K549" s="24">
        <f t="shared" ref="K549:N551" si="89">K550</f>
        <v>3836.5</v>
      </c>
      <c r="L549" s="24">
        <f t="shared" si="89"/>
        <v>0</v>
      </c>
      <c r="M549" s="24">
        <f t="shared" si="89"/>
        <v>3836.5</v>
      </c>
      <c r="N549" s="24">
        <f t="shared" si="89"/>
        <v>3836.5</v>
      </c>
    </row>
    <row r="550" spans="1:14" s="111" customFormat="1" ht="18" x14ac:dyDescent="0.35">
      <c r="A550" s="110"/>
      <c r="B550" s="496" t="s">
        <v>222</v>
      </c>
      <c r="C550" s="23" t="s">
        <v>285</v>
      </c>
      <c r="D550" s="10" t="s">
        <v>224</v>
      </c>
      <c r="E550" s="10" t="s">
        <v>224</v>
      </c>
      <c r="F550" s="689" t="s">
        <v>65</v>
      </c>
      <c r="G550" s="690" t="s">
        <v>45</v>
      </c>
      <c r="H550" s="690" t="s">
        <v>43</v>
      </c>
      <c r="I550" s="691" t="s">
        <v>44</v>
      </c>
      <c r="J550" s="10"/>
      <c r="K550" s="24">
        <f t="shared" si="89"/>
        <v>3836.5</v>
      </c>
      <c r="L550" s="24">
        <f t="shared" si="89"/>
        <v>0</v>
      </c>
      <c r="M550" s="24">
        <f t="shared" si="89"/>
        <v>3836.5</v>
      </c>
      <c r="N550" s="24">
        <f t="shared" si="89"/>
        <v>3836.5</v>
      </c>
    </row>
    <row r="551" spans="1:14" s="111" customFormat="1" ht="72" x14ac:dyDescent="0.35">
      <c r="A551" s="110"/>
      <c r="B551" s="496" t="s">
        <v>286</v>
      </c>
      <c r="C551" s="23" t="s">
        <v>285</v>
      </c>
      <c r="D551" s="10" t="s">
        <v>224</v>
      </c>
      <c r="E551" s="10" t="s">
        <v>224</v>
      </c>
      <c r="F551" s="689" t="s">
        <v>65</v>
      </c>
      <c r="G551" s="690" t="s">
        <v>45</v>
      </c>
      <c r="H551" s="690" t="s">
        <v>37</v>
      </c>
      <c r="I551" s="691" t="s">
        <v>44</v>
      </c>
      <c r="J551" s="10"/>
      <c r="K551" s="24">
        <f t="shared" si="89"/>
        <v>3836.5</v>
      </c>
      <c r="L551" s="24">
        <f t="shared" si="89"/>
        <v>0</v>
      </c>
      <c r="M551" s="24">
        <f t="shared" si="89"/>
        <v>3836.5</v>
      </c>
      <c r="N551" s="24">
        <f t="shared" si="89"/>
        <v>3836.5</v>
      </c>
    </row>
    <row r="552" spans="1:14" s="111" customFormat="1" ht="36" x14ac:dyDescent="0.35">
      <c r="A552" s="110"/>
      <c r="B552" s="574" t="s">
        <v>461</v>
      </c>
      <c r="C552" s="23" t="s">
        <v>285</v>
      </c>
      <c r="D552" s="10" t="s">
        <v>224</v>
      </c>
      <c r="E552" s="10" t="s">
        <v>224</v>
      </c>
      <c r="F552" s="689" t="s">
        <v>65</v>
      </c>
      <c r="G552" s="690" t="s">
        <v>45</v>
      </c>
      <c r="H552" s="690" t="s">
        <v>37</v>
      </c>
      <c r="I552" s="691" t="s">
        <v>91</v>
      </c>
      <c r="J552" s="10"/>
      <c r="K552" s="24">
        <f>K553+K554+K555</f>
        <v>3836.5</v>
      </c>
      <c r="L552" s="24">
        <f>L553+L554+L555</f>
        <v>0</v>
      </c>
      <c r="M552" s="24">
        <f>M553+M554+M555</f>
        <v>3836.5</v>
      </c>
      <c r="N552" s="24">
        <f>N553+N554+N555</f>
        <v>3836.5</v>
      </c>
    </row>
    <row r="553" spans="1:14" s="111" customFormat="1" ht="108" x14ac:dyDescent="0.35">
      <c r="A553" s="11"/>
      <c r="B553" s="496" t="s">
        <v>49</v>
      </c>
      <c r="C553" s="23" t="s">
        <v>285</v>
      </c>
      <c r="D553" s="10" t="s">
        <v>224</v>
      </c>
      <c r="E553" s="10" t="s">
        <v>224</v>
      </c>
      <c r="F553" s="689" t="s">
        <v>65</v>
      </c>
      <c r="G553" s="690" t="s">
        <v>45</v>
      </c>
      <c r="H553" s="690" t="s">
        <v>37</v>
      </c>
      <c r="I553" s="691" t="s">
        <v>91</v>
      </c>
      <c r="J553" s="10" t="s">
        <v>50</v>
      </c>
      <c r="K553" s="24">
        <v>3509.5</v>
      </c>
      <c r="L553" s="24">
        <f>M553-K553</f>
        <v>0</v>
      </c>
      <c r="M553" s="24">
        <v>3509.5</v>
      </c>
      <c r="N553" s="24">
        <v>3509.5</v>
      </c>
    </row>
    <row r="554" spans="1:14" s="7" customFormat="1" ht="54" x14ac:dyDescent="0.35">
      <c r="A554" s="11"/>
      <c r="B554" s="496" t="s">
        <v>55</v>
      </c>
      <c r="C554" s="23" t="s">
        <v>285</v>
      </c>
      <c r="D554" s="10" t="s">
        <v>224</v>
      </c>
      <c r="E554" s="10" t="s">
        <v>224</v>
      </c>
      <c r="F554" s="689" t="s">
        <v>65</v>
      </c>
      <c r="G554" s="690" t="s">
        <v>45</v>
      </c>
      <c r="H554" s="690" t="s">
        <v>37</v>
      </c>
      <c r="I554" s="691" t="s">
        <v>91</v>
      </c>
      <c r="J554" s="10" t="s">
        <v>56</v>
      </c>
      <c r="K554" s="24">
        <v>324.3</v>
      </c>
      <c r="L554" s="24">
        <f>M554-K554</f>
        <v>0</v>
      </c>
      <c r="M554" s="24">
        <v>324.3</v>
      </c>
      <c r="N554" s="24">
        <v>324.3</v>
      </c>
    </row>
    <row r="555" spans="1:14" s="7" customFormat="1" ht="18" x14ac:dyDescent="0.35">
      <c r="A555" s="11"/>
      <c r="B555" s="496" t="s">
        <v>57</v>
      </c>
      <c r="C555" s="23" t="s">
        <v>285</v>
      </c>
      <c r="D555" s="10" t="s">
        <v>224</v>
      </c>
      <c r="E555" s="10" t="s">
        <v>224</v>
      </c>
      <c r="F555" s="689" t="s">
        <v>65</v>
      </c>
      <c r="G555" s="690" t="s">
        <v>45</v>
      </c>
      <c r="H555" s="690" t="s">
        <v>37</v>
      </c>
      <c r="I555" s="691" t="s">
        <v>91</v>
      </c>
      <c r="J555" s="10" t="s">
        <v>58</v>
      </c>
      <c r="K555" s="24">
        <v>2.7</v>
      </c>
      <c r="L555" s="24">
        <f>M555-K555</f>
        <v>0</v>
      </c>
      <c r="M555" s="24">
        <v>2.7</v>
      </c>
      <c r="N555" s="24">
        <v>2.7</v>
      </c>
    </row>
    <row r="556" spans="1:14" s="7" customFormat="1" ht="18" x14ac:dyDescent="0.35">
      <c r="A556" s="11"/>
      <c r="B556" s="496" t="s">
        <v>186</v>
      </c>
      <c r="C556" s="143" t="s">
        <v>285</v>
      </c>
      <c r="D556" s="10" t="s">
        <v>224</v>
      </c>
      <c r="E556" s="10" t="s">
        <v>79</v>
      </c>
      <c r="F556" s="689"/>
      <c r="G556" s="690"/>
      <c r="H556" s="690"/>
      <c r="I556" s="691"/>
      <c r="J556" s="10"/>
      <c r="K556" s="24">
        <f t="shared" ref="K556:N559" si="90">K557</f>
        <v>3623.7</v>
      </c>
      <c r="L556" s="24">
        <f t="shared" si="90"/>
        <v>0</v>
      </c>
      <c r="M556" s="24">
        <f t="shared" si="90"/>
        <v>3623.7</v>
      </c>
      <c r="N556" s="24">
        <f t="shared" si="90"/>
        <v>3629.3999999999996</v>
      </c>
    </row>
    <row r="557" spans="1:14" s="7" customFormat="1" ht="54" x14ac:dyDescent="0.35">
      <c r="A557" s="11"/>
      <c r="B557" s="496" t="s">
        <v>221</v>
      </c>
      <c r="C557" s="143" t="s">
        <v>285</v>
      </c>
      <c r="D557" s="10" t="s">
        <v>224</v>
      </c>
      <c r="E557" s="10" t="s">
        <v>79</v>
      </c>
      <c r="F557" s="689" t="s">
        <v>65</v>
      </c>
      <c r="G557" s="690" t="s">
        <v>42</v>
      </c>
      <c r="H557" s="690" t="s">
        <v>43</v>
      </c>
      <c r="I557" s="691" t="s">
        <v>44</v>
      </c>
      <c r="J557" s="10"/>
      <c r="K557" s="24">
        <f t="shared" si="90"/>
        <v>3623.7</v>
      </c>
      <c r="L557" s="24">
        <f t="shared" si="90"/>
        <v>0</v>
      </c>
      <c r="M557" s="24">
        <f t="shared" si="90"/>
        <v>3623.7</v>
      </c>
      <c r="N557" s="24">
        <f t="shared" si="90"/>
        <v>3629.3999999999996</v>
      </c>
    </row>
    <row r="558" spans="1:14" s="7" customFormat="1" ht="36" x14ac:dyDescent="0.35">
      <c r="A558" s="11"/>
      <c r="B558" s="496" t="s">
        <v>220</v>
      </c>
      <c r="C558" s="23" t="s">
        <v>285</v>
      </c>
      <c r="D558" s="10" t="s">
        <v>224</v>
      </c>
      <c r="E558" s="10" t="s">
        <v>79</v>
      </c>
      <c r="F558" s="689" t="s">
        <v>65</v>
      </c>
      <c r="G558" s="690" t="s">
        <v>89</v>
      </c>
      <c r="H558" s="690" t="s">
        <v>43</v>
      </c>
      <c r="I558" s="691" t="s">
        <v>44</v>
      </c>
      <c r="J558" s="10"/>
      <c r="K558" s="24">
        <f t="shared" si="90"/>
        <v>3623.7</v>
      </c>
      <c r="L558" s="24">
        <f t="shared" si="90"/>
        <v>0</v>
      </c>
      <c r="M558" s="24">
        <f t="shared" si="90"/>
        <v>3623.7</v>
      </c>
      <c r="N558" s="24">
        <f t="shared" si="90"/>
        <v>3629.3999999999996</v>
      </c>
    </row>
    <row r="559" spans="1:14" s="111" customFormat="1" ht="36" x14ac:dyDescent="0.35">
      <c r="A559" s="11"/>
      <c r="B559" s="496" t="s">
        <v>281</v>
      </c>
      <c r="C559" s="23" t="s">
        <v>285</v>
      </c>
      <c r="D559" s="10" t="s">
        <v>224</v>
      </c>
      <c r="E559" s="10" t="s">
        <v>79</v>
      </c>
      <c r="F559" s="689" t="s">
        <v>65</v>
      </c>
      <c r="G559" s="690" t="s">
        <v>89</v>
      </c>
      <c r="H559" s="690" t="s">
        <v>37</v>
      </c>
      <c r="I559" s="691" t="s">
        <v>44</v>
      </c>
      <c r="J559" s="10"/>
      <c r="K559" s="24">
        <f t="shared" si="90"/>
        <v>3623.7</v>
      </c>
      <c r="L559" s="24">
        <f t="shared" si="90"/>
        <v>0</v>
      </c>
      <c r="M559" s="24">
        <f t="shared" si="90"/>
        <v>3623.7</v>
      </c>
      <c r="N559" s="24">
        <f t="shared" si="90"/>
        <v>3629.3999999999996</v>
      </c>
    </row>
    <row r="560" spans="1:14" s="7" customFormat="1" ht="36" x14ac:dyDescent="0.35">
      <c r="A560" s="11"/>
      <c r="B560" s="496" t="s">
        <v>47</v>
      </c>
      <c r="C560" s="23" t="s">
        <v>285</v>
      </c>
      <c r="D560" s="10" t="s">
        <v>224</v>
      </c>
      <c r="E560" s="10" t="s">
        <v>79</v>
      </c>
      <c r="F560" s="689" t="s">
        <v>65</v>
      </c>
      <c r="G560" s="690" t="s">
        <v>89</v>
      </c>
      <c r="H560" s="690" t="s">
        <v>37</v>
      </c>
      <c r="I560" s="691" t="s">
        <v>48</v>
      </c>
      <c r="J560" s="10"/>
      <c r="K560" s="24">
        <f>K561+K562+K563</f>
        <v>3623.7</v>
      </c>
      <c r="L560" s="24">
        <f>L561+L562+L563</f>
        <v>0</v>
      </c>
      <c r="M560" s="24">
        <f>M561+M562+M563</f>
        <v>3623.7</v>
      </c>
      <c r="N560" s="24">
        <f>N561+N562+N563</f>
        <v>3629.3999999999996</v>
      </c>
    </row>
    <row r="561" spans="1:14" s="7" customFormat="1" ht="108" x14ac:dyDescent="0.35">
      <c r="A561" s="11"/>
      <c r="B561" s="496" t="s">
        <v>49</v>
      </c>
      <c r="C561" s="23" t="s">
        <v>285</v>
      </c>
      <c r="D561" s="10" t="s">
        <v>224</v>
      </c>
      <c r="E561" s="10" t="s">
        <v>79</v>
      </c>
      <c r="F561" s="689" t="s">
        <v>65</v>
      </c>
      <c r="G561" s="690" t="s">
        <v>89</v>
      </c>
      <c r="H561" s="690" t="s">
        <v>37</v>
      </c>
      <c r="I561" s="691" t="s">
        <v>48</v>
      </c>
      <c r="J561" s="10" t="s">
        <v>50</v>
      </c>
      <c r="K561" s="24">
        <v>3261.7</v>
      </c>
      <c r="L561" s="24">
        <f>M561-K561</f>
        <v>0</v>
      </c>
      <c r="M561" s="24">
        <v>3261.7</v>
      </c>
      <c r="N561" s="24">
        <v>3261.7</v>
      </c>
    </row>
    <row r="562" spans="1:14" s="7" customFormat="1" ht="54" x14ac:dyDescent="0.35">
      <c r="A562" s="11"/>
      <c r="B562" s="496" t="s">
        <v>55</v>
      </c>
      <c r="C562" s="143" t="s">
        <v>285</v>
      </c>
      <c r="D562" s="91" t="s">
        <v>224</v>
      </c>
      <c r="E562" s="91" t="s">
        <v>79</v>
      </c>
      <c r="F562" s="689" t="s">
        <v>65</v>
      </c>
      <c r="G562" s="690" t="s">
        <v>89</v>
      </c>
      <c r="H562" s="690" t="s">
        <v>37</v>
      </c>
      <c r="I562" s="691" t="s">
        <v>48</v>
      </c>
      <c r="J562" s="10" t="s">
        <v>56</v>
      </c>
      <c r="K562" s="24">
        <v>360.8</v>
      </c>
      <c r="L562" s="24">
        <f>M562-K562</f>
        <v>0</v>
      </c>
      <c r="M562" s="24">
        <v>360.8</v>
      </c>
      <c r="N562" s="24">
        <v>366.5</v>
      </c>
    </row>
    <row r="563" spans="1:14" s="7" customFormat="1" ht="18" x14ac:dyDescent="0.35">
      <c r="A563" s="11"/>
      <c r="B563" s="496" t="s">
        <v>57</v>
      </c>
      <c r="C563" s="143" t="s">
        <v>285</v>
      </c>
      <c r="D563" s="91" t="s">
        <v>224</v>
      </c>
      <c r="E563" s="91" t="s">
        <v>79</v>
      </c>
      <c r="F563" s="689" t="s">
        <v>65</v>
      </c>
      <c r="G563" s="690" t="s">
        <v>89</v>
      </c>
      <c r="H563" s="690" t="s">
        <v>37</v>
      </c>
      <c r="I563" s="691" t="s">
        <v>48</v>
      </c>
      <c r="J563" s="10" t="s">
        <v>58</v>
      </c>
      <c r="K563" s="24">
        <v>1.2</v>
      </c>
      <c r="L563" s="24">
        <f>M563-K563</f>
        <v>0</v>
      </c>
      <c r="M563" s="24">
        <v>1.2</v>
      </c>
      <c r="N563" s="24">
        <v>1.2</v>
      </c>
    </row>
    <row r="564" spans="1:14" s="7" customFormat="1" ht="18" x14ac:dyDescent="0.35">
      <c r="A564" s="11"/>
      <c r="B564" s="496"/>
      <c r="C564" s="143"/>
      <c r="D564" s="91"/>
      <c r="E564" s="91"/>
      <c r="F564" s="689"/>
      <c r="G564" s="690"/>
      <c r="H564" s="690"/>
      <c r="I564" s="691"/>
      <c r="J564" s="10"/>
      <c r="K564" s="24"/>
      <c r="L564" s="24"/>
      <c r="M564" s="24"/>
      <c r="N564" s="24"/>
    </row>
    <row r="565" spans="1:14" s="111" customFormat="1" ht="52.2" x14ac:dyDescent="0.3">
      <c r="A565" s="110">
        <v>9</v>
      </c>
      <c r="B565" s="543" t="s">
        <v>12</v>
      </c>
      <c r="C565" s="18" t="s">
        <v>293</v>
      </c>
      <c r="D565" s="19"/>
      <c r="E565" s="19"/>
      <c r="F565" s="20"/>
      <c r="G565" s="21"/>
      <c r="H565" s="21"/>
      <c r="I565" s="22"/>
      <c r="J565" s="19"/>
      <c r="K565" s="32">
        <f>K566</f>
        <v>73728.2</v>
      </c>
      <c r="L565" s="32">
        <f>L566</f>
        <v>0</v>
      </c>
      <c r="M565" s="32">
        <f>M566</f>
        <v>73728.2</v>
      </c>
      <c r="N565" s="32">
        <f>N566</f>
        <v>75230</v>
      </c>
    </row>
    <row r="566" spans="1:14" s="7" customFormat="1" ht="18" x14ac:dyDescent="0.35">
      <c r="A566" s="11"/>
      <c r="B566" s="546" t="s">
        <v>119</v>
      </c>
      <c r="C566" s="23" t="s">
        <v>293</v>
      </c>
      <c r="D566" s="10" t="s">
        <v>104</v>
      </c>
      <c r="E566" s="10"/>
      <c r="F566" s="689"/>
      <c r="G566" s="690"/>
      <c r="H566" s="690"/>
      <c r="I566" s="691"/>
      <c r="J566" s="10"/>
      <c r="K566" s="24">
        <f>K567+K588</f>
        <v>73728.2</v>
      </c>
      <c r="L566" s="24">
        <f>L567+L588</f>
        <v>0</v>
      </c>
      <c r="M566" s="24">
        <f>M567+M588</f>
        <v>73728.2</v>
      </c>
      <c r="N566" s="24">
        <f>N567+N588</f>
        <v>75230</v>
      </c>
    </row>
    <row r="567" spans="1:14" s="7" customFormat="1" ht="18" x14ac:dyDescent="0.35">
      <c r="A567" s="11"/>
      <c r="B567" s="496" t="s">
        <v>193</v>
      </c>
      <c r="C567" s="23" t="s">
        <v>293</v>
      </c>
      <c r="D567" s="10" t="s">
        <v>104</v>
      </c>
      <c r="E567" s="10" t="s">
        <v>52</v>
      </c>
      <c r="F567" s="689"/>
      <c r="G567" s="690"/>
      <c r="H567" s="690"/>
      <c r="I567" s="691"/>
      <c r="J567" s="10"/>
      <c r="K567" s="24">
        <f t="shared" ref="K567:N568" si="91">K568</f>
        <v>64794.999999999993</v>
      </c>
      <c r="L567" s="24">
        <f t="shared" si="91"/>
        <v>0</v>
      </c>
      <c r="M567" s="24">
        <f t="shared" si="91"/>
        <v>64794.999999999993</v>
      </c>
      <c r="N567" s="24">
        <f t="shared" si="91"/>
        <v>66296.800000000003</v>
      </c>
    </row>
    <row r="568" spans="1:14" s="7" customFormat="1" ht="54" x14ac:dyDescent="0.35">
      <c r="A568" s="11"/>
      <c r="B568" s="503" t="s">
        <v>230</v>
      </c>
      <c r="C568" s="23" t="s">
        <v>293</v>
      </c>
      <c r="D568" s="10" t="s">
        <v>104</v>
      </c>
      <c r="E568" s="10" t="s">
        <v>52</v>
      </c>
      <c r="F568" s="689" t="s">
        <v>79</v>
      </c>
      <c r="G568" s="690" t="s">
        <v>42</v>
      </c>
      <c r="H568" s="690" t="s">
        <v>43</v>
      </c>
      <c r="I568" s="691" t="s">
        <v>44</v>
      </c>
      <c r="J568" s="10"/>
      <c r="K568" s="24">
        <f t="shared" si="91"/>
        <v>64794.999999999993</v>
      </c>
      <c r="L568" s="24">
        <f t="shared" si="91"/>
        <v>0</v>
      </c>
      <c r="M568" s="24">
        <f t="shared" si="91"/>
        <v>64794.999999999993</v>
      </c>
      <c r="N568" s="24">
        <f t="shared" si="91"/>
        <v>66296.800000000003</v>
      </c>
    </row>
    <row r="569" spans="1:14" s="7" customFormat="1" ht="36" x14ac:dyDescent="0.35">
      <c r="A569" s="11"/>
      <c r="B569" s="496" t="s">
        <v>337</v>
      </c>
      <c r="C569" s="23" t="s">
        <v>293</v>
      </c>
      <c r="D569" s="10" t="s">
        <v>104</v>
      </c>
      <c r="E569" s="10" t="s">
        <v>52</v>
      </c>
      <c r="F569" s="689" t="s">
        <v>79</v>
      </c>
      <c r="G569" s="690" t="s">
        <v>45</v>
      </c>
      <c r="H569" s="690" t="s">
        <v>43</v>
      </c>
      <c r="I569" s="691" t="s">
        <v>44</v>
      </c>
      <c r="J569" s="10"/>
      <c r="K569" s="24">
        <f>K570+K585</f>
        <v>64794.999999999993</v>
      </c>
      <c r="L569" s="24">
        <f>L570+L585</f>
        <v>0</v>
      </c>
      <c r="M569" s="24">
        <f>M570+M585</f>
        <v>64794.999999999993</v>
      </c>
      <c r="N569" s="24">
        <f>N570+N585</f>
        <v>66296.800000000003</v>
      </c>
    </row>
    <row r="570" spans="1:14" s="111" customFormat="1" ht="36" x14ac:dyDescent="0.35">
      <c r="A570" s="11"/>
      <c r="B570" s="496" t="s">
        <v>284</v>
      </c>
      <c r="C570" s="23" t="s">
        <v>293</v>
      </c>
      <c r="D570" s="10" t="s">
        <v>104</v>
      </c>
      <c r="E570" s="10" t="s">
        <v>52</v>
      </c>
      <c r="F570" s="689" t="s">
        <v>79</v>
      </c>
      <c r="G570" s="690" t="s">
        <v>45</v>
      </c>
      <c r="H570" s="690" t="s">
        <v>37</v>
      </c>
      <c r="I570" s="691" t="s">
        <v>44</v>
      </c>
      <c r="J570" s="10"/>
      <c r="K570" s="24">
        <f t="shared" ref="K570" si="92">K571+K574+K579+K582+K577</f>
        <v>64789.799999999996</v>
      </c>
      <c r="L570" s="24">
        <f>L571+L574+L579+L582+L577</f>
        <v>0</v>
      </c>
      <c r="M570" s="24">
        <f t="shared" ref="M570:N570" si="93">M571+M574+M579+M582+M577</f>
        <v>64789.799999999996</v>
      </c>
      <c r="N570" s="24">
        <f t="shared" si="93"/>
        <v>66291.600000000006</v>
      </c>
    </row>
    <row r="571" spans="1:14" s="111" customFormat="1" ht="144" x14ac:dyDescent="0.35">
      <c r="A571" s="11"/>
      <c r="B571" s="571" t="s">
        <v>355</v>
      </c>
      <c r="C571" s="23" t="s">
        <v>293</v>
      </c>
      <c r="D571" s="10" t="s">
        <v>104</v>
      </c>
      <c r="E571" s="10" t="s">
        <v>52</v>
      </c>
      <c r="F571" s="689" t="s">
        <v>79</v>
      </c>
      <c r="G571" s="690" t="s">
        <v>45</v>
      </c>
      <c r="H571" s="690" t="s">
        <v>37</v>
      </c>
      <c r="I571" s="691" t="s">
        <v>538</v>
      </c>
      <c r="J571" s="10"/>
      <c r="K571" s="24">
        <f>SUM(K572:K573)</f>
        <v>37153.799999999996</v>
      </c>
      <c r="L571" s="24">
        <f>SUM(L572:L573)</f>
        <v>0</v>
      </c>
      <c r="M571" s="24">
        <f>SUM(M572:M573)</f>
        <v>37153.799999999996</v>
      </c>
      <c r="N571" s="24">
        <f>SUM(N572:N573)</f>
        <v>38640.6</v>
      </c>
    </row>
    <row r="572" spans="1:14" s="111" customFormat="1" ht="54" x14ac:dyDescent="0.35">
      <c r="A572" s="11"/>
      <c r="B572" s="496" t="s">
        <v>55</v>
      </c>
      <c r="C572" s="23" t="s">
        <v>293</v>
      </c>
      <c r="D572" s="10" t="s">
        <v>104</v>
      </c>
      <c r="E572" s="10" t="s">
        <v>52</v>
      </c>
      <c r="F572" s="689" t="s">
        <v>79</v>
      </c>
      <c r="G572" s="690" t="s">
        <v>45</v>
      </c>
      <c r="H572" s="690" t="s">
        <v>37</v>
      </c>
      <c r="I572" s="691" t="s">
        <v>538</v>
      </c>
      <c r="J572" s="10" t="s">
        <v>56</v>
      </c>
      <c r="K572" s="24">
        <v>185.7</v>
      </c>
      <c r="L572" s="24">
        <f>M572-K572</f>
        <v>0</v>
      </c>
      <c r="M572" s="24">
        <v>185.7</v>
      </c>
      <c r="N572" s="24">
        <v>193.2</v>
      </c>
    </row>
    <row r="573" spans="1:14" s="111" customFormat="1" ht="36" x14ac:dyDescent="0.35">
      <c r="A573" s="11"/>
      <c r="B573" s="496" t="s">
        <v>120</v>
      </c>
      <c r="C573" s="23" t="s">
        <v>293</v>
      </c>
      <c r="D573" s="10" t="s">
        <v>104</v>
      </c>
      <c r="E573" s="10" t="s">
        <v>52</v>
      </c>
      <c r="F573" s="689" t="s">
        <v>79</v>
      </c>
      <c r="G573" s="690" t="s">
        <v>45</v>
      </c>
      <c r="H573" s="690" t="s">
        <v>37</v>
      </c>
      <c r="I573" s="691" t="s">
        <v>538</v>
      </c>
      <c r="J573" s="10" t="s">
        <v>121</v>
      </c>
      <c r="K573" s="24">
        <v>36968.1</v>
      </c>
      <c r="L573" s="24">
        <f>M573-K573</f>
        <v>0</v>
      </c>
      <c r="M573" s="24">
        <v>36968.1</v>
      </c>
      <c r="N573" s="24">
        <v>38447.4</v>
      </c>
    </row>
    <row r="574" spans="1:14" s="111" customFormat="1" ht="90" x14ac:dyDescent="0.35">
      <c r="A574" s="11"/>
      <c r="B574" s="496" t="s">
        <v>357</v>
      </c>
      <c r="C574" s="23" t="s">
        <v>293</v>
      </c>
      <c r="D574" s="10" t="s">
        <v>104</v>
      </c>
      <c r="E574" s="10" t="s">
        <v>52</v>
      </c>
      <c r="F574" s="689" t="s">
        <v>79</v>
      </c>
      <c r="G574" s="690" t="s">
        <v>45</v>
      </c>
      <c r="H574" s="690" t="s">
        <v>37</v>
      </c>
      <c r="I574" s="691" t="s">
        <v>540</v>
      </c>
      <c r="J574" s="10"/>
      <c r="K574" s="24">
        <f>SUM(K575:K576)</f>
        <v>375.7</v>
      </c>
      <c r="L574" s="24">
        <f>SUM(L575:L576)</f>
        <v>0</v>
      </c>
      <c r="M574" s="24">
        <f>SUM(M575:M576)</f>
        <v>375.7</v>
      </c>
      <c r="N574" s="24">
        <f>SUM(N575:N576)</f>
        <v>390.7</v>
      </c>
    </row>
    <row r="575" spans="1:14" s="111" customFormat="1" ht="54" x14ac:dyDescent="0.35">
      <c r="A575" s="11"/>
      <c r="B575" s="496" t="s">
        <v>55</v>
      </c>
      <c r="C575" s="23" t="s">
        <v>293</v>
      </c>
      <c r="D575" s="10" t="s">
        <v>104</v>
      </c>
      <c r="E575" s="10" t="s">
        <v>52</v>
      </c>
      <c r="F575" s="689" t="s">
        <v>79</v>
      </c>
      <c r="G575" s="690" t="s">
        <v>45</v>
      </c>
      <c r="H575" s="690" t="s">
        <v>37</v>
      </c>
      <c r="I575" s="691" t="s">
        <v>540</v>
      </c>
      <c r="J575" s="10" t="s">
        <v>56</v>
      </c>
      <c r="K575" s="24">
        <v>1.9</v>
      </c>
      <c r="L575" s="24">
        <f>M575-K575</f>
        <v>0</v>
      </c>
      <c r="M575" s="24">
        <v>1.9</v>
      </c>
      <c r="N575" s="24">
        <v>1.9</v>
      </c>
    </row>
    <row r="576" spans="1:14" s="111" customFormat="1" ht="36" x14ac:dyDescent="0.35">
      <c r="A576" s="11"/>
      <c r="B576" s="496" t="s">
        <v>120</v>
      </c>
      <c r="C576" s="23" t="s">
        <v>293</v>
      </c>
      <c r="D576" s="10" t="s">
        <v>104</v>
      </c>
      <c r="E576" s="10" t="s">
        <v>52</v>
      </c>
      <c r="F576" s="689" t="s">
        <v>79</v>
      </c>
      <c r="G576" s="690" t="s">
        <v>45</v>
      </c>
      <c r="H576" s="690" t="s">
        <v>37</v>
      </c>
      <c r="I576" s="691" t="s">
        <v>540</v>
      </c>
      <c r="J576" s="10" t="s">
        <v>121</v>
      </c>
      <c r="K576" s="24">
        <v>373.8</v>
      </c>
      <c r="L576" s="24">
        <f>M576-K576</f>
        <v>0</v>
      </c>
      <c r="M576" s="24">
        <v>373.8</v>
      </c>
      <c r="N576" s="24">
        <v>388.8</v>
      </c>
    </row>
    <row r="577" spans="1:14" s="111" customFormat="1" ht="144" x14ac:dyDescent="0.35">
      <c r="A577" s="11"/>
      <c r="B577" s="496" t="s">
        <v>740</v>
      </c>
      <c r="C577" s="23" t="s">
        <v>293</v>
      </c>
      <c r="D577" s="10" t="s">
        <v>104</v>
      </c>
      <c r="E577" s="10" t="s">
        <v>52</v>
      </c>
      <c r="F577" s="689" t="s">
        <v>79</v>
      </c>
      <c r="G577" s="690" t="s">
        <v>45</v>
      </c>
      <c r="H577" s="690" t="s">
        <v>37</v>
      </c>
      <c r="I577" s="691" t="s">
        <v>741</v>
      </c>
      <c r="J577" s="10"/>
      <c r="K577" s="24">
        <f>K578</f>
        <v>119.9</v>
      </c>
      <c r="L577" s="24">
        <f>L578</f>
        <v>0</v>
      </c>
      <c r="M577" s="24">
        <f>M578</f>
        <v>119.9</v>
      </c>
      <c r="N577" s="24">
        <f>N578</f>
        <v>119.9</v>
      </c>
    </row>
    <row r="578" spans="1:14" s="111" customFormat="1" ht="36" x14ac:dyDescent="0.35">
      <c r="A578" s="11"/>
      <c r="B578" s="496" t="s">
        <v>120</v>
      </c>
      <c r="C578" s="23" t="s">
        <v>293</v>
      </c>
      <c r="D578" s="10" t="s">
        <v>104</v>
      </c>
      <c r="E578" s="10" t="s">
        <v>52</v>
      </c>
      <c r="F578" s="689" t="s">
        <v>79</v>
      </c>
      <c r="G578" s="690" t="s">
        <v>45</v>
      </c>
      <c r="H578" s="690" t="s">
        <v>37</v>
      </c>
      <c r="I578" s="691" t="s">
        <v>741</v>
      </c>
      <c r="J578" s="10" t="s">
        <v>121</v>
      </c>
      <c r="K578" s="24">
        <v>119.9</v>
      </c>
      <c r="L578" s="24">
        <f>M578-K578</f>
        <v>0</v>
      </c>
      <c r="M578" s="24">
        <v>119.9</v>
      </c>
      <c r="N578" s="24">
        <v>119.9</v>
      </c>
    </row>
    <row r="579" spans="1:14" s="111" customFormat="1" ht="90" x14ac:dyDescent="0.35">
      <c r="A579" s="11"/>
      <c r="B579" s="496" t="s">
        <v>356</v>
      </c>
      <c r="C579" s="23" t="s">
        <v>293</v>
      </c>
      <c r="D579" s="10" t="s">
        <v>104</v>
      </c>
      <c r="E579" s="10" t="s">
        <v>52</v>
      </c>
      <c r="F579" s="689" t="s">
        <v>79</v>
      </c>
      <c r="G579" s="690" t="s">
        <v>45</v>
      </c>
      <c r="H579" s="690" t="s">
        <v>37</v>
      </c>
      <c r="I579" s="691" t="s">
        <v>539</v>
      </c>
      <c r="J579" s="10"/>
      <c r="K579" s="24">
        <f>SUM(K580:K581)</f>
        <v>26783.300000000003</v>
      </c>
      <c r="L579" s="24">
        <f>SUM(L580:L581)</f>
        <v>0</v>
      </c>
      <c r="M579" s="24">
        <f>SUM(M580:M581)</f>
        <v>26783.300000000003</v>
      </c>
      <c r="N579" s="24">
        <f>SUM(N580:N581)</f>
        <v>26783.300000000003</v>
      </c>
    </row>
    <row r="580" spans="1:14" s="111" customFormat="1" ht="54" x14ac:dyDescent="0.35">
      <c r="A580" s="11"/>
      <c r="B580" s="496" t="s">
        <v>55</v>
      </c>
      <c r="C580" s="23" t="s">
        <v>293</v>
      </c>
      <c r="D580" s="10" t="s">
        <v>104</v>
      </c>
      <c r="E580" s="10" t="s">
        <v>52</v>
      </c>
      <c r="F580" s="689" t="s">
        <v>79</v>
      </c>
      <c r="G580" s="690" t="s">
        <v>45</v>
      </c>
      <c r="H580" s="690" t="s">
        <v>37</v>
      </c>
      <c r="I580" s="691" t="s">
        <v>539</v>
      </c>
      <c r="J580" s="10" t="s">
        <v>56</v>
      </c>
      <c r="K580" s="24">
        <v>133.9</v>
      </c>
      <c r="L580" s="24">
        <f>M580-K580</f>
        <v>0</v>
      </c>
      <c r="M580" s="24">
        <v>133.9</v>
      </c>
      <c r="N580" s="24">
        <v>133.9</v>
      </c>
    </row>
    <row r="581" spans="1:14" s="111" customFormat="1" ht="36" x14ac:dyDescent="0.35">
      <c r="A581" s="11"/>
      <c r="B581" s="496" t="s">
        <v>120</v>
      </c>
      <c r="C581" s="23" t="s">
        <v>293</v>
      </c>
      <c r="D581" s="10" t="s">
        <v>104</v>
      </c>
      <c r="E581" s="10" t="s">
        <v>52</v>
      </c>
      <c r="F581" s="689" t="s">
        <v>79</v>
      </c>
      <c r="G581" s="690" t="s">
        <v>45</v>
      </c>
      <c r="H581" s="690" t="s">
        <v>37</v>
      </c>
      <c r="I581" s="691" t="s">
        <v>539</v>
      </c>
      <c r="J581" s="10" t="s">
        <v>121</v>
      </c>
      <c r="K581" s="24">
        <v>26649.4</v>
      </c>
      <c r="L581" s="24">
        <f>M581-K581</f>
        <v>0</v>
      </c>
      <c r="M581" s="24">
        <v>26649.4</v>
      </c>
      <c r="N581" s="24">
        <v>26649.4</v>
      </c>
    </row>
    <row r="582" spans="1:14" s="111" customFormat="1" ht="108" x14ac:dyDescent="0.35">
      <c r="A582" s="11"/>
      <c r="B582" s="496" t="s">
        <v>363</v>
      </c>
      <c r="C582" s="23" t="s">
        <v>293</v>
      </c>
      <c r="D582" s="10" t="s">
        <v>104</v>
      </c>
      <c r="E582" s="10" t="s">
        <v>52</v>
      </c>
      <c r="F582" s="689" t="s">
        <v>79</v>
      </c>
      <c r="G582" s="690" t="s">
        <v>45</v>
      </c>
      <c r="H582" s="690" t="s">
        <v>37</v>
      </c>
      <c r="I582" s="691" t="s">
        <v>541</v>
      </c>
      <c r="J582" s="10"/>
      <c r="K582" s="24">
        <f>SUM(K583:K584)</f>
        <v>357.1</v>
      </c>
      <c r="L582" s="24">
        <f>SUM(L583:L584)</f>
        <v>0</v>
      </c>
      <c r="M582" s="24">
        <f>SUM(M583:M584)</f>
        <v>357.1</v>
      </c>
      <c r="N582" s="24">
        <f>SUM(N583:N584)</f>
        <v>357.1</v>
      </c>
    </row>
    <row r="583" spans="1:14" s="111" customFormat="1" ht="54" x14ac:dyDescent="0.35">
      <c r="A583" s="11"/>
      <c r="B583" s="496" t="s">
        <v>55</v>
      </c>
      <c r="C583" s="23" t="s">
        <v>293</v>
      </c>
      <c r="D583" s="10" t="s">
        <v>104</v>
      </c>
      <c r="E583" s="10" t="s">
        <v>52</v>
      </c>
      <c r="F583" s="689" t="s">
        <v>79</v>
      </c>
      <c r="G583" s="690" t="s">
        <v>45</v>
      </c>
      <c r="H583" s="690" t="s">
        <v>37</v>
      </c>
      <c r="I583" s="691" t="s">
        <v>541</v>
      </c>
      <c r="J583" s="10" t="s">
        <v>56</v>
      </c>
      <c r="K583" s="24">
        <v>1.8</v>
      </c>
      <c r="L583" s="24">
        <f>M583-K583</f>
        <v>0</v>
      </c>
      <c r="M583" s="24">
        <v>1.8</v>
      </c>
      <c r="N583" s="24">
        <v>1.8</v>
      </c>
    </row>
    <row r="584" spans="1:14" s="111" customFormat="1" ht="36" x14ac:dyDescent="0.35">
      <c r="A584" s="11"/>
      <c r="B584" s="496" t="s">
        <v>120</v>
      </c>
      <c r="C584" s="23" t="s">
        <v>293</v>
      </c>
      <c r="D584" s="10" t="s">
        <v>104</v>
      </c>
      <c r="E584" s="10" t="s">
        <v>52</v>
      </c>
      <c r="F584" s="689" t="s">
        <v>79</v>
      </c>
      <c r="G584" s="690" t="s">
        <v>45</v>
      </c>
      <c r="H584" s="690" t="s">
        <v>37</v>
      </c>
      <c r="I584" s="691" t="s">
        <v>541</v>
      </c>
      <c r="J584" s="10" t="s">
        <v>121</v>
      </c>
      <c r="K584" s="24">
        <v>355.3</v>
      </c>
      <c r="L584" s="24">
        <f>M584-K584</f>
        <v>0</v>
      </c>
      <c r="M584" s="24">
        <v>355.3</v>
      </c>
      <c r="N584" s="24">
        <v>355.3</v>
      </c>
    </row>
    <row r="585" spans="1:14" s="111" customFormat="1" ht="90" x14ac:dyDescent="0.35">
      <c r="A585" s="11"/>
      <c r="B585" s="496" t="s">
        <v>299</v>
      </c>
      <c r="C585" s="23" t="s">
        <v>293</v>
      </c>
      <c r="D585" s="10" t="s">
        <v>104</v>
      </c>
      <c r="E585" s="10" t="s">
        <v>52</v>
      </c>
      <c r="F585" s="689" t="s">
        <v>79</v>
      </c>
      <c r="G585" s="690" t="s">
        <v>45</v>
      </c>
      <c r="H585" s="690" t="s">
        <v>39</v>
      </c>
      <c r="I585" s="691" t="s">
        <v>44</v>
      </c>
      <c r="J585" s="10"/>
      <c r="K585" s="24">
        <f t="shared" ref="K585:N586" si="94">K586</f>
        <v>5.2</v>
      </c>
      <c r="L585" s="24">
        <f t="shared" si="94"/>
        <v>0</v>
      </c>
      <c r="M585" s="24">
        <f t="shared" si="94"/>
        <v>5.2</v>
      </c>
      <c r="N585" s="24">
        <f t="shared" si="94"/>
        <v>5.2</v>
      </c>
    </row>
    <row r="586" spans="1:14" s="111" customFormat="1" ht="198" x14ac:dyDescent="0.35">
      <c r="A586" s="11"/>
      <c r="B586" s="496" t="s">
        <v>715</v>
      </c>
      <c r="C586" s="23" t="s">
        <v>293</v>
      </c>
      <c r="D586" s="10" t="s">
        <v>104</v>
      </c>
      <c r="E586" s="10" t="s">
        <v>52</v>
      </c>
      <c r="F586" s="689" t="s">
        <v>79</v>
      </c>
      <c r="G586" s="690" t="s">
        <v>45</v>
      </c>
      <c r="H586" s="690" t="s">
        <v>39</v>
      </c>
      <c r="I586" s="691" t="s">
        <v>589</v>
      </c>
      <c r="J586" s="10"/>
      <c r="K586" s="24">
        <f t="shared" si="94"/>
        <v>5.2</v>
      </c>
      <c r="L586" s="24">
        <f t="shared" si="94"/>
        <v>0</v>
      </c>
      <c r="M586" s="24">
        <f t="shared" si="94"/>
        <v>5.2</v>
      </c>
      <c r="N586" s="24">
        <f t="shared" si="94"/>
        <v>5.2</v>
      </c>
    </row>
    <row r="587" spans="1:14" s="111" customFormat="1" ht="36" x14ac:dyDescent="0.35">
      <c r="A587" s="11"/>
      <c r="B587" s="496" t="s">
        <v>120</v>
      </c>
      <c r="C587" s="23" t="s">
        <v>293</v>
      </c>
      <c r="D587" s="10" t="s">
        <v>104</v>
      </c>
      <c r="E587" s="10" t="s">
        <v>52</v>
      </c>
      <c r="F587" s="689" t="s">
        <v>79</v>
      </c>
      <c r="G587" s="690" t="s">
        <v>45</v>
      </c>
      <c r="H587" s="690" t="s">
        <v>39</v>
      </c>
      <c r="I587" s="691" t="s">
        <v>589</v>
      </c>
      <c r="J587" s="10" t="s">
        <v>121</v>
      </c>
      <c r="K587" s="24">
        <v>5.2</v>
      </c>
      <c r="L587" s="24">
        <f>M587-K587</f>
        <v>0</v>
      </c>
      <c r="M587" s="24">
        <v>5.2</v>
      </c>
      <c r="N587" s="24">
        <v>5.2</v>
      </c>
    </row>
    <row r="588" spans="1:14" s="7" customFormat="1" ht="36" x14ac:dyDescent="0.35">
      <c r="A588" s="11"/>
      <c r="B588" s="496" t="s">
        <v>295</v>
      </c>
      <c r="C588" s="23" t="s">
        <v>293</v>
      </c>
      <c r="D588" s="10" t="s">
        <v>104</v>
      </c>
      <c r="E588" s="10" t="s">
        <v>81</v>
      </c>
      <c r="F588" s="689"/>
      <c r="G588" s="690"/>
      <c r="H588" s="690"/>
      <c r="I588" s="691"/>
      <c r="J588" s="10"/>
      <c r="K588" s="24">
        <f t="shared" ref="K588:N590" si="95">K589</f>
        <v>8933.2000000000007</v>
      </c>
      <c r="L588" s="24">
        <f t="shared" si="95"/>
        <v>0</v>
      </c>
      <c r="M588" s="24">
        <f t="shared" si="95"/>
        <v>8933.2000000000007</v>
      </c>
      <c r="N588" s="24">
        <f t="shared" si="95"/>
        <v>8933.2000000000007</v>
      </c>
    </row>
    <row r="589" spans="1:14" s="7" customFormat="1" ht="54" x14ac:dyDescent="0.35">
      <c r="A589" s="11"/>
      <c r="B589" s="503" t="s">
        <v>230</v>
      </c>
      <c r="C589" s="23" t="s">
        <v>293</v>
      </c>
      <c r="D589" s="10" t="s">
        <v>104</v>
      </c>
      <c r="E589" s="10" t="s">
        <v>81</v>
      </c>
      <c r="F589" s="689" t="s">
        <v>79</v>
      </c>
      <c r="G589" s="690" t="s">
        <v>42</v>
      </c>
      <c r="H589" s="690" t="s">
        <v>43</v>
      </c>
      <c r="I589" s="691" t="s">
        <v>44</v>
      </c>
      <c r="J589" s="10"/>
      <c r="K589" s="24">
        <f t="shared" si="95"/>
        <v>8933.2000000000007</v>
      </c>
      <c r="L589" s="24">
        <f t="shared" si="95"/>
        <v>0</v>
      </c>
      <c r="M589" s="24">
        <f t="shared" si="95"/>
        <v>8933.2000000000007</v>
      </c>
      <c r="N589" s="24">
        <f t="shared" si="95"/>
        <v>8933.2000000000007</v>
      </c>
    </row>
    <row r="590" spans="1:14" s="7" customFormat="1" ht="36" x14ac:dyDescent="0.35">
      <c r="A590" s="11"/>
      <c r="B590" s="496" t="s">
        <v>337</v>
      </c>
      <c r="C590" s="23" t="s">
        <v>293</v>
      </c>
      <c r="D590" s="10" t="s">
        <v>104</v>
      </c>
      <c r="E590" s="10" t="s">
        <v>81</v>
      </c>
      <c r="F590" s="689" t="s">
        <v>79</v>
      </c>
      <c r="G590" s="690" t="s">
        <v>45</v>
      </c>
      <c r="H590" s="690" t="s">
        <v>43</v>
      </c>
      <c r="I590" s="691" t="s">
        <v>44</v>
      </c>
      <c r="J590" s="10"/>
      <c r="K590" s="24">
        <f t="shared" si="95"/>
        <v>8933.2000000000007</v>
      </c>
      <c r="L590" s="24">
        <f t="shared" si="95"/>
        <v>0</v>
      </c>
      <c r="M590" s="24">
        <f t="shared" si="95"/>
        <v>8933.2000000000007</v>
      </c>
      <c r="N590" s="24">
        <f t="shared" si="95"/>
        <v>8933.2000000000007</v>
      </c>
    </row>
    <row r="591" spans="1:14" s="111" customFormat="1" ht="36" x14ac:dyDescent="0.35">
      <c r="A591" s="11"/>
      <c r="B591" s="496" t="s">
        <v>229</v>
      </c>
      <c r="C591" s="23" t="s">
        <v>293</v>
      </c>
      <c r="D591" s="10" t="s">
        <v>104</v>
      </c>
      <c r="E591" s="10" t="s">
        <v>81</v>
      </c>
      <c r="F591" s="689" t="s">
        <v>79</v>
      </c>
      <c r="G591" s="690" t="s">
        <v>45</v>
      </c>
      <c r="H591" s="690" t="s">
        <v>63</v>
      </c>
      <c r="I591" s="691" t="s">
        <v>44</v>
      </c>
      <c r="J591" s="10"/>
      <c r="K591" s="24">
        <f>K592+K595+K598</f>
        <v>8933.2000000000007</v>
      </c>
      <c r="L591" s="24">
        <f>L592+L595+L598</f>
        <v>0</v>
      </c>
      <c r="M591" s="24">
        <f>M592+M595+M598</f>
        <v>8933.2000000000007</v>
      </c>
      <c r="N591" s="24">
        <f>N592+N595+N598</f>
        <v>8933.2000000000007</v>
      </c>
    </row>
    <row r="592" spans="1:14" s="111" customFormat="1" ht="252" x14ac:dyDescent="0.35">
      <c r="A592" s="11"/>
      <c r="B592" s="565" t="s">
        <v>232</v>
      </c>
      <c r="C592" s="23" t="s">
        <v>293</v>
      </c>
      <c r="D592" s="10" t="s">
        <v>104</v>
      </c>
      <c r="E592" s="10" t="s">
        <v>81</v>
      </c>
      <c r="F592" s="689" t="s">
        <v>79</v>
      </c>
      <c r="G592" s="690" t="s">
        <v>45</v>
      </c>
      <c r="H592" s="690" t="s">
        <v>63</v>
      </c>
      <c r="I592" s="691" t="s">
        <v>542</v>
      </c>
      <c r="J592" s="10"/>
      <c r="K592" s="24">
        <f>K593+K594</f>
        <v>1017.2</v>
      </c>
      <c r="L592" s="24">
        <f>L593+L594</f>
        <v>0</v>
      </c>
      <c r="M592" s="24">
        <f>M593+M594</f>
        <v>1017.2</v>
      </c>
      <c r="N592" s="24">
        <f>N593+N594</f>
        <v>1017.2</v>
      </c>
    </row>
    <row r="593" spans="1:14" s="111" customFormat="1" ht="108" x14ac:dyDescent="0.35">
      <c r="A593" s="11"/>
      <c r="B593" s="496" t="s">
        <v>49</v>
      </c>
      <c r="C593" s="23" t="s">
        <v>293</v>
      </c>
      <c r="D593" s="10" t="s">
        <v>104</v>
      </c>
      <c r="E593" s="10" t="s">
        <v>81</v>
      </c>
      <c r="F593" s="689" t="s">
        <v>79</v>
      </c>
      <c r="G593" s="690" t="s">
        <v>45</v>
      </c>
      <c r="H593" s="690" t="s">
        <v>63</v>
      </c>
      <c r="I593" s="691" t="s">
        <v>542</v>
      </c>
      <c r="J593" s="10" t="s">
        <v>50</v>
      </c>
      <c r="K593" s="24">
        <v>855.2</v>
      </c>
      <c r="L593" s="24">
        <f>M593-K593</f>
        <v>0</v>
      </c>
      <c r="M593" s="24">
        <v>855.2</v>
      </c>
      <c r="N593" s="24">
        <v>855.2</v>
      </c>
    </row>
    <row r="594" spans="1:14" s="111" customFormat="1" ht="54" x14ac:dyDescent="0.35">
      <c r="A594" s="11"/>
      <c r="B594" s="496" t="s">
        <v>55</v>
      </c>
      <c r="C594" s="23" t="s">
        <v>293</v>
      </c>
      <c r="D594" s="10" t="s">
        <v>104</v>
      </c>
      <c r="E594" s="10" t="s">
        <v>81</v>
      </c>
      <c r="F594" s="689" t="s">
        <v>79</v>
      </c>
      <c r="G594" s="690" t="s">
        <v>45</v>
      </c>
      <c r="H594" s="690" t="s">
        <v>63</v>
      </c>
      <c r="I594" s="691" t="s">
        <v>542</v>
      </c>
      <c r="J594" s="10" t="s">
        <v>56</v>
      </c>
      <c r="K594" s="24">
        <v>162</v>
      </c>
      <c r="L594" s="24">
        <f>M594-K594</f>
        <v>0</v>
      </c>
      <c r="M594" s="24">
        <v>162</v>
      </c>
      <c r="N594" s="24">
        <v>162</v>
      </c>
    </row>
    <row r="595" spans="1:14" s="111" customFormat="1" ht="108" x14ac:dyDescent="0.35">
      <c r="A595" s="11"/>
      <c r="B595" s="496" t="s">
        <v>456</v>
      </c>
      <c r="C595" s="23" t="s">
        <v>293</v>
      </c>
      <c r="D595" s="10" t="s">
        <v>104</v>
      </c>
      <c r="E595" s="10" t="s">
        <v>81</v>
      </c>
      <c r="F595" s="689" t="s">
        <v>79</v>
      </c>
      <c r="G595" s="690" t="s">
        <v>45</v>
      </c>
      <c r="H595" s="690" t="s">
        <v>63</v>
      </c>
      <c r="I595" s="691" t="s">
        <v>536</v>
      </c>
      <c r="J595" s="10"/>
      <c r="K595" s="24">
        <f>K596+K597</f>
        <v>749.3</v>
      </c>
      <c r="L595" s="24">
        <f>L596+L597</f>
        <v>0</v>
      </c>
      <c r="M595" s="24">
        <f>M596+M597</f>
        <v>749.3</v>
      </c>
      <c r="N595" s="24">
        <f>N596+N597</f>
        <v>749.3</v>
      </c>
    </row>
    <row r="596" spans="1:14" s="111" customFormat="1" ht="108" x14ac:dyDescent="0.35">
      <c r="A596" s="11"/>
      <c r="B596" s="496" t="s">
        <v>49</v>
      </c>
      <c r="C596" s="23" t="s">
        <v>293</v>
      </c>
      <c r="D596" s="10" t="s">
        <v>104</v>
      </c>
      <c r="E596" s="10" t="s">
        <v>81</v>
      </c>
      <c r="F596" s="689" t="s">
        <v>79</v>
      </c>
      <c r="G596" s="690" t="s">
        <v>45</v>
      </c>
      <c r="H596" s="690" t="s">
        <v>63</v>
      </c>
      <c r="I596" s="691" t="s">
        <v>536</v>
      </c>
      <c r="J596" s="10" t="s">
        <v>50</v>
      </c>
      <c r="K596" s="24">
        <v>668.3</v>
      </c>
      <c r="L596" s="24">
        <f>M596-K596</f>
        <v>0</v>
      </c>
      <c r="M596" s="24">
        <v>668.3</v>
      </c>
      <c r="N596" s="24">
        <v>668.3</v>
      </c>
    </row>
    <row r="597" spans="1:14" s="111" customFormat="1" ht="54" x14ac:dyDescent="0.35">
      <c r="A597" s="11"/>
      <c r="B597" s="496" t="s">
        <v>55</v>
      </c>
      <c r="C597" s="23" t="s">
        <v>293</v>
      </c>
      <c r="D597" s="10" t="s">
        <v>104</v>
      </c>
      <c r="E597" s="10" t="s">
        <v>81</v>
      </c>
      <c r="F597" s="689" t="s">
        <v>79</v>
      </c>
      <c r="G597" s="690" t="s">
        <v>45</v>
      </c>
      <c r="H597" s="690" t="s">
        <v>63</v>
      </c>
      <c r="I597" s="691" t="s">
        <v>536</v>
      </c>
      <c r="J597" s="10" t="s">
        <v>56</v>
      </c>
      <c r="K597" s="24">
        <v>81</v>
      </c>
      <c r="L597" s="24">
        <f>M597-K597</f>
        <v>0</v>
      </c>
      <c r="M597" s="24">
        <v>81</v>
      </c>
      <c r="N597" s="24">
        <v>81</v>
      </c>
    </row>
    <row r="598" spans="1:14" s="111" customFormat="1" ht="72" x14ac:dyDescent="0.35">
      <c r="A598" s="11"/>
      <c r="B598" s="496" t="s">
        <v>231</v>
      </c>
      <c r="C598" s="23" t="s">
        <v>293</v>
      </c>
      <c r="D598" s="10" t="s">
        <v>104</v>
      </c>
      <c r="E598" s="10" t="s">
        <v>81</v>
      </c>
      <c r="F598" s="689" t="s">
        <v>79</v>
      </c>
      <c r="G598" s="690" t="s">
        <v>45</v>
      </c>
      <c r="H598" s="690" t="s">
        <v>63</v>
      </c>
      <c r="I598" s="691" t="s">
        <v>537</v>
      </c>
      <c r="J598" s="10"/>
      <c r="K598" s="24">
        <f>K599+K600</f>
        <v>7166.7</v>
      </c>
      <c r="L598" s="24">
        <f>L599+L600</f>
        <v>0</v>
      </c>
      <c r="M598" s="24">
        <f>M599+M600</f>
        <v>7166.7</v>
      </c>
      <c r="N598" s="24">
        <f>N599+N600</f>
        <v>7166.7</v>
      </c>
    </row>
    <row r="599" spans="1:14" s="111" customFormat="1" ht="108" x14ac:dyDescent="0.35">
      <c r="A599" s="11"/>
      <c r="B599" s="496" t="s">
        <v>49</v>
      </c>
      <c r="C599" s="23" t="s">
        <v>293</v>
      </c>
      <c r="D599" s="10" t="s">
        <v>104</v>
      </c>
      <c r="E599" s="10" t="s">
        <v>81</v>
      </c>
      <c r="F599" s="689" t="s">
        <v>79</v>
      </c>
      <c r="G599" s="690" t="s">
        <v>45</v>
      </c>
      <c r="H599" s="690" t="s">
        <v>63</v>
      </c>
      <c r="I599" s="691" t="s">
        <v>537</v>
      </c>
      <c r="J599" s="10" t="s">
        <v>50</v>
      </c>
      <c r="K599" s="24">
        <v>6437.7</v>
      </c>
      <c r="L599" s="24">
        <f>M599-K599</f>
        <v>0</v>
      </c>
      <c r="M599" s="24">
        <v>6437.7</v>
      </c>
      <c r="N599" s="24">
        <v>6437.7</v>
      </c>
    </row>
    <row r="600" spans="1:14" s="111" customFormat="1" ht="54" x14ac:dyDescent="0.35">
      <c r="A600" s="11"/>
      <c r="B600" s="496" t="s">
        <v>55</v>
      </c>
      <c r="C600" s="23" t="s">
        <v>293</v>
      </c>
      <c r="D600" s="10" t="s">
        <v>104</v>
      </c>
      <c r="E600" s="10" t="s">
        <v>81</v>
      </c>
      <c r="F600" s="426" t="s">
        <v>79</v>
      </c>
      <c r="G600" s="427" t="s">
        <v>45</v>
      </c>
      <c r="H600" s="427" t="s">
        <v>63</v>
      </c>
      <c r="I600" s="428" t="s">
        <v>537</v>
      </c>
      <c r="J600" s="10" t="s">
        <v>56</v>
      </c>
      <c r="K600" s="24">
        <v>729</v>
      </c>
      <c r="L600" s="24">
        <f>M600-K600</f>
        <v>0</v>
      </c>
      <c r="M600" s="24">
        <v>729</v>
      </c>
      <c r="N600" s="24">
        <v>729</v>
      </c>
    </row>
    <row r="601" spans="1:14" s="111" customFormat="1" ht="18" x14ac:dyDescent="0.35">
      <c r="A601" s="110">
        <v>10</v>
      </c>
      <c r="B601" s="576" t="s">
        <v>360</v>
      </c>
      <c r="C601" s="23"/>
      <c r="D601" s="10"/>
      <c r="E601" s="10"/>
      <c r="F601" s="690"/>
      <c r="G601" s="690"/>
      <c r="H601" s="690"/>
      <c r="I601" s="691"/>
      <c r="J601" s="10"/>
      <c r="K601" s="32">
        <f>K602</f>
        <v>34788</v>
      </c>
      <c r="L601" s="32">
        <f>L602</f>
        <v>0</v>
      </c>
      <c r="M601" s="32">
        <f>M602</f>
        <v>34788</v>
      </c>
      <c r="N601" s="32">
        <f>N602</f>
        <v>45416</v>
      </c>
    </row>
    <row r="602" spans="1:14" s="111" customFormat="1" ht="18" x14ac:dyDescent="0.35">
      <c r="A602" s="11"/>
      <c r="B602" s="577" t="s">
        <v>360</v>
      </c>
      <c r="C602" s="23"/>
      <c r="D602" s="10"/>
      <c r="E602" s="10"/>
      <c r="F602" s="690"/>
      <c r="G602" s="690"/>
      <c r="H602" s="690"/>
      <c r="I602" s="691"/>
      <c r="J602" s="10"/>
      <c r="K602" s="24">
        <f>42393.9-7432.8-98.1-75</f>
        <v>34788</v>
      </c>
      <c r="L602" s="24">
        <f>M602-K602</f>
        <v>0</v>
      </c>
      <c r="M602" s="24">
        <f>42393.9-7432.8-98.1-75</f>
        <v>34788</v>
      </c>
      <c r="N602" s="24">
        <f>54870.9-7447.6-1882.9-75-49.4</f>
        <v>45416</v>
      </c>
    </row>
    <row r="605" spans="1:14" s="76" customFormat="1" ht="18" x14ac:dyDescent="0.35">
      <c r="A605" s="680" t="s">
        <v>373</v>
      </c>
      <c r="B605" s="77"/>
      <c r="C605" s="78"/>
      <c r="D605" s="78"/>
      <c r="E605" s="78"/>
      <c r="F605" s="42"/>
      <c r="G605" s="106"/>
      <c r="H605" s="144"/>
    </row>
    <row r="606" spans="1:14" s="76" customFormat="1" ht="18" x14ac:dyDescent="0.35">
      <c r="A606" s="680" t="s">
        <v>374</v>
      </c>
      <c r="B606" s="77"/>
      <c r="C606" s="78"/>
      <c r="D606" s="78"/>
      <c r="E606" s="78"/>
      <c r="F606" s="42"/>
      <c r="G606" s="106"/>
      <c r="H606" s="144"/>
    </row>
    <row r="607" spans="1:14" s="76" customFormat="1" ht="18" x14ac:dyDescent="0.35">
      <c r="A607" s="681" t="s">
        <v>375</v>
      </c>
      <c r="B607" s="77"/>
      <c r="D607" s="78"/>
      <c r="E607" s="78"/>
      <c r="F607" s="42"/>
      <c r="N607" s="107" t="s">
        <v>386</v>
      </c>
    </row>
    <row r="608" spans="1:14" ht="18" x14ac:dyDescent="0.35">
      <c r="A608" s="681"/>
      <c r="M608" s="112"/>
      <c r="N608" s="112"/>
    </row>
    <row r="609" spans="2:14" s="145" customFormat="1" ht="15.6" x14ac:dyDescent="0.3">
      <c r="M609" s="146"/>
      <c r="N609" s="146"/>
    </row>
    <row r="610" spans="2:14" ht="15.6" hidden="1" x14ac:dyDescent="0.3">
      <c r="B610" s="145" t="s">
        <v>361</v>
      </c>
      <c r="M610" s="648">
        <f>(M16-('прил. 1 (поступл.23-25)'!D40+'прил. 1 (поступл.23-25)'!D41))*2.5%</f>
        <v>21196.907500000008</v>
      </c>
      <c r="N610" s="648">
        <f>(N16-('прил. 1 (поступл.23-25)'!E40+'прил. 1 (поступл.23-25)'!E41))*5%</f>
        <v>44867.470000000008</v>
      </c>
    </row>
    <row r="611" spans="2:14" ht="18" hidden="1" x14ac:dyDescent="0.35">
      <c r="D611" s="28" t="s">
        <v>37</v>
      </c>
      <c r="E611" s="28" t="s">
        <v>39</v>
      </c>
      <c r="F611" s="29"/>
      <c r="G611" s="29"/>
      <c r="H611" s="29"/>
      <c r="I611" s="29"/>
      <c r="J611" s="29"/>
      <c r="K611" s="29"/>
      <c r="L611" s="29"/>
      <c r="M611" s="147">
        <f>M19</f>
        <v>2612.1999999999998</v>
      </c>
      <c r="N611" s="147">
        <f>N19</f>
        <v>2612.1999999999998</v>
      </c>
    </row>
    <row r="612" spans="2:14" ht="18" hidden="1" x14ac:dyDescent="0.35">
      <c r="D612" s="28" t="s">
        <v>37</v>
      </c>
      <c r="E612" s="28" t="s">
        <v>52</v>
      </c>
      <c r="F612" s="29"/>
      <c r="G612" s="29"/>
      <c r="H612" s="29"/>
      <c r="I612" s="29"/>
      <c r="J612" s="29"/>
      <c r="K612" s="29"/>
      <c r="L612" s="29"/>
      <c r="M612" s="147">
        <f>M25</f>
        <v>83362.000000000015</v>
      </c>
      <c r="N612" s="147">
        <f>N25</f>
        <v>83398.000000000015</v>
      </c>
    </row>
    <row r="613" spans="2:14" ht="18" hidden="1" x14ac:dyDescent="0.35">
      <c r="D613" s="28" t="s">
        <v>37</v>
      </c>
      <c r="E613" s="28" t="s">
        <v>65</v>
      </c>
      <c r="F613" s="29"/>
      <c r="G613" s="29"/>
      <c r="H613" s="29"/>
      <c r="I613" s="29"/>
      <c r="J613" s="29"/>
      <c r="K613" s="29"/>
      <c r="L613" s="29"/>
      <c r="M613" s="147">
        <f>M46</f>
        <v>20.3</v>
      </c>
      <c r="N613" s="147">
        <f>N46</f>
        <v>17.7</v>
      </c>
    </row>
    <row r="614" spans="2:14" ht="18" hidden="1" x14ac:dyDescent="0.35">
      <c r="D614" s="28" t="s">
        <v>37</v>
      </c>
      <c r="E614" s="28" t="s">
        <v>81</v>
      </c>
      <c r="F614" s="29"/>
      <c r="G614" s="29"/>
      <c r="H614" s="29"/>
      <c r="I614" s="29"/>
      <c r="J614" s="29"/>
      <c r="K614" s="29"/>
      <c r="L614" s="29"/>
      <c r="M614" s="147">
        <f>M172+M206</f>
        <v>37649.699999999997</v>
      </c>
      <c r="N614" s="147">
        <f>N172+N206</f>
        <v>37650.5</v>
      </c>
    </row>
    <row r="615" spans="2:14" ht="18" hidden="1" x14ac:dyDescent="0.35">
      <c r="D615" s="28" t="s">
        <v>37</v>
      </c>
      <c r="E615" s="28" t="s">
        <v>67</v>
      </c>
      <c r="F615" s="29"/>
      <c r="G615" s="29"/>
      <c r="H615" s="29"/>
      <c r="I615" s="29"/>
      <c r="J615" s="29"/>
      <c r="K615" s="29"/>
      <c r="L615" s="29"/>
      <c r="M615" s="147">
        <f>M52</f>
        <v>28333.8</v>
      </c>
      <c r="N615" s="147">
        <f>N52</f>
        <v>35000</v>
      </c>
    </row>
    <row r="616" spans="2:14" ht="18" hidden="1" x14ac:dyDescent="0.35">
      <c r="D616" s="28" t="s">
        <v>37</v>
      </c>
      <c r="E616" s="28" t="s">
        <v>71</v>
      </c>
      <c r="F616" s="29"/>
      <c r="G616" s="29"/>
      <c r="H616" s="29"/>
      <c r="I616" s="29"/>
      <c r="J616" s="29"/>
      <c r="K616" s="29"/>
      <c r="L616" s="29"/>
      <c r="M616" s="147">
        <f>M216+M180+M535+M57+M422+M479+M291</f>
        <v>71779.131600000008</v>
      </c>
      <c r="N616" s="147">
        <f>N216+N180+N535+N57+N422+N479+N291</f>
        <v>74974.831600000005</v>
      </c>
    </row>
    <row r="617" spans="2:14" ht="18" hidden="1" x14ac:dyDescent="0.35">
      <c r="D617" s="148" t="s">
        <v>37</v>
      </c>
      <c r="E617" s="148" t="s">
        <v>43</v>
      </c>
      <c r="F617" s="29"/>
      <c r="G617" s="29"/>
      <c r="H617" s="29"/>
      <c r="I617" s="29"/>
      <c r="J617" s="29"/>
      <c r="K617" s="29"/>
      <c r="L617" s="29"/>
      <c r="M617" s="149">
        <f>SUBTOTAL(9,M611:M616)</f>
        <v>223757.13160000002</v>
      </c>
      <c r="N617" s="149">
        <f>SUBTOTAL(9,N611:N616)</f>
        <v>233653.23160000003</v>
      </c>
    </row>
    <row r="618" spans="2:14" ht="18" hidden="1" x14ac:dyDescent="0.35">
      <c r="D618" s="28"/>
      <c r="E618" s="28"/>
      <c r="F618" s="29"/>
      <c r="G618" s="29"/>
      <c r="H618" s="29"/>
      <c r="I618" s="29"/>
      <c r="J618" s="29"/>
      <c r="K618" s="29"/>
      <c r="L618" s="29"/>
      <c r="M618" s="147"/>
      <c r="N618" s="147"/>
    </row>
    <row r="619" spans="2:14" ht="18" hidden="1" x14ac:dyDescent="0.35">
      <c r="D619" s="28" t="s">
        <v>63</v>
      </c>
      <c r="E619" s="28" t="s">
        <v>104</v>
      </c>
      <c r="F619" s="29"/>
      <c r="G619" s="29"/>
      <c r="H619" s="29"/>
      <c r="I619" s="29"/>
      <c r="J619" s="29"/>
      <c r="K619" s="29"/>
      <c r="L619" s="29"/>
      <c r="M619" s="147">
        <f>M79</f>
        <v>1990.3000000000002</v>
      </c>
      <c r="N619" s="147">
        <f>N79</f>
        <v>362.29999999999995</v>
      </c>
    </row>
    <row r="620" spans="2:14" ht="18" hidden="1" x14ac:dyDescent="0.35">
      <c r="D620" s="28" t="s">
        <v>63</v>
      </c>
      <c r="E620" s="28" t="s">
        <v>88</v>
      </c>
      <c r="F620" s="29"/>
      <c r="G620" s="29"/>
      <c r="H620" s="29"/>
      <c r="I620" s="29"/>
      <c r="J620" s="29"/>
      <c r="K620" s="29"/>
      <c r="L620" s="29"/>
      <c r="M620" s="147">
        <f>M87</f>
        <v>12357.199999999997</v>
      </c>
      <c r="N620" s="147">
        <f>N87</f>
        <v>12358.199999999997</v>
      </c>
    </row>
    <row r="621" spans="2:14" ht="18" hidden="1" x14ac:dyDescent="0.35">
      <c r="D621" s="148" t="s">
        <v>63</v>
      </c>
      <c r="E621" s="148" t="s">
        <v>43</v>
      </c>
      <c r="F621" s="29"/>
      <c r="G621" s="29"/>
      <c r="H621" s="29"/>
      <c r="I621" s="29"/>
      <c r="J621" s="29"/>
      <c r="K621" s="29"/>
      <c r="L621" s="29"/>
      <c r="M621" s="149">
        <f>SUBTOTAL(9,M619:M620)</f>
        <v>14347.499999999996</v>
      </c>
      <c r="N621" s="149">
        <f>SUBTOTAL(9,N619:N620)</f>
        <v>12720.499999999996</v>
      </c>
    </row>
    <row r="622" spans="2:14" ht="18" hidden="1" x14ac:dyDescent="0.35">
      <c r="D622" s="28"/>
      <c r="E622" s="28"/>
      <c r="F622" s="29"/>
      <c r="G622" s="29"/>
      <c r="H622" s="29"/>
      <c r="I622" s="29"/>
      <c r="J622" s="29"/>
      <c r="K622" s="29"/>
      <c r="L622" s="29"/>
      <c r="M622" s="147"/>
      <c r="N622" s="147"/>
    </row>
    <row r="623" spans="2:14" ht="18" hidden="1" x14ac:dyDescent="0.35">
      <c r="D623" s="28" t="s">
        <v>52</v>
      </c>
      <c r="E623" s="28" t="s">
        <v>65</v>
      </c>
      <c r="F623" s="29"/>
      <c r="G623" s="29"/>
      <c r="H623" s="29"/>
      <c r="I623" s="29"/>
      <c r="J623" s="29"/>
      <c r="K623" s="29"/>
      <c r="L623" s="29"/>
      <c r="M623" s="147">
        <f>M107</f>
        <v>19075.7</v>
      </c>
      <c r="N623" s="147">
        <f>N107</f>
        <v>19075.7</v>
      </c>
    </row>
    <row r="624" spans="2:14" ht="18" hidden="1" x14ac:dyDescent="0.35">
      <c r="D624" s="28" t="s">
        <v>52</v>
      </c>
      <c r="E624" s="28" t="s">
        <v>79</v>
      </c>
      <c r="F624" s="29"/>
      <c r="G624" s="29"/>
      <c r="H624" s="29"/>
      <c r="I624" s="29"/>
      <c r="J624" s="29"/>
      <c r="K624" s="29"/>
      <c r="L624" s="29"/>
      <c r="M624" s="147">
        <f>M116</f>
        <v>6181.8</v>
      </c>
      <c r="N624" s="147">
        <f>N116</f>
        <v>6648.8</v>
      </c>
    </row>
    <row r="625" spans="4:14" ht="18" hidden="1" x14ac:dyDescent="0.35">
      <c r="D625" s="28" t="s">
        <v>52</v>
      </c>
      <c r="E625" s="28" t="s">
        <v>100</v>
      </c>
      <c r="F625" s="29"/>
      <c r="G625" s="29"/>
      <c r="H625" s="29"/>
      <c r="I625" s="29"/>
      <c r="J625" s="29"/>
      <c r="K625" s="29"/>
      <c r="L625" s="29"/>
      <c r="M625" s="147">
        <f>M122</f>
        <v>2316.1</v>
      </c>
      <c r="N625" s="147">
        <f>N122</f>
        <v>1116.0999999999999</v>
      </c>
    </row>
    <row r="626" spans="4:14" ht="18" hidden="1" x14ac:dyDescent="0.35">
      <c r="D626" s="148" t="s">
        <v>52</v>
      </c>
      <c r="E626" s="148" t="s">
        <v>43</v>
      </c>
      <c r="F626" s="29"/>
      <c r="G626" s="29"/>
      <c r="H626" s="29"/>
      <c r="I626" s="29"/>
      <c r="J626" s="29"/>
      <c r="K626" s="29"/>
      <c r="L626" s="29"/>
      <c r="M626" s="149">
        <f>SUBTOTAL(9,M623:M625)</f>
        <v>27573.599999999999</v>
      </c>
      <c r="N626" s="149">
        <f>SUBTOTAL(9,N623:N625)</f>
        <v>26840.6</v>
      </c>
    </row>
    <row r="627" spans="4:14" ht="18" hidden="1" x14ac:dyDescent="0.35">
      <c r="D627" s="28"/>
      <c r="E627" s="28"/>
      <c r="F627" s="29"/>
      <c r="G627" s="29"/>
      <c r="H627" s="29"/>
      <c r="I627" s="29"/>
      <c r="J627" s="29"/>
      <c r="K627" s="29"/>
      <c r="L627" s="29"/>
      <c r="M627" s="147"/>
      <c r="N627" s="147"/>
    </row>
    <row r="628" spans="4:14" ht="18" hidden="1" x14ac:dyDescent="0.35">
      <c r="D628" s="28" t="s">
        <v>65</v>
      </c>
      <c r="E628" s="28" t="s">
        <v>37</v>
      </c>
      <c r="F628" s="29"/>
      <c r="G628" s="29"/>
      <c r="H628" s="29"/>
      <c r="I628" s="29"/>
      <c r="J628" s="29"/>
      <c r="K628" s="29"/>
      <c r="L628" s="29"/>
      <c r="M628" s="147"/>
      <c r="N628" s="147"/>
    </row>
    <row r="629" spans="4:14" ht="18" hidden="1" x14ac:dyDescent="0.35">
      <c r="D629" s="28" t="s">
        <v>65</v>
      </c>
      <c r="E629" s="28" t="s">
        <v>39</v>
      </c>
      <c r="F629" s="29"/>
      <c r="G629" s="29"/>
      <c r="H629" s="29"/>
      <c r="I629" s="29"/>
      <c r="J629" s="29"/>
      <c r="K629" s="29"/>
      <c r="L629" s="29"/>
      <c r="M629" s="147">
        <f>M251</f>
        <v>63486.700000000004</v>
      </c>
      <c r="N629" s="147">
        <f>N251</f>
        <v>0</v>
      </c>
    </row>
    <row r="630" spans="4:14" ht="18" hidden="1" x14ac:dyDescent="0.35">
      <c r="D630" s="28" t="s">
        <v>65</v>
      </c>
      <c r="E630" s="28" t="s">
        <v>63</v>
      </c>
      <c r="F630" s="29"/>
      <c r="G630" s="29"/>
      <c r="H630" s="29"/>
      <c r="I630" s="29"/>
      <c r="J630" s="29"/>
      <c r="K630" s="29"/>
      <c r="L630" s="29"/>
      <c r="M630" s="147">
        <f>M143</f>
        <v>5758.6</v>
      </c>
      <c r="N630" s="147">
        <f>N143</f>
        <v>5773.4</v>
      </c>
    </row>
    <row r="631" spans="4:14" ht="18" hidden="1" x14ac:dyDescent="0.35">
      <c r="D631" s="148" t="s">
        <v>65</v>
      </c>
      <c r="E631" s="148" t="s">
        <v>43</v>
      </c>
      <c r="F631" s="29"/>
      <c r="G631" s="29"/>
      <c r="H631" s="29"/>
      <c r="I631" s="29"/>
      <c r="J631" s="29"/>
      <c r="K631" s="29"/>
      <c r="L631" s="29"/>
      <c r="M631" s="149">
        <f>SUBTOTAL(9,M628:M630)</f>
        <v>69245.3</v>
      </c>
      <c r="N631" s="149">
        <f>SUBTOTAL(9,N628:N630)</f>
        <v>5773.4</v>
      </c>
    </row>
    <row r="632" spans="4:14" ht="18" hidden="1" x14ac:dyDescent="0.35">
      <c r="D632" s="28"/>
      <c r="E632" s="28"/>
      <c r="F632" s="29"/>
      <c r="G632" s="29"/>
      <c r="H632" s="29"/>
      <c r="I632" s="29"/>
      <c r="J632" s="29"/>
      <c r="K632" s="29"/>
      <c r="L632" s="29"/>
      <c r="M632" s="147"/>
      <c r="N632" s="147"/>
    </row>
    <row r="633" spans="4:14" ht="18" hidden="1" x14ac:dyDescent="0.35">
      <c r="D633" s="28" t="s">
        <v>224</v>
      </c>
      <c r="E633" s="28" t="s">
        <v>37</v>
      </c>
      <c r="F633" s="29"/>
      <c r="G633" s="29"/>
      <c r="H633" s="29"/>
      <c r="I633" s="29"/>
      <c r="J633" s="29"/>
      <c r="K633" s="29"/>
      <c r="L633" s="29"/>
      <c r="M633" s="147">
        <f>M304+M258</f>
        <v>386488.20000000007</v>
      </c>
      <c r="N633" s="147">
        <f>N304+N258</f>
        <v>399716.60000000003</v>
      </c>
    </row>
    <row r="634" spans="4:14" ht="18" hidden="1" x14ac:dyDescent="0.35">
      <c r="D634" s="28" t="s">
        <v>224</v>
      </c>
      <c r="E634" s="28" t="s">
        <v>39</v>
      </c>
      <c r="F634" s="29"/>
      <c r="G634" s="29"/>
      <c r="H634" s="29"/>
      <c r="I634" s="29"/>
      <c r="J634" s="29"/>
      <c r="K634" s="29"/>
      <c r="L634" s="29"/>
      <c r="M634" s="147">
        <f>M321+M264</f>
        <v>722307.79999999981</v>
      </c>
      <c r="N634" s="147">
        <f>N321+N264</f>
        <v>712311.5</v>
      </c>
    </row>
    <row r="635" spans="4:14" ht="18" hidden="1" x14ac:dyDescent="0.35">
      <c r="D635" s="28" t="s">
        <v>224</v>
      </c>
      <c r="E635" s="28" t="s">
        <v>63</v>
      </c>
      <c r="F635" s="29"/>
      <c r="G635" s="29"/>
      <c r="H635" s="29"/>
      <c r="I635" s="29"/>
      <c r="J635" s="29"/>
      <c r="K635" s="29"/>
      <c r="L635" s="29"/>
      <c r="M635" s="147">
        <f>M372+M429</f>
        <v>130206.39999999999</v>
      </c>
      <c r="N635" s="147">
        <f>N372+N429</f>
        <v>140861.70000000001</v>
      </c>
    </row>
    <row r="636" spans="4:14" ht="18" hidden="1" x14ac:dyDescent="0.35">
      <c r="D636" s="28" t="s">
        <v>224</v>
      </c>
      <c r="E636" s="28" t="s">
        <v>65</v>
      </c>
      <c r="F636" s="29"/>
      <c r="G636" s="29"/>
      <c r="H636" s="29"/>
      <c r="I636" s="29"/>
      <c r="J636" s="29"/>
      <c r="K636" s="29"/>
      <c r="L636" s="29"/>
      <c r="M636" s="147">
        <f>M150+M190</f>
        <v>190.7</v>
      </c>
      <c r="N636" s="147">
        <f>N150+N190</f>
        <v>190.7</v>
      </c>
    </row>
    <row r="637" spans="4:14" ht="18" hidden="1" x14ac:dyDescent="0.35">
      <c r="D637" s="28" t="s">
        <v>224</v>
      </c>
      <c r="E637" s="28" t="s">
        <v>224</v>
      </c>
      <c r="F637" s="29"/>
      <c r="G637" s="29"/>
      <c r="H637" s="29"/>
      <c r="I637" s="29"/>
      <c r="J637" s="29"/>
      <c r="K637" s="29"/>
      <c r="L637" s="29"/>
      <c r="M637" s="147">
        <f>M548</f>
        <v>3836.5</v>
      </c>
      <c r="N637" s="147">
        <f>N548</f>
        <v>3836.5</v>
      </c>
    </row>
    <row r="638" spans="4:14" ht="18" hidden="1" x14ac:dyDescent="0.35">
      <c r="D638" s="28" t="s">
        <v>224</v>
      </c>
      <c r="E638" s="28" t="s">
        <v>79</v>
      </c>
      <c r="F638" s="29"/>
      <c r="G638" s="29"/>
      <c r="H638" s="29"/>
      <c r="I638" s="29"/>
      <c r="J638" s="29"/>
      <c r="K638" s="29"/>
      <c r="L638" s="29"/>
      <c r="M638" s="147">
        <f>M388+M437+M556</f>
        <v>93277.900000000009</v>
      </c>
      <c r="N638" s="147">
        <f>N388+N437+N556</f>
        <v>93033.500000000015</v>
      </c>
    </row>
    <row r="639" spans="4:14" ht="18" hidden="1" x14ac:dyDescent="0.35">
      <c r="D639" s="148" t="s">
        <v>224</v>
      </c>
      <c r="E639" s="148" t="s">
        <v>43</v>
      </c>
      <c r="F639" s="29"/>
      <c r="G639" s="29"/>
      <c r="H639" s="29"/>
      <c r="I639" s="29"/>
      <c r="J639" s="29"/>
      <c r="K639" s="29"/>
      <c r="L639" s="29"/>
      <c r="M639" s="149">
        <f>SUBTOTAL(9,M633:M638)</f>
        <v>1336307.4999999998</v>
      </c>
      <c r="N639" s="149">
        <f>SUBTOTAL(9,N633:N638)</f>
        <v>1349950.5</v>
      </c>
    </row>
    <row r="640" spans="4:14" ht="18" hidden="1" x14ac:dyDescent="0.35">
      <c r="D640" s="28"/>
      <c r="E640" s="28"/>
      <c r="F640" s="29"/>
      <c r="G640" s="29"/>
      <c r="H640" s="29"/>
      <c r="I640" s="29"/>
      <c r="J640" s="29"/>
      <c r="K640" s="29"/>
      <c r="L640" s="29"/>
      <c r="M640" s="147"/>
      <c r="N640" s="147"/>
    </row>
    <row r="641" spans="4:14" ht="18" hidden="1" x14ac:dyDescent="0.35">
      <c r="D641" s="28" t="s">
        <v>226</v>
      </c>
      <c r="E641" s="28" t="s">
        <v>37</v>
      </c>
      <c r="F641" s="29"/>
      <c r="G641" s="29"/>
      <c r="H641" s="29"/>
      <c r="I641" s="29"/>
      <c r="J641" s="29"/>
      <c r="K641" s="29"/>
      <c r="L641" s="29"/>
      <c r="M641" s="147">
        <f>M447</f>
        <v>24215.8</v>
      </c>
      <c r="N641" s="147">
        <f>N447</f>
        <v>24157.399999999998</v>
      </c>
    </row>
    <row r="642" spans="4:14" ht="18" hidden="1" x14ac:dyDescent="0.35">
      <c r="D642" s="28" t="s">
        <v>226</v>
      </c>
      <c r="E642" s="28" t="s">
        <v>52</v>
      </c>
      <c r="F642" s="29"/>
      <c r="G642" s="29"/>
      <c r="H642" s="29"/>
      <c r="I642" s="29"/>
      <c r="J642" s="29"/>
      <c r="K642" s="29"/>
      <c r="L642" s="29"/>
      <c r="M642" s="147">
        <f>M464</f>
        <v>11442</v>
      </c>
      <c r="N642" s="147">
        <f>N464</f>
        <v>11446.5</v>
      </c>
    </row>
    <row r="643" spans="4:14" ht="18" hidden="1" x14ac:dyDescent="0.35">
      <c r="D643" s="148" t="s">
        <v>226</v>
      </c>
      <c r="E643" s="148" t="s">
        <v>43</v>
      </c>
      <c r="F643" s="29"/>
      <c r="G643" s="29"/>
      <c r="H643" s="29"/>
      <c r="I643" s="29"/>
      <c r="J643" s="29"/>
      <c r="K643" s="29"/>
      <c r="L643" s="29"/>
      <c r="M643" s="149">
        <f>SUBTOTAL(9,M641:M642)</f>
        <v>35657.800000000003</v>
      </c>
      <c r="N643" s="149">
        <f>SUBTOTAL(9,N641:N642)</f>
        <v>35603.899999999994</v>
      </c>
    </row>
    <row r="644" spans="4:14" ht="18" hidden="1" x14ac:dyDescent="0.35">
      <c r="D644" s="28"/>
      <c r="E644" s="28"/>
      <c r="F644" s="29"/>
      <c r="G644" s="29"/>
      <c r="H644" s="29"/>
      <c r="I644" s="29"/>
      <c r="J644" s="29"/>
      <c r="K644" s="29"/>
      <c r="L644" s="29"/>
      <c r="M644" s="147"/>
      <c r="N644" s="147"/>
    </row>
    <row r="645" spans="4:14" ht="18" hidden="1" x14ac:dyDescent="0.35">
      <c r="D645" s="28" t="s">
        <v>104</v>
      </c>
      <c r="E645" s="28" t="s">
        <v>37</v>
      </c>
      <c r="F645" s="29"/>
      <c r="G645" s="29"/>
      <c r="H645" s="29"/>
      <c r="I645" s="29"/>
      <c r="J645" s="29"/>
      <c r="K645" s="29"/>
      <c r="L645" s="29"/>
      <c r="M645" s="147">
        <f>M157</f>
        <v>1320</v>
      </c>
      <c r="N645" s="147">
        <f>N157</f>
        <v>1320</v>
      </c>
    </row>
    <row r="646" spans="4:14" ht="18" hidden="1" x14ac:dyDescent="0.35">
      <c r="D646" s="28" t="s">
        <v>104</v>
      </c>
      <c r="E646" s="28" t="s">
        <v>52</v>
      </c>
      <c r="F646" s="29"/>
      <c r="G646" s="29"/>
      <c r="H646" s="29"/>
      <c r="I646" s="29"/>
      <c r="J646" s="29"/>
      <c r="K646" s="29"/>
      <c r="L646" s="29"/>
      <c r="M646" s="147">
        <f>M273+M412+M567</f>
        <v>118276.7684</v>
      </c>
      <c r="N646" s="147">
        <f>N273+N412+N567</f>
        <v>119778.5684</v>
      </c>
    </row>
    <row r="647" spans="4:14" ht="18" hidden="1" x14ac:dyDescent="0.35">
      <c r="D647" s="28" t="s">
        <v>104</v>
      </c>
      <c r="E647" s="28" t="s">
        <v>81</v>
      </c>
      <c r="F647" s="29"/>
      <c r="G647" s="29"/>
      <c r="H647" s="29"/>
      <c r="I647" s="29"/>
      <c r="J647" s="29"/>
      <c r="K647" s="29"/>
      <c r="L647" s="29"/>
      <c r="M647" s="147">
        <f>M588+M163</f>
        <v>10044.400000000001</v>
      </c>
      <c r="N647" s="147">
        <f>N588+N163</f>
        <v>10044.400000000001</v>
      </c>
    </row>
    <row r="648" spans="4:14" ht="18" hidden="1" x14ac:dyDescent="0.35">
      <c r="D648" s="148" t="s">
        <v>104</v>
      </c>
      <c r="E648" s="148" t="s">
        <v>43</v>
      </c>
      <c r="F648" s="29"/>
      <c r="G648" s="29"/>
      <c r="H648" s="29"/>
      <c r="I648" s="29"/>
      <c r="J648" s="29"/>
      <c r="K648" s="29"/>
      <c r="L648" s="29"/>
      <c r="M648" s="149">
        <f>SUBTOTAL(9,M645:M647)</f>
        <v>129641.1684</v>
      </c>
      <c r="N648" s="149">
        <f>SUBTOTAL(9,N645:N647)</f>
        <v>131142.96840000001</v>
      </c>
    </row>
    <row r="649" spans="4:14" ht="18" hidden="1" x14ac:dyDescent="0.35">
      <c r="D649" s="28"/>
      <c r="E649" s="28"/>
      <c r="F649" s="29"/>
      <c r="G649" s="29"/>
      <c r="H649" s="29"/>
      <c r="I649" s="29"/>
      <c r="J649" s="29"/>
      <c r="K649" s="29"/>
      <c r="L649" s="29"/>
      <c r="M649" s="147"/>
      <c r="N649" s="147"/>
    </row>
    <row r="650" spans="4:14" ht="18" hidden="1" x14ac:dyDescent="0.35">
      <c r="D650" s="28" t="s">
        <v>67</v>
      </c>
      <c r="E650" s="28" t="s">
        <v>37</v>
      </c>
      <c r="F650" s="29"/>
      <c r="G650" s="29"/>
      <c r="H650" s="29"/>
      <c r="I650" s="29"/>
      <c r="J650" s="29"/>
      <c r="K650" s="29"/>
      <c r="L650" s="29"/>
      <c r="M650" s="147">
        <f>M486+M282</f>
        <v>15512.600000000002</v>
      </c>
      <c r="N650" s="147">
        <f>N486+N282</f>
        <v>3622.8</v>
      </c>
    </row>
    <row r="651" spans="4:14" ht="18" hidden="1" x14ac:dyDescent="0.35">
      <c r="D651" s="28" t="s">
        <v>67</v>
      </c>
      <c r="E651" s="28" t="s">
        <v>39</v>
      </c>
      <c r="F651" s="29"/>
      <c r="G651" s="29"/>
      <c r="H651" s="29"/>
      <c r="I651" s="29"/>
      <c r="J651" s="29"/>
      <c r="K651" s="29"/>
      <c r="L651" s="29"/>
      <c r="M651" s="147">
        <f>M496</f>
        <v>30481.200000000001</v>
      </c>
      <c r="N651" s="147">
        <f>N496</f>
        <v>629.70000000000005</v>
      </c>
    </row>
    <row r="652" spans="4:14" ht="18" hidden="1" x14ac:dyDescent="0.35">
      <c r="D652" s="28" t="s">
        <v>67</v>
      </c>
      <c r="E652" s="28" t="s">
        <v>63</v>
      </c>
      <c r="F652" s="29"/>
      <c r="G652" s="29"/>
      <c r="H652" s="29"/>
      <c r="I652" s="29"/>
      <c r="J652" s="29"/>
      <c r="K652" s="29"/>
      <c r="L652" s="29"/>
      <c r="M652" s="147">
        <f>M506</f>
        <v>30944.799999999999</v>
      </c>
      <c r="N652" s="147">
        <f>N506</f>
        <v>31312.2</v>
      </c>
    </row>
    <row r="653" spans="4:14" ht="18" hidden="1" x14ac:dyDescent="0.35">
      <c r="D653" s="28" t="s">
        <v>67</v>
      </c>
      <c r="E653" s="28" t="s">
        <v>65</v>
      </c>
      <c r="F653" s="29"/>
      <c r="G653" s="29"/>
      <c r="H653" s="29"/>
      <c r="I653" s="29"/>
      <c r="J653" s="29"/>
      <c r="K653" s="29"/>
      <c r="L653" s="29"/>
      <c r="M653" s="147">
        <f>M524</f>
        <v>3058.7000000000003</v>
      </c>
      <c r="N653" s="147">
        <f>N524</f>
        <v>3059.7999999999997</v>
      </c>
    </row>
    <row r="654" spans="4:14" ht="18" hidden="1" x14ac:dyDescent="0.35">
      <c r="D654" s="148" t="s">
        <v>67</v>
      </c>
      <c r="E654" s="148" t="s">
        <v>43</v>
      </c>
      <c r="F654" s="29"/>
      <c r="G654" s="29"/>
      <c r="H654" s="29"/>
      <c r="I654" s="29"/>
      <c r="J654" s="29"/>
      <c r="K654" s="29"/>
      <c r="L654" s="29"/>
      <c r="M654" s="149">
        <f>SUBTOTAL(9,M650:M653)</f>
        <v>79997.3</v>
      </c>
      <c r="N654" s="149">
        <f>SUBTOTAL(9,N650:N653)</f>
        <v>38624.5</v>
      </c>
    </row>
    <row r="655" spans="4:14" ht="18" hidden="1" x14ac:dyDescent="0.35">
      <c r="D655" s="28"/>
      <c r="E655" s="28"/>
      <c r="F655" s="29"/>
      <c r="G655" s="29"/>
      <c r="H655" s="29"/>
      <c r="I655" s="29"/>
      <c r="J655" s="29"/>
      <c r="K655" s="29"/>
      <c r="L655" s="29"/>
      <c r="M655" s="147"/>
      <c r="N655" s="147"/>
    </row>
    <row r="656" spans="4:14" ht="18" hidden="1" x14ac:dyDescent="0.35">
      <c r="D656" s="28" t="s">
        <v>71</v>
      </c>
      <c r="E656" s="28" t="s">
        <v>37</v>
      </c>
      <c r="F656" s="29"/>
      <c r="G656" s="29"/>
      <c r="H656" s="29"/>
      <c r="I656" s="29"/>
      <c r="J656" s="29"/>
      <c r="K656" s="29"/>
      <c r="L656" s="29"/>
      <c r="M656" s="147"/>
      <c r="N656" s="147"/>
    </row>
    <row r="657" spans="2:14" ht="18" hidden="1" x14ac:dyDescent="0.35">
      <c r="D657" s="148" t="s">
        <v>71</v>
      </c>
      <c r="E657" s="148" t="s">
        <v>43</v>
      </c>
      <c r="F657" s="29"/>
      <c r="G657" s="29"/>
      <c r="H657" s="29"/>
      <c r="I657" s="29"/>
      <c r="J657" s="29"/>
      <c r="K657" s="29"/>
      <c r="L657" s="29"/>
      <c r="M657" s="149">
        <f>M656</f>
        <v>0</v>
      </c>
      <c r="N657" s="149">
        <f>N656</f>
        <v>0</v>
      </c>
    </row>
    <row r="658" spans="2:14" ht="18" hidden="1" x14ac:dyDescent="0.35">
      <c r="D658" s="28"/>
      <c r="E658" s="28"/>
      <c r="F658" s="29"/>
      <c r="G658" s="29"/>
      <c r="H658" s="29"/>
      <c r="I658" s="29"/>
      <c r="J658" s="29"/>
      <c r="K658" s="29"/>
      <c r="L658" s="29"/>
      <c r="M658" s="147"/>
      <c r="N658" s="147"/>
    </row>
    <row r="659" spans="2:14" ht="18" hidden="1" x14ac:dyDescent="0.35">
      <c r="D659" s="28" t="s">
        <v>88</v>
      </c>
      <c r="E659" s="28" t="s">
        <v>37</v>
      </c>
      <c r="F659" s="29"/>
      <c r="G659" s="29"/>
      <c r="H659" s="29"/>
      <c r="I659" s="29"/>
      <c r="J659" s="29"/>
      <c r="K659" s="29"/>
      <c r="L659" s="29"/>
      <c r="M659" s="147">
        <f>M197</f>
        <v>7500</v>
      </c>
      <c r="N659" s="147">
        <f>N197</f>
        <v>7500</v>
      </c>
    </row>
    <row r="660" spans="2:14" ht="18" hidden="1" x14ac:dyDescent="0.35">
      <c r="D660" s="148" t="s">
        <v>88</v>
      </c>
      <c r="E660" s="148" t="s">
        <v>43</v>
      </c>
      <c r="F660" s="29"/>
      <c r="G660" s="29"/>
      <c r="H660" s="29"/>
      <c r="I660" s="29"/>
      <c r="J660" s="29"/>
      <c r="K660" s="29"/>
      <c r="L660" s="29"/>
      <c r="M660" s="149">
        <f>SUBTOTAL(9,M659:M659)</f>
        <v>7500</v>
      </c>
      <c r="N660" s="149">
        <f>SUBTOTAL(9,N659:N659)</f>
        <v>7500</v>
      </c>
    </row>
    <row r="661" spans="2:14" ht="18" hidden="1" x14ac:dyDescent="0.35">
      <c r="D661" s="28"/>
      <c r="E661" s="28"/>
      <c r="F661" s="29"/>
      <c r="G661" s="29"/>
      <c r="H661" s="29"/>
      <c r="I661" s="29"/>
      <c r="J661" s="29"/>
      <c r="K661" s="29"/>
      <c r="L661" s="29"/>
      <c r="M661" s="147"/>
      <c r="N661" s="147"/>
    </row>
    <row r="662" spans="2:14" ht="18" hidden="1" x14ac:dyDescent="0.35">
      <c r="D662" s="150" t="s">
        <v>362</v>
      </c>
      <c r="E662" s="28"/>
      <c r="F662" s="29"/>
      <c r="G662" s="29"/>
      <c r="H662" s="29"/>
      <c r="I662" s="29"/>
      <c r="J662" s="29"/>
      <c r="K662" s="29"/>
      <c r="L662" s="29"/>
      <c r="M662" s="147">
        <f>M601</f>
        <v>34788</v>
      </c>
      <c r="N662" s="147">
        <f>N601</f>
        <v>45416</v>
      </c>
    </row>
    <row r="663" spans="2:14" ht="18" hidden="1" x14ac:dyDescent="0.35">
      <c r="D663" s="28"/>
      <c r="E663" s="28"/>
      <c r="F663" s="29"/>
      <c r="G663" s="29"/>
      <c r="H663" s="29"/>
      <c r="I663" s="29"/>
      <c r="J663" s="29"/>
      <c r="K663" s="29"/>
      <c r="L663" s="29"/>
      <c r="M663" s="147"/>
      <c r="N663" s="147"/>
    </row>
    <row r="664" spans="2:14" ht="18" hidden="1" x14ac:dyDescent="0.35">
      <c r="D664" s="28"/>
      <c r="E664" s="28"/>
      <c r="F664" s="29"/>
      <c r="G664" s="29"/>
      <c r="H664" s="29"/>
      <c r="I664" s="29"/>
      <c r="J664" s="29"/>
      <c r="K664" s="29"/>
      <c r="L664" s="29"/>
      <c r="M664" s="149"/>
      <c r="N664" s="149"/>
    </row>
    <row r="665" spans="2:14" ht="18" hidden="1" x14ac:dyDescent="0.35">
      <c r="D665" s="28"/>
      <c r="E665" s="28"/>
      <c r="F665" s="29"/>
      <c r="G665" s="29"/>
      <c r="H665" s="29"/>
      <c r="I665" s="29"/>
      <c r="J665" s="29"/>
      <c r="K665" s="29"/>
      <c r="L665" s="29"/>
      <c r="M665" s="147"/>
      <c r="N665" s="147"/>
    </row>
    <row r="666" spans="2:14" ht="18" hidden="1" x14ac:dyDescent="0.35">
      <c r="B666" s="1" t="s">
        <v>365</v>
      </c>
      <c r="D666" s="28"/>
      <c r="E666" s="28"/>
      <c r="F666" s="29"/>
      <c r="G666" s="29"/>
      <c r="H666" s="29"/>
      <c r="I666" s="29"/>
      <c r="J666" s="29"/>
      <c r="K666" s="29"/>
      <c r="L666" s="29"/>
      <c r="M666" s="147"/>
      <c r="N666" s="147"/>
    </row>
    <row r="667" spans="2:14" ht="18" hidden="1" x14ac:dyDescent="0.35">
      <c r="B667" s="1" t="s">
        <v>364</v>
      </c>
      <c r="D667" s="28"/>
      <c r="E667" s="28"/>
      <c r="F667" s="29"/>
      <c r="G667" s="29"/>
      <c r="H667" s="29"/>
      <c r="I667" s="29"/>
      <c r="J667" s="29"/>
      <c r="K667" s="29"/>
      <c r="L667" s="29"/>
      <c r="M667" s="147"/>
      <c r="N667" s="147"/>
    </row>
    <row r="668" spans="2:14" ht="18" hidden="1" x14ac:dyDescent="0.35">
      <c r="D668" s="28"/>
      <c r="E668" s="28"/>
      <c r="F668" s="29"/>
      <c r="G668" s="29"/>
      <c r="H668" s="29"/>
      <c r="I668" s="29"/>
      <c r="J668" s="29"/>
      <c r="K668" s="29"/>
      <c r="L668" s="29"/>
      <c r="M668" s="151"/>
      <c r="N668" s="151"/>
    </row>
    <row r="669" spans="2:14" ht="18" hidden="1" x14ac:dyDescent="0.35">
      <c r="D669" s="28"/>
      <c r="E669" s="28"/>
      <c r="F669" s="29"/>
      <c r="G669" s="29"/>
      <c r="H669" s="29"/>
      <c r="I669" s="29"/>
      <c r="J669" s="29"/>
      <c r="K669" s="29"/>
      <c r="L669" s="29"/>
      <c r="M669" s="151"/>
      <c r="N669" s="151"/>
    </row>
    <row r="670" spans="2:14" x14ac:dyDescent="0.3">
      <c r="M670" s="112"/>
      <c r="N670" s="112"/>
    </row>
  </sheetData>
  <autoFilter ref="A1:N671"/>
  <mergeCells count="12">
    <mergeCell ref="F15:I15"/>
    <mergeCell ref="A9:N9"/>
    <mergeCell ref="A13:A14"/>
    <mergeCell ref="B13:B14"/>
    <mergeCell ref="C13:C14"/>
    <mergeCell ref="D13:D14"/>
    <mergeCell ref="E13:E14"/>
    <mergeCell ref="F13:I14"/>
    <mergeCell ref="J13:J14"/>
    <mergeCell ref="N13:N14"/>
    <mergeCell ref="L13:M13"/>
    <mergeCell ref="K13:K14"/>
  </mergeCells>
  <printOptions horizontalCentered="1"/>
  <pageMargins left="1.1811023622047245" right="0.39370078740157483" top="0.78740157480314965" bottom="0.78740157480314965" header="0.31496062992125984" footer="0.31496062992125984"/>
  <pageSetup paperSize="9" scale="63" fitToHeight="0" orientation="portrait" blackAndWhite="1" r:id="rId1"/>
  <headerFooter differentFirst="1">
    <oddHeader>&amp;C&amp;"Times New Roman,обычный"&amp;12&amp;P</oddHeader>
  </headerFooter>
  <rowBreaks count="1" manualBreakCount="1">
    <brk id="57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3"/>
  <sheetViews>
    <sheetView topLeftCell="A28" zoomScale="80" zoomScaleNormal="80" workbookViewId="0">
      <selection activeCell="F10" sqref="F10"/>
    </sheetView>
  </sheetViews>
  <sheetFormatPr defaultColWidth="9.109375" defaultRowHeight="18" x14ac:dyDescent="0.35"/>
  <cols>
    <col min="1" max="1" width="33.33203125" style="223" customWidth="1"/>
    <col min="2" max="2" width="56.109375" style="223" customWidth="1"/>
    <col min="3" max="3" width="18.6640625" style="223" customWidth="1"/>
    <col min="4" max="4" width="15.88671875" style="223" customWidth="1"/>
    <col min="5" max="5" width="15.33203125" style="223" customWidth="1"/>
    <col min="6" max="6" width="19.88671875" style="223" customWidth="1"/>
    <col min="7" max="7" width="10.88671875" style="223" bestFit="1" customWidth="1"/>
    <col min="8" max="16384" width="9.109375" style="223"/>
  </cols>
  <sheetData>
    <row r="1" spans="1:6" x14ac:dyDescent="0.35">
      <c r="E1" s="153" t="s">
        <v>512</v>
      </c>
    </row>
    <row r="2" spans="1:6" x14ac:dyDescent="0.35">
      <c r="E2" s="153" t="s">
        <v>788</v>
      </c>
    </row>
    <row r="3" spans="1:6" x14ac:dyDescent="0.35">
      <c r="E3" s="153"/>
    </row>
    <row r="4" spans="1:6" s="34" customFormat="1" x14ac:dyDescent="0.35">
      <c r="E4" s="39" t="s">
        <v>514</v>
      </c>
    </row>
    <row r="5" spans="1:6" s="34" customFormat="1" x14ac:dyDescent="0.35">
      <c r="E5" s="39" t="s">
        <v>654</v>
      </c>
    </row>
    <row r="6" spans="1:6" ht="17.399999999999999" customHeight="1" x14ac:dyDescent="0.35"/>
    <row r="7" spans="1:6" s="34" customFormat="1" ht="18" customHeight="1" x14ac:dyDescent="0.35">
      <c r="C7" s="39"/>
    </row>
    <row r="8" spans="1:6" s="34" customFormat="1" ht="36" customHeight="1" x14ac:dyDescent="0.35">
      <c r="A8" s="749" t="s">
        <v>588</v>
      </c>
      <c r="B8" s="702"/>
      <c r="C8" s="702"/>
      <c r="D8" s="702"/>
      <c r="E8" s="702"/>
    </row>
    <row r="9" spans="1:6" x14ac:dyDescent="0.35">
      <c r="A9" s="702"/>
      <c r="B9" s="702"/>
      <c r="C9" s="702"/>
      <c r="D9" s="702"/>
      <c r="E9" s="702"/>
      <c r="F9" s="435"/>
    </row>
    <row r="10" spans="1:6" ht="37.5" customHeight="1" x14ac:dyDescent="0.35">
      <c r="E10" s="241" t="s">
        <v>239</v>
      </c>
    </row>
    <row r="11" spans="1:6" ht="33" customHeight="1" x14ac:dyDescent="0.35">
      <c r="A11" s="707" t="s">
        <v>13</v>
      </c>
      <c r="B11" s="707" t="s">
        <v>478</v>
      </c>
      <c r="C11" s="750" t="s">
        <v>15</v>
      </c>
      <c r="D11" s="751"/>
      <c r="E11" s="752"/>
      <c r="F11" s="436"/>
    </row>
    <row r="12" spans="1:6" ht="43.2" customHeight="1" x14ac:dyDescent="0.35">
      <c r="A12" s="708"/>
      <c r="B12" s="708"/>
      <c r="C12" s="183" t="s">
        <v>455</v>
      </c>
      <c r="D12" s="183" t="s">
        <v>501</v>
      </c>
      <c r="E12" s="183" t="s">
        <v>582</v>
      </c>
      <c r="F12" s="436"/>
    </row>
    <row r="13" spans="1:6" ht="18" customHeight="1" x14ac:dyDescent="0.35">
      <c r="A13" s="230">
        <v>1</v>
      </c>
      <c r="B13" s="242">
        <v>2</v>
      </c>
      <c r="C13" s="309">
        <v>3</v>
      </c>
      <c r="D13" s="230">
        <v>4</v>
      </c>
      <c r="E13" s="243">
        <v>5</v>
      </c>
      <c r="F13" s="436"/>
    </row>
    <row r="14" spans="1:6" ht="37.200000000000003" customHeight="1" x14ac:dyDescent="0.35">
      <c r="A14" s="244" t="s">
        <v>240</v>
      </c>
      <c r="B14" s="308" t="s">
        <v>241</v>
      </c>
      <c r="C14" s="245">
        <f>C15+C21+C30</f>
        <v>149940.07634000061</v>
      </c>
      <c r="D14" s="245">
        <f t="shared" ref="D14:E14" si="0">D15+D21+D30</f>
        <v>0</v>
      </c>
      <c r="E14" s="245">
        <f t="shared" si="0"/>
        <v>0</v>
      </c>
      <c r="F14" s="437"/>
    </row>
    <row r="15" spans="1:6" ht="37.200000000000003" customHeight="1" x14ac:dyDescent="0.35">
      <c r="A15" s="246" t="s">
        <v>756</v>
      </c>
      <c r="B15" s="597" t="s">
        <v>757</v>
      </c>
      <c r="C15" s="310">
        <f>C16</f>
        <v>36000</v>
      </c>
      <c r="D15" s="310">
        <f>D16</f>
        <v>-36000</v>
      </c>
      <c r="E15" s="310">
        <f t="shared" ref="E15" si="1">E16</f>
        <v>0</v>
      </c>
      <c r="F15" s="437"/>
    </row>
    <row r="16" spans="1:6" ht="58.95" customHeight="1" x14ac:dyDescent="0.35">
      <c r="A16" s="247" t="s">
        <v>758</v>
      </c>
      <c r="B16" s="598" t="s">
        <v>769</v>
      </c>
      <c r="C16" s="659">
        <f>C17-C19</f>
        <v>36000</v>
      </c>
      <c r="D16" s="659">
        <f>D17-D19</f>
        <v>-36000</v>
      </c>
      <c r="E16" s="659">
        <f t="shared" ref="E16" si="2">E17-E19</f>
        <v>0</v>
      </c>
      <c r="F16" s="437"/>
    </row>
    <row r="17" spans="1:7" ht="60" customHeight="1" x14ac:dyDescent="0.35">
      <c r="A17" s="247" t="s">
        <v>759</v>
      </c>
      <c r="B17" s="598" t="s">
        <v>770</v>
      </c>
      <c r="C17" s="659">
        <f>C18</f>
        <v>36000</v>
      </c>
      <c r="D17" s="659">
        <f t="shared" ref="D17:E17" si="3">D18</f>
        <v>0</v>
      </c>
      <c r="E17" s="659">
        <f t="shared" si="3"/>
        <v>0</v>
      </c>
      <c r="F17" s="437"/>
    </row>
    <row r="18" spans="1:7" ht="72.599999999999994" customHeight="1" x14ac:dyDescent="0.35">
      <c r="A18" s="247" t="s">
        <v>760</v>
      </c>
      <c r="B18" s="598" t="s">
        <v>771</v>
      </c>
      <c r="C18" s="659">
        <v>36000</v>
      </c>
      <c r="D18" s="659">
        <v>0</v>
      </c>
      <c r="E18" s="659">
        <v>0</v>
      </c>
      <c r="F18" s="437"/>
    </row>
    <row r="19" spans="1:7" ht="74.400000000000006" customHeight="1" x14ac:dyDescent="0.35">
      <c r="A19" s="247" t="s">
        <v>761</v>
      </c>
      <c r="B19" s="598" t="s">
        <v>772</v>
      </c>
      <c r="C19" s="659">
        <f>C20</f>
        <v>0</v>
      </c>
      <c r="D19" s="659">
        <f t="shared" ref="D19:E19" si="4">D20</f>
        <v>36000</v>
      </c>
      <c r="E19" s="659">
        <f t="shared" si="4"/>
        <v>0</v>
      </c>
      <c r="F19" s="437"/>
    </row>
    <row r="20" spans="1:7" ht="74.400000000000006" customHeight="1" x14ac:dyDescent="0.35">
      <c r="A20" s="247" t="s">
        <v>762</v>
      </c>
      <c r="B20" s="598" t="s">
        <v>773</v>
      </c>
      <c r="C20" s="659">
        <v>0</v>
      </c>
      <c r="D20" s="659">
        <v>36000</v>
      </c>
      <c r="E20" s="310">
        <v>0</v>
      </c>
      <c r="F20" s="437"/>
    </row>
    <row r="21" spans="1:7" s="440" customFormat="1" ht="34.950000000000003" customHeight="1" x14ac:dyDescent="0.3">
      <c r="A21" s="246" t="s">
        <v>242</v>
      </c>
      <c r="B21" s="463" t="s">
        <v>243</v>
      </c>
      <c r="C21" s="310">
        <f>C26-C22</f>
        <v>131940.07634000061</v>
      </c>
      <c r="D21" s="310">
        <f>D26-D22</f>
        <v>0</v>
      </c>
      <c r="E21" s="310">
        <f>E26-E22</f>
        <v>0</v>
      </c>
      <c r="F21" s="438"/>
      <c r="G21" s="439"/>
    </row>
    <row r="22" spans="1:7" x14ac:dyDescent="0.35">
      <c r="A22" s="247" t="s">
        <v>244</v>
      </c>
      <c r="B22" s="464" t="s">
        <v>245</v>
      </c>
      <c r="C22" s="305">
        <f t="shared" ref="C22:E24" si="5">C23</f>
        <v>2617443.1830999991</v>
      </c>
      <c r="D22" s="305">
        <f t="shared" si="5"/>
        <v>1994815.3</v>
      </c>
      <c r="E22" s="305">
        <f t="shared" si="5"/>
        <v>1887225.5999999999</v>
      </c>
    </row>
    <row r="23" spans="1:7" x14ac:dyDescent="0.35">
      <c r="A23" s="247" t="s">
        <v>246</v>
      </c>
      <c r="B23" s="464" t="s">
        <v>247</v>
      </c>
      <c r="C23" s="305">
        <f t="shared" si="5"/>
        <v>2617443.1830999991</v>
      </c>
      <c r="D23" s="305">
        <f t="shared" si="5"/>
        <v>1994815.3</v>
      </c>
      <c r="E23" s="305">
        <f t="shared" si="5"/>
        <v>1887225.5999999999</v>
      </c>
    </row>
    <row r="24" spans="1:7" ht="20.25" customHeight="1" x14ac:dyDescent="0.35">
      <c r="A24" s="247" t="s">
        <v>323</v>
      </c>
      <c r="B24" s="465" t="s">
        <v>248</v>
      </c>
      <c r="C24" s="306">
        <f t="shared" si="5"/>
        <v>2617443.1830999991</v>
      </c>
      <c r="D24" s="306">
        <f t="shared" si="5"/>
        <v>1994815.3</v>
      </c>
      <c r="E24" s="306">
        <f t="shared" si="5"/>
        <v>1887225.5999999999</v>
      </c>
    </row>
    <row r="25" spans="1:7" ht="37.5" customHeight="1" x14ac:dyDescent="0.35">
      <c r="A25" s="247" t="s">
        <v>249</v>
      </c>
      <c r="B25" s="465" t="s">
        <v>3</v>
      </c>
      <c r="C25" s="306">
        <f>'прил. 1 (поступл.23-25)'!C49+C32+'прил. 1 (поступл.23-25)'!C46+'прил. 1 (поступл.23-25)'!C47+'прил. 1 (поступл.23-25)'!C48+C15</f>
        <v>2617443.1830999991</v>
      </c>
      <c r="D25" s="304">
        <f>'прил. 1 (поступл.23-25)'!D49+D32</f>
        <v>1994815.3</v>
      </c>
      <c r="E25" s="304">
        <f>'прил. 1 (поступл.23-25)'!E49</f>
        <v>1887225.5999999999</v>
      </c>
    </row>
    <row r="26" spans="1:7" x14ac:dyDescent="0.35">
      <c r="A26" s="247" t="s">
        <v>250</v>
      </c>
      <c r="B26" s="465" t="s">
        <v>251</v>
      </c>
      <c r="C26" s="306">
        <f>C27</f>
        <v>2749383.2594399997</v>
      </c>
      <c r="D26" s="306">
        <f t="shared" ref="D26:E28" si="6">D27</f>
        <v>1994815.3000000003</v>
      </c>
      <c r="E26" s="306">
        <f t="shared" si="6"/>
        <v>1887225.6</v>
      </c>
    </row>
    <row r="27" spans="1:7" x14ac:dyDescent="0.35">
      <c r="A27" s="247" t="s">
        <v>252</v>
      </c>
      <c r="B27" s="465" t="s">
        <v>253</v>
      </c>
      <c r="C27" s="306">
        <f>C28</f>
        <v>2749383.2594399997</v>
      </c>
      <c r="D27" s="306">
        <f t="shared" si="6"/>
        <v>1994815.3000000003</v>
      </c>
      <c r="E27" s="306">
        <f t="shared" si="6"/>
        <v>1887225.6</v>
      </c>
    </row>
    <row r="28" spans="1:7" ht="22.2" customHeight="1" x14ac:dyDescent="0.35">
      <c r="A28" s="247" t="s">
        <v>254</v>
      </c>
      <c r="B28" s="465" t="s">
        <v>255</v>
      </c>
      <c r="C28" s="306">
        <f>C29</f>
        <v>2749383.2594399997</v>
      </c>
      <c r="D28" s="306">
        <f t="shared" si="6"/>
        <v>1994815.3000000003</v>
      </c>
      <c r="E28" s="306">
        <f t="shared" si="6"/>
        <v>1887225.6</v>
      </c>
    </row>
    <row r="29" spans="1:7" ht="36" x14ac:dyDescent="0.35">
      <c r="A29" s="248" t="s">
        <v>256</v>
      </c>
      <c r="B29" s="466" t="s">
        <v>4</v>
      </c>
      <c r="C29" s="307">
        <f>'прил9 (ведом 23)'!M14+'прил. 1 (поступл.23-25)'!C46+'прил. 1 (поступл.23-25)'!C47+'прил. 1 (поступл.23-25)'!C48+C35</f>
        <v>2749383.2594399997</v>
      </c>
      <c r="D29" s="307">
        <f>'прил10 (ведом 24-25)'!M16+D19</f>
        <v>1994815.3000000003</v>
      </c>
      <c r="E29" s="307">
        <f>'прил10 (ведом 24-25)'!N16</f>
        <v>1887225.6</v>
      </c>
    </row>
    <row r="30" spans="1:7" ht="34.799999999999997" x14ac:dyDescent="0.35">
      <c r="A30" s="596" t="s">
        <v>631</v>
      </c>
      <c r="B30" s="597" t="s">
        <v>632</v>
      </c>
      <c r="C30" s="310">
        <f>C31</f>
        <v>-18000</v>
      </c>
      <c r="D30" s="310">
        <f>D31+D38</f>
        <v>36000</v>
      </c>
      <c r="E30" s="310">
        <f>E31+E38</f>
        <v>0</v>
      </c>
    </row>
    <row r="31" spans="1:7" ht="36" x14ac:dyDescent="0.35">
      <c r="A31" s="247" t="s">
        <v>633</v>
      </c>
      <c r="B31" s="598" t="s">
        <v>634</v>
      </c>
      <c r="C31" s="306">
        <f>C32-C35</f>
        <v>-18000</v>
      </c>
      <c r="D31" s="306">
        <f t="shared" ref="C31:E32" si="7">D32</f>
        <v>36000</v>
      </c>
      <c r="E31" s="306">
        <f t="shared" si="7"/>
        <v>0</v>
      </c>
    </row>
    <row r="32" spans="1:7" ht="36" x14ac:dyDescent="0.35">
      <c r="A32" s="247" t="s">
        <v>635</v>
      </c>
      <c r="B32" s="598" t="s">
        <v>636</v>
      </c>
      <c r="C32" s="306">
        <f t="shared" si="7"/>
        <v>18000</v>
      </c>
      <c r="D32" s="306">
        <f t="shared" si="7"/>
        <v>36000</v>
      </c>
      <c r="E32" s="306">
        <f t="shared" si="7"/>
        <v>0</v>
      </c>
    </row>
    <row r="33" spans="1:8" ht="72" x14ac:dyDescent="0.35">
      <c r="A33" s="247" t="s">
        <v>637</v>
      </c>
      <c r="B33" s="598" t="s">
        <v>638</v>
      </c>
      <c r="C33" s="306">
        <f>C34</f>
        <v>18000</v>
      </c>
      <c r="D33" s="306">
        <f>D34</f>
        <v>36000</v>
      </c>
      <c r="E33" s="306">
        <f>E34</f>
        <v>0</v>
      </c>
    </row>
    <row r="34" spans="1:8" ht="90" x14ac:dyDescent="0.35">
      <c r="A34" s="247" t="s">
        <v>639</v>
      </c>
      <c r="B34" s="598" t="s">
        <v>640</v>
      </c>
      <c r="C34" s="306">
        <f>19000-1000</f>
        <v>18000</v>
      </c>
      <c r="D34" s="306">
        <v>36000</v>
      </c>
      <c r="E34" s="660">
        <v>0</v>
      </c>
    </row>
    <row r="35" spans="1:8" ht="36" x14ac:dyDescent="0.35">
      <c r="A35" s="247" t="s">
        <v>763</v>
      </c>
      <c r="B35" s="662" t="s">
        <v>766</v>
      </c>
      <c r="C35" s="306">
        <f t="shared" ref="C35:E36" si="8">C36</f>
        <v>36000</v>
      </c>
      <c r="D35" s="306">
        <f t="shared" si="8"/>
        <v>0</v>
      </c>
      <c r="E35" s="306">
        <f t="shared" si="8"/>
        <v>0</v>
      </c>
      <c r="F35" s="661"/>
    </row>
    <row r="36" spans="1:8" ht="54" x14ac:dyDescent="0.35">
      <c r="A36" s="247" t="s">
        <v>764</v>
      </c>
      <c r="B36" s="662" t="s">
        <v>767</v>
      </c>
      <c r="C36" s="306">
        <f t="shared" si="8"/>
        <v>36000</v>
      </c>
      <c r="D36" s="306">
        <f t="shared" si="8"/>
        <v>0</v>
      </c>
      <c r="E36" s="306">
        <f t="shared" si="8"/>
        <v>0</v>
      </c>
      <c r="F36" s="661"/>
    </row>
    <row r="37" spans="1:8" ht="72" x14ac:dyDescent="0.35">
      <c r="A37" s="248" t="s">
        <v>765</v>
      </c>
      <c r="B37" s="663" t="s">
        <v>768</v>
      </c>
      <c r="C37" s="664">
        <v>36000</v>
      </c>
      <c r="D37" s="664">
        <v>0</v>
      </c>
      <c r="E37" s="664">
        <v>0</v>
      </c>
      <c r="F37" s="661"/>
    </row>
    <row r="38" spans="1:8" ht="19.95" customHeight="1" x14ac:dyDescent="0.35">
      <c r="A38" s="249"/>
      <c r="B38" s="581"/>
      <c r="C38" s="582"/>
      <c r="D38" s="582"/>
      <c r="E38" s="582"/>
    </row>
    <row r="39" spans="1:8" x14ac:dyDescent="0.35">
      <c r="A39" s="249"/>
      <c r="B39" s="581"/>
      <c r="C39" s="582"/>
      <c r="D39" s="582"/>
      <c r="E39" s="582"/>
    </row>
    <row r="40" spans="1:8" x14ac:dyDescent="0.35">
      <c r="A40" s="249"/>
      <c r="B40" s="250"/>
      <c r="C40" s="251"/>
    </row>
    <row r="41" spans="1:8" s="264" customFormat="1" x14ac:dyDescent="0.35">
      <c r="A41" s="657" t="s">
        <v>373</v>
      </c>
      <c r="B41" s="295"/>
      <c r="C41" s="92"/>
      <c r="D41" s="92"/>
      <c r="E41" s="92"/>
      <c r="F41" s="291"/>
      <c r="G41" s="106"/>
      <c r="H41" s="441"/>
    </row>
    <row r="42" spans="1:8" s="264" customFormat="1" x14ac:dyDescent="0.35">
      <c r="A42" s="657" t="s">
        <v>374</v>
      </c>
      <c r="B42" s="295"/>
      <c r="C42" s="92"/>
      <c r="D42" s="92"/>
      <c r="E42" s="92"/>
      <c r="F42" s="291"/>
      <c r="G42" s="106"/>
      <c r="H42" s="441"/>
    </row>
    <row r="43" spans="1:8" s="264" customFormat="1" x14ac:dyDescent="0.35">
      <c r="A43" s="658" t="s">
        <v>375</v>
      </c>
      <c r="B43" s="295"/>
      <c r="C43" s="107"/>
      <c r="D43" s="92"/>
      <c r="E43" s="107" t="s">
        <v>386</v>
      </c>
      <c r="F43" s="291"/>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16</vt:i4>
      </vt:variant>
    </vt:vector>
  </HeadingPairs>
  <TitlesOfParts>
    <vt:vector size="24" baseType="lpstr">
      <vt:lpstr>прил. 1 (поступл.23-25)</vt:lpstr>
      <vt:lpstr>прил.2(пост.безв.23)</vt:lpstr>
      <vt:lpstr>прил 6 (Рз,ПР 23-25)</vt:lpstr>
      <vt:lpstr>прил 7 (ЦС,ВР 23)</vt:lpstr>
      <vt:lpstr>прил 8 (ЦС,ВР 24-25)</vt:lpstr>
      <vt:lpstr>прил9 (ведом 23)</vt:lpstr>
      <vt:lpstr>прил10 (ведом 24-25)</vt:lpstr>
      <vt:lpstr>прил.11 (Источники 23-25)</vt:lpstr>
      <vt:lpstr>'прил 6 (Рз,ПР 23-25)'!Заголовки_для_печати</vt:lpstr>
      <vt:lpstr>'прил 7 (ЦС,ВР 23)'!Заголовки_для_печати</vt:lpstr>
      <vt:lpstr>'прил 8 (ЦС,ВР 24-25)'!Заголовки_для_печати</vt:lpstr>
      <vt:lpstr>'прил. 1 (поступл.23-25)'!Заголовки_для_печати</vt:lpstr>
      <vt:lpstr>'прил.11 (Источники 23-25)'!Заголовки_для_печати</vt:lpstr>
      <vt:lpstr>'прил.2(пост.безв.23)'!Заголовки_для_печати</vt:lpstr>
      <vt:lpstr>'прил10 (ведом 24-25)'!Заголовки_для_печати</vt:lpstr>
      <vt:lpstr>'прил9 (ведом 23)'!Заголовки_для_печати</vt:lpstr>
      <vt:lpstr>'прил 6 (Рз,ПР 23-25)'!Область_печати</vt:lpstr>
      <vt:lpstr>'прил 7 (ЦС,ВР 23)'!Область_печати</vt:lpstr>
      <vt:lpstr>'прил 8 (ЦС,ВР 24-25)'!Область_печати</vt:lpstr>
      <vt:lpstr>'прил. 1 (поступл.23-25)'!Область_печати</vt:lpstr>
      <vt:lpstr>'прил.11 (Источники 23-25)'!Область_печати</vt:lpstr>
      <vt:lpstr>'прил.2(пост.безв.23)'!Область_печати</vt:lpstr>
      <vt:lpstr>'прил10 (ведом 24-25)'!Область_печати</vt:lpstr>
      <vt:lpstr>'прил9 (ведом 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2023-11-30T15:23:42Z</dcterms:modified>
</cp:coreProperties>
</file>